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240" windowWidth="19215" windowHeight="2085" tabRatio="899"/>
  </bookViews>
  <sheets>
    <sheet name="Title" sheetId="32" r:id="rId1"/>
    <sheet name="Part 1" sheetId="1" r:id="rId2"/>
    <sheet name="Part 2" sheetId="6" r:id="rId3"/>
    <sheet name="Part 3" sheetId="41" r:id="rId4"/>
    <sheet name="Part 3 DA summary" sheetId="51" r:id="rId5"/>
    <sheet name="Part 4" sheetId="23" r:id="rId6"/>
    <sheet name="Supplementary Information" sheetId="22" r:id="rId7"/>
    <sheet name="Main Validation" sheetId="24" r:id="rId8"/>
    <sheet name="Supplementary Validation" sheetId="30" r:id="rId9"/>
    <sheet name="TierSplit" sheetId="12" state="hidden" r:id="rId10"/>
    <sheet name="EZ list" sheetId="52" state="hidden" r:id="rId11"/>
    <sheet name="LA List" sheetId="53" state="hidden" r:id="rId12"/>
    <sheet name="Data" sheetId="9" state="hidden" r:id="rId13"/>
    <sheet name="Data 1617" sheetId="48" state="hidden" r:id="rId14"/>
    <sheet name="Access_NNDR1" sheetId="34" state="hidden" r:id="rId15"/>
    <sheet name="LA_info" sheetId="55" state="hidden" r:id="rId16"/>
    <sheet name="Access_DASummary" sheetId="61" state="hidden" r:id="rId17"/>
    <sheet name="CHECK P1" sheetId="56" state="hidden" r:id="rId18"/>
    <sheet name="CHECK P2" sheetId="57" state="hidden" r:id="rId19"/>
    <sheet name="CHECK P3" sheetId="58" state="hidden" r:id="rId20"/>
    <sheet name="CHECK P3 DA" sheetId="63" state="hidden" r:id="rId21"/>
    <sheet name="CHECK P4" sheetId="59" state="hidden" r:id="rId22"/>
    <sheet name="CHECK SUPPLEMENTARY" sheetId="60" state="hidden" r:id="rId23"/>
    <sheet name="Access_Validations" sheetId="64"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R" localSheetId="18">#REF!</definedName>
    <definedName name="\R" localSheetId="19">#REF!</definedName>
    <definedName name="\R" localSheetId="20">#REF!</definedName>
    <definedName name="\R" localSheetId="21">#REF!</definedName>
    <definedName name="\R" localSheetId="22">#REF!</definedName>
    <definedName name="\R">#REF!</definedName>
    <definedName name="_CTR1" localSheetId="18">#REF!</definedName>
    <definedName name="_CTR1" localSheetId="19">#REF!</definedName>
    <definedName name="_CTR1" localSheetId="20">'CHECK P3 DA'!#REF!</definedName>
    <definedName name="_CTR1" localSheetId="21">#REF!</definedName>
    <definedName name="_CTR1" localSheetId="22">#REF!</definedName>
    <definedName name="_CTR1" localSheetId="4">'Part 3 DA summary'!#REF!</definedName>
    <definedName name="_CTR1">#REF!</definedName>
    <definedName name="_xlnm._FilterDatabase" localSheetId="14" hidden="1">Access_NNDR1!$A$1:$V$314</definedName>
    <definedName name="_xlnm._FilterDatabase" localSheetId="18" hidden="1">#REF!</definedName>
    <definedName name="_xlnm._FilterDatabase" localSheetId="19" hidden="1">#REF!</definedName>
    <definedName name="_xlnm._FilterDatabase" localSheetId="20" hidden="1">#REF!</definedName>
    <definedName name="_xlnm._FilterDatabase" localSheetId="21" hidden="1">#REF!</definedName>
    <definedName name="_xlnm._FilterDatabase" localSheetId="22" hidden="1">#REF!</definedName>
    <definedName name="_xlnm._FilterDatabase" localSheetId="12" hidden="1">Data!$BD$1:$BD$335</definedName>
    <definedName name="_xlnm._FilterDatabase" localSheetId="13" hidden="1">'Data 1617'!$BD$1:$BD$335</definedName>
    <definedName name="_xlnm._FilterDatabase" localSheetId="10" hidden="1">'EZ list'!$B$3:$AH$464</definedName>
    <definedName name="_xlnm._FilterDatabase" localSheetId="9" hidden="1">TierSplit!$A$5:$AF$332</definedName>
    <definedName name="_xlnm._FilterDatabase" hidden="1">#REF!</definedName>
    <definedName name="_Order1" hidden="1">255</definedName>
    <definedName name="_Order2" hidden="1">0</definedName>
    <definedName name="Adur" localSheetId="18">[1]DATA!#REF!</definedName>
    <definedName name="Adur" localSheetId="19">[1]DATA!#REF!</definedName>
    <definedName name="Adur" localSheetId="20">[1]DATA!#REF!</definedName>
    <definedName name="Adur" localSheetId="21">[1]DATA!#REF!</definedName>
    <definedName name="Adur" localSheetId="22">[2]DATA!#REF!</definedName>
    <definedName name="Adur" localSheetId="6">[2]DATA!#REF!</definedName>
    <definedName name="Adur">[1]DATA!#REF!</definedName>
    <definedName name="BRprint1" localSheetId="18">#REF!</definedName>
    <definedName name="BRprint1" localSheetId="19">#REF!</definedName>
    <definedName name="BRprint1" localSheetId="20">#REF!</definedName>
    <definedName name="BRprint1" localSheetId="21">#REF!</definedName>
    <definedName name="BRprint1" localSheetId="22">#REF!</definedName>
    <definedName name="BRprint1" localSheetId="6">#REF!</definedName>
    <definedName name="BRprint1">#REF!</definedName>
    <definedName name="BRprint2" localSheetId="18">#REF!</definedName>
    <definedName name="BRprint2" localSheetId="19">#REF!</definedName>
    <definedName name="BRprint2" localSheetId="20">#REF!</definedName>
    <definedName name="BRprint2" localSheetId="21">#REF!</definedName>
    <definedName name="BRprint2" localSheetId="22">#REF!</definedName>
    <definedName name="BRprint2" localSheetId="6">#REF!</definedName>
    <definedName name="BRprint2">#REF!</definedName>
    <definedName name="cccc" localSheetId="18">'[3]BR1 Form'!#REF!</definedName>
    <definedName name="cccc" localSheetId="19">'[3]BR1 Form'!#REF!</definedName>
    <definedName name="cccc" localSheetId="20">'[3]BR1 Form'!#REF!</definedName>
    <definedName name="cccc" localSheetId="21">'[3]BR1 Form'!#REF!</definedName>
    <definedName name="cccc" localSheetId="22">'[3]BR1 Form'!#REF!</definedName>
    <definedName name="cccc">'[3]BR1 Form'!#REF!</definedName>
    <definedName name="CERDATA" localSheetId="18">'[4]Section A'!#REF!</definedName>
    <definedName name="CERDATA" localSheetId="19">'[4]Section A'!#REF!</definedName>
    <definedName name="CERDATA" localSheetId="20">'[4]Section A'!#REF!</definedName>
    <definedName name="CERDATA" localSheetId="21">'[4]Section A'!#REF!</definedName>
    <definedName name="CERDATA" localSheetId="22">'[4]Section A'!#REF!</definedName>
    <definedName name="CERDATA">'[4]Section A'!#REF!</definedName>
    <definedName name="CONTACT" localSheetId="20">'CHECK P3 DA'!#REF!</definedName>
    <definedName name="CONTACT" localSheetId="4">'Part 3 DA summary'!#REF!</definedName>
    <definedName name="CONTACT">'Part 1'!$L$16:$P$20</definedName>
    <definedName name="CTRprint1" localSheetId="18">#REF!</definedName>
    <definedName name="CTRprint1" localSheetId="19">#REF!</definedName>
    <definedName name="CTRprint1" localSheetId="20">'CHECK P3 DA'!$B$1:$J$1</definedName>
    <definedName name="CTRprint1" localSheetId="21">#REF!</definedName>
    <definedName name="CTRprint1" localSheetId="22">#REF!</definedName>
    <definedName name="CTRprint1" localSheetId="4">'Part 3 DA summary'!$B$1:$J$1</definedName>
    <definedName name="CTRprint1">#REF!</definedName>
    <definedName name="CTRprint2" localSheetId="18">#REF!</definedName>
    <definedName name="CTRprint2" localSheetId="19">#REF!</definedName>
    <definedName name="CTRprint2" localSheetId="20">'CHECK P3 DA'!$B$7:$J$54</definedName>
    <definedName name="CTRprint2" localSheetId="21">#REF!</definedName>
    <definedName name="CTRprint2" localSheetId="22">#REF!</definedName>
    <definedName name="CTRprint2" localSheetId="4">'Part 3 DA summary'!$B$7:$J$54</definedName>
    <definedName name="CTRprint2">#REF!</definedName>
    <definedName name="datar" localSheetId="20">#REF!</definedName>
    <definedName name="datar" localSheetId="13">'Data 1617'!$A$8:$AT$334</definedName>
    <definedName name="datar" localSheetId="4">#REF!</definedName>
    <definedName name="datar">Data!$A$8:$AT$334</definedName>
    <definedName name="detruse" localSheetId="18">#REF!</definedName>
    <definedName name="detruse" localSheetId="19">#REF!</definedName>
    <definedName name="detruse" localSheetId="20">'CHECK P3 DA'!#REF!</definedName>
    <definedName name="detruse" localSheetId="21">#REF!</definedName>
    <definedName name="detruse" localSheetId="22">'[5]NNDR1 Form'!#REF!</definedName>
    <definedName name="detruse" localSheetId="4">'Part 3 DA summary'!#REF!</definedName>
    <definedName name="detruse" localSheetId="6">'[5]NNDR1 Form'!#REF!</definedName>
    <definedName name="detruse">#REF!</definedName>
    <definedName name="dtlruse" localSheetId="18">#REF!</definedName>
    <definedName name="dtlruse" localSheetId="19">#REF!</definedName>
    <definedName name="dtlruse" localSheetId="20">#REF!</definedName>
    <definedName name="dtlruse" localSheetId="21">#REF!</definedName>
    <definedName name="dtlruse" localSheetId="22">#REF!</definedName>
    <definedName name="dtlruse" localSheetId="6">#REF!</definedName>
    <definedName name="dtlruse">#REF!</definedName>
    <definedName name="_xlnm.Extract" localSheetId="10">'EZ list'!#REF!</definedName>
    <definedName name="Import_AuditData">Access_NNDR1!$A$1:$B$2</definedName>
    <definedName name="Import_FormData">Access_NNDR1!$A$1:$I$544</definedName>
    <definedName name="Import_LA_Code">'Part 1'!$L$17</definedName>
    <definedName name="Import_LA_Name">'Part 1'!$L$16</definedName>
    <definedName name="Import_NotesData">Access_NNDR1!$A$1:$M$2</definedName>
    <definedName name="Import_ValidationData">Access_Validations!$A$1:$H$1</definedName>
    <definedName name="LAcodes" localSheetId="18">#REF!</definedName>
    <definedName name="LAcodes" localSheetId="19">#REF!</definedName>
    <definedName name="LAcodes" localSheetId="20">#REF!</definedName>
    <definedName name="LAcodes" localSheetId="21">#REF!</definedName>
    <definedName name="LAcodes" localSheetId="22">#REF!</definedName>
    <definedName name="LAcodes" localSheetId="6">#REF!</definedName>
    <definedName name="LAcodes">#REF!</definedName>
    <definedName name="LAlist" localSheetId="18">#REF!</definedName>
    <definedName name="LAlist" localSheetId="19">#REF!</definedName>
    <definedName name="LAlist" localSheetId="20">#REF!</definedName>
    <definedName name="LAlist" localSheetId="21">#REF!</definedName>
    <definedName name="LAlist" localSheetId="22">#REF!</definedName>
    <definedName name="LAlist" localSheetId="6">#REF!</definedName>
    <definedName name="LAlist">#REF!</definedName>
    <definedName name="LAlist2" localSheetId="18">#REF!</definedName>
    <definedName name="LAlist2" localSheetId="19">#REF!</definedName>
    <definedName name="LAlist2" localSheetId="20">#REF!</definedName>
    <definedName name="LAlist2" localSheetId="21">#REF!</definedName>
    <definedName name="LAlist2" localSheetId="22">#REF!</definedName>
    <definedName name="LAlist2">#REF!</definedName>
    <definedName name="NNDR1" localSheetId="18">#REF!</definedName>
    <definedName name="NNDR1" localSheetId="19">#REF!</definedName>
    <definedName name="NNDR1" localSheetId="20">#REF!</definedName>
    <definedName name="NNDR1" localSheetId="21">#REF!</definedName>
    <definedName name="NNDR1" localSheetId="22">#REF!</definedName>
    <definedName name="NNDR1">#REF!</definedName>
    <definedName name="NNDR1S" localSheetId="18">#REF!</definedName>
    <definedName name="NNDR1S" localSheetId="19">#REF!</definedName>
    <definedName name="NNDR1S" localSheetId="20">#REF!</definedName>
    <definedName name="NNDR1S" localSheetId="21">#REF!</definedName>
    <definedName name="NNDR1S" localSheetId="22">#REF!</definedName>
    <definedName name="NNDR1S">#REF!</definedName>
    <definedName name="numberhered" localSheetId="18">#REF!</definedName>
    <definedName name="numberhered" localSheetId="19">#REF!</definedName>
    <definedName name="numberhered" localSheetId="20">#REF!</definedName>
    <definedName name="numberhered" localSheetId="21">#REF!</definedName>
    <definedName name="numberhered" localSheetId="22">[6]Sheet2!$E$34</definedName>
    <definedName name="numberhered" localSheetId="6">[6]Sheet2!$E$34</definedName>
    <definedName name="numberhered">#REF!</definedName>
    <definedName name="Part1">#REF!</definedName>
    <definedName name="Part2" localSheetId="18">#REF!</definedName>
    <definedName name="Part2" localSheetId="19">#REF!</definedName>
    <definedName name="Part2" localSheetId="20">#REF!</definedName>
    <definedName name="Part2" localSheetId="21">#REF!</definedName>
    <definedName name="Part2" localSheetId="22">#REF!</definedName>
    <definedName name="Part2">#REF!</definedName>
    <definedName name="Part3" localSheetId="18">#REF!</definedName>
    <definedName name="Part3" localSheetId="19">#REF!</definedName>
    <definedName name="Part3" localSheetId="20">#REF!</definedName>
    <definedName name="Part3" localSheetId="21">#REF!</definedName>
    <definedName name="Part3" localSheetId="22">#REF!</definedName>
    <definedName name="Part3">#REF!</definedName>
    <definedName name="Part4" localSheetId="18">#REF!</definedName>
    <definedName name="Part4" localSheetId="19">#REF!</definedName>
    <definedName name="Part4" localSheetId="20">#REF!</definedName>
    <definedName name="Part4" localSheetId="21">#REF!</definedName>
    <definedName name="Part4" localSheetId="22">#REF!</definedName>
    <definedName name="Part4">#REF!</definedName>
    <definedName name="_xlnm.Print_Area" localSheetId="18">'CHECK P2'!$A$1:$U$190</definedName>
    <definedName name="_xlnm.Print_Area" localSheetId="19">'CHECK P3'!$A$1:$R$77</definedName>
    <definedName name="_xlnm.Print_Area" localSheetId="20">'CHECK P3 DA'!$A$1:$AA$54</definedName>
    <definedName name="_xlnm.Print_Area" localSheetId="21">'CHECK P4'!$A$1:$O$70</definedName>
    <definedName name="_xlnm.Print_Area" localSheetId="22">'CHECK SUPPLEMENTARY'!$A$1:$I$123</definedName>
    <definedName name="_xlnm.Print_Area" localSheetId="12">Data!$AN$1:$BD$335</definedName>
    <definedName name="_xlnm.Print_Area" localSheetId="13">'Data 1617'!$AN$1:$BD$335</definedName>
    <definedName name="_xlnm.Print_Area" localSheetId="10">'EZ list'!$A$1:$E$463</definedName>
    <definedName name="_xlnm.Print_Area" localSheetId="7">'Main Validation'!$A$1:$P$49</definedName>
    <definedName name="_xlnm.Print_Area" localSheetId="1">'Part 1'!$A$1:$Z$229</definedName>
    <definedName name="_xlnm.Print_Area" localSheetId="2">'Part 2'!$A$1:$U$190</definedName>
    <definedName name="_xlnm.Print_Area" localSheetId="3">'Part 3'!$A$1:$R$77</definedName>
    <definedName name="_xlnm.Print_Area" localSheetId="4">'Part 3 DA summary'!$A$1:$AA$58</definedName>
    <definedName name="_xlnm.Print_Area" localSheetId="5">'Part 4'!$A$1:$O$70</definedName>
    <definedName name="_xlnm.Print_Area" localSheetId="6">'Supplementary Information'!$A$1:$I$123</definedName>
    <definedName name="_xlnm.Print_Area" localSheetId="8">'Supplementary Validation'!$A$1:$P$46</definedName>
    <definedName name="_xlnm.Print_Area" localSheetId="0">Title!$A$1:$D$77</definedName>
    <definedName name="_xlnm.Print_Area">'[4]Section A'!#REF!</definedName>
    <definedName name="_xlnm.Print_Titles" localSheetId="18">'CHECK P2'!$1:$15</definedName>
    <definedName name="_xlnm.Print_Titles" localSheetId="20">'CHECK P3 DA'!$1:$4</definedName>
    <definedName name="_xlnm.Print_Titles" localSheetId="12">Data!$1:$7</definedName>
    <definedName name="_xlnm.Print_Titles" localSheetId="13">'Data 1617'!$1:$7</definedName>
    <definedName name="_xlnm.Print_Titles" localSheetId="10">'EZ list'!$3:$3</definedName>
    <definedName name="_xlnm.Print_Titles" localSheetId="7">'Main Validation'!$1:$16</definedName>
    <definedName name="_xlnm.Print_Titles" localSheetId="1">'Part 1'!$1:$10</definedName>
    <definedName name="_xlnm.Print_Titles" localSheetId="2">'Part 2'!$1:$15</definedName>
    <definedName name="_xlnm.Print_Titles" localSheetId="4">'Part 3 DA summary'!$1:$4</definedName>
    <definedName name="_xlnm.Print_Titles" localSheetId="8">'Supplementary Validation'!$1:$16</definedName>
    <definedName name="_xlnm.Print_Titles">#N/A</definedName>
    <definedName name="QRC4R1" localSheetId="18">'[3]BR1 Form'!#REF!</definedName>
    <definedName name="QRC4R1" localSheetId="19">'[3]BR1 Form'!#REF!</definedName>
    <definedName name="QRC4R1" localSheetId="20">'[7]BR1 Form'!#REF!</definedName>
    <definedName name="QRC4R1" localSheetId="21">'[3]BR1 Form'!#REF!</definedName>
    <definedName name="QRC4R1" localSheetId="22">'[3]BR1 Form'!#REF!</definedName>
    <definedName name="QRC4R1" localSheetId="4">'[7]BR1 Form'!#REF!</definedName>
    <definedName name="QRC4R1">'[3]BR1 Form'!#REF!</definedName>
    <definedName name="QRC4R10" localSheetId="18">'[3]BR1 Form'!#REF!</definedName>
    <definedName name="QRC4R10" localSheetId="19">'[3]BR1 Form'!#REF!</definedName>
    <definedName name="QRC4R10" localSheetId="20">'[7]BR1 Form'!#REF!</definedName>
    <definedName name="QRC4R10" localSheetId="21">'[3]BR1 Form'!#REF!</definedName>
    <definedName name="QRC4R10" localSheetId="22">'[3]BR1 Form'!#REF!</definedName>
    <definedName name="QRC4R10" localSheetId="4">'[7]BR1 Form'!#REF!</definedName>
    <definedName name="QRC4R10">'[3]BR1 Form'!#REF!</definedName>
    <definedName name="QRC4R12" localSheetId="18">'[3]BR1 Form'!#REF!</definedName>
    <definedName name="QRC4R12" localSheetId="19">'[3]BR1 Form'!#REF!</definedName>
    <definedName name="QRC4R12" localSheetId="20">'[7]BR1 Form'!#REF!</definedName>
    <definedName name="QRC4R12" localSheetId="21">'[3]BR1 Form'!#REF!</definedName>
    <definedName name="QRC4R12" localSheetId="22">'[3]BR1 Form'!#REF!</definedName>
    <definedName name="QRC4R12" localSheetId="4">'[7]BR1 Form'!#REF!</definedName>
    <definedName name="QRC4R12">'[3]BR1 Form'!#REF!</definedName>
    <definedName name="QRC4R13" localSheetId="18">'[3]BR1 Form'!#REF!</definedName>
    <definedName name="QRC4R13" localSheetId="19">'[3]BR1 Form'!#REF!</definedName>
    <definedName name="QRC4R13" localSheetId="20">'[7]BR1 Form'!#REF!</definedName>
    <definedName name="QRC4R13" localSheetId="21">'[3]BR1 Form'!#REF!</definedName>
    <definedName name="QRC4R13" localSheetId="22">'[3]BR1 Form'!#REF!</definedName>
    <definedName name="QRC4R13" localSheetId="4">'[7]BR1 Form'!#REF!</definedName>
    <definedName name="QRC4R13">'[3]BR1 Form'!#REF!</definedName>
    <definedName name="QRC4R14" localSheetId="18">'[3]BR1 Form'!#REF!</definedName>
    <definedName name="QRC4R14" localSheetId="19">'[3]BR1 Form'!#REF!</definedName>
    <definedName name="QRC4R14" localSheetId="20">'[7]BR1 Form'!#REF!</definedName>
    <definedName name="QRC4R14" localSheetId="21">'[3]BR1 Form'!#REF!</definedName>
    <definedName name="QRC4R14" localSheetId="22">'[3]BR1 Form'!#REF!</definedName>
    <definedName name="QRC4R14" localSheetId="4">'[7]BR1 Form'!#REF!</definedName>
    <definedName name="QRC4R14">'[3]BR1 Form'!#REF!</definedName>
    <definedName name="QRC4R15" localSheetId="18">'[3]BR1 Form'!#REF!</definedName>
    <definedName name="QRC4R15" localSheetId="19">'[3]BR1 Form'!#REF!</definedName>
    <definedName name="QRC4R15" localSheetId="20">'[7]BR1 Form'!#REF!</definedName>
    <definedName name="QRC4R15" localSheetId="21">'[3]BR1 Form'!#REF!</definedName>
    <definedName name="QRC4R15" localSheetId="22">'[3]BR1 Form'!#REF!</definedName>
    <definedName name="QRC4R15" localSheetId="4">'[7]BR1 Form'!#REF!</definedName>
    <definedName name="QRC4R15">'[3]BR1 Form'!#REF!</definedName>
    <definedName name="QRC4R17" localSheetId="18">'[3]BR1 Form'!#REF!</definedName>
    <definedName name="QRC4R17" localSheetId="19">'[3]BR1 Form'!#REF!</definedName>
    <definedName name="QRC4R17" localSheetId="20">'[7]BR1 Form'!#REF!</definedName>
    <definedName name="QRC4R17" localSheetId="21">'[3]BR1 Form'!#REF!</definedName>
    <definedName name="QRC4R17" localSheetId="22">'[3]BR1 Form'!#REF!</definedName>
    <definedName name="QRC4R17" localSheetId="4">'[7]BR1 Form'!#REF!</definedName>
    <definedName name="QRC4R17">'[3]BR1 Form'!#REF!</definedName>
    <definedName name="QRC4R18" localSheetId="18">'[3]BR1 Form'!#REF!</definedName>
    <definedName name="QRC4R18" localSheetId="19">'[3]BR1 Form'!#REF!</definedName>
    <definedName name="QRC4R18" localSheetId="20">'[7]BR1 Form'!#REF!</definedName>
    <definedName name="QRC4R18" localSheetId="21">'[3]BR1 Form'!#REF!</definedName>
    <definedName name="QRC4R18" localSheetId="22">'[3]BR1 Form'!#REF!</definedName>
    <definedName name="QRC4R18" localSheetId="4">'[7]BR1 Form'!#REF!</definedName>
    <definedName name="QRC4R18">'[3]BR1 Form'!#REF!</definedName>
    <definedName name="QRC4R19" localSheetId="18">'[3]BR1 Form'!#REF!</definedName>
    <definedName name="QRC4R19" localSheetId="19">'[3]BR1 Form'!#REF!</definedName>
    <definedName name="QRC4R19" localSheetId="20">'[7]BR1 Form'!#REF!</definedName>
    <definedName name="QRC4R19" localSheetId="21">'[3]BR1 Form'!#REF!</definedName>
    <definedName name="QRC4R19" localSheetId="22">'[3]BR1 Form'!#REF!</definedName>
    <definedName name="QRC4R19" localSheetId="4">'[7]BR1 Form'!#REF!</definedName>
    <definedName name="QRC4R19">'[3]BR1 Form'!#REF!</definedName>
    <definedName name="QRC4R20" localSheetId="18">'[3]BR1 Form'!#REF!</definedName>
    <definedName name="QRC4R20" localSheetId="19">'[3]BR1 Form'!#REF!</definedName>
    <definedName name="QRC4R20" localSheetId="20">'[7]BR1 Form'!#REF!</definedName>
    <definedName name="QRC4R20" localSheetId="21">'[3]BR1 Form'!#REF!</definedName>
    <definedName name="QRC4R20" localSheetId="22">'[3]BR1 Form'!#REF!</definedName>
    <definedName name="QRC4R20" localSheetId="4">'[7]BR1 Form'!#REF!</definedName>
    <definedName name="QRC4R20">'[3]BR1 Form'!#REF!</definedName>
    <definedName name="QRC4R21" localSheetId="18">'[3]BR1 Form'!#REF!</definedName>
    <definedName name="QRC4R21" localSheetId="19">'[3]BR1 Form'!#REF!</definedName>
    <definedName name="QRC4R21" localSheetId="20">'[7]BR1 Form'!#REF!</definedName>
    <definedName name="QRC4R21" localSheetId="21">'[3]BR1 Form'!#REF!</definedName>
    <definedName name="QRC4R21" localSheetId="22">'[3]BR1 Form'!#REF!</definedName>
    <definedName name="QRC4R21" localSheetId="4">'[7]BR1 Form'!#REF!</definedName>
    <definedName name="QRC4R21">'[3]BR1 Form'!#REF!</definedName>
    <definedName name="QRC4R22" localSheetId="18">'[3]BR1 Form'!#REF!</definedName>
    <definedName name="QRC4R22" localSheetId="19">'[3]BR1 Form'!#REF!</definedName>
    <definedName name="QRC4R22" localSheetId="20">'[7]BR1 Form'!#REF!</definedName>
    <definedName name="QRC4R22" localSheetId="21">'[3]BR1 Form'!#REF!</definedName>
    <definedName name="QRC4R22" localSheetId="22">'[3]BR1 Form'!#REF!</definedName>
    <definedName name="QRC4R22" localSheetId="4">'[7]BR1 Form'!#REF!</definedName>
    <definedName name="QRC4R22">'[3]BR1 Form'!#REF!</definedName>
    <definedName name="QRC4R23" localSheetId="18">'[3]BR1 Form'!#REF!</definedName>
    <definedName name="QRC4R23" localSheetId="19">'[3]BR1 Form'!#REF!</definedName>
    <definedName name="QRC4R23" localSheetId="20">'[7]BR1 Form'!#REF!</definedName>
    <definedName name="QRC4R23" localSheetId="21">'[3]BR1 Form'!#REF!</definedName>
    <definedName name="QRC4R23" localSheetId="22">'[3]BR1 Form'!#REF!</definedName>
    <definedName name="QRC4R23" localSheetId="4">'[7]BR1 Form'!#REF!</definedName>
    <definedName name="QRC4R23">'[3]BR1 Form'!#REF!</definedName>
    <definedName name="QRC4R24" localSheetId="18">'[3]BR1 Form'!#REF!</definedName>
    <definedName name="QRC4R24" localSheetId="19">'[3]BR1 Form'!#REF!</definedName>
    <definedName name="QRC4R24" localSheetId="20">'[7]BR1 Form'!#REF!</definedName>
    <definedName name="QRC4R24" localSheetId="21">'[3]BR1 Form'!#REF!</definedName>
    <definedName name="QRC4R24" localSheetId="22">'[3]BR1 Form'!#REF!</definedName>
    <definedName name="QRC4R24" localSheetId="4">'[7]BR1 Form'!#REF!</definedName>
    <definedName name="QRC4R24">'[3]BR1 Form'!#REF!</definedName>
    <definedName name="QRC4R3" localSheetId="18">'[3]BR1 Form'!#REF!</definedName>
    <definedName name="QRC4R3" localSheetId="19">'[3]BR1 Form'!#REF!</definedName>
    <definedName name="QRC4R3" localSheetId="20">'[7]BR1 Form'!#REF!</definedName>
    <definedName name="QRC4R3" localSheetId="21">'[3]BR1 Form'!#REF!</definedName>
    <definedName name="QRC4R3" localSheetId="22">'[3]BR1 Form'!#REF!</definedName>
    <definedName name="QRC4R3" localSheetId="4">'[7]BR1 Form'!#REF!</definedName>
    <definedName name="QRC4R3">'[3]BR1 Form'!#REF!</definedName>
    <definedName name="QRC4R5" localSheetId="18">'[3]BR1 Form'!#REF!</definedName>
    <definedName name="QRC4R5" localSheetId="19">'[3]BR1 Form'!#REF!</definedName>
    <definedName name="QRC4R5" localSheetId="20">'[7]BR1 Form'!#REF!</definedName>
    <definedName name="QRC4R5" localSheetId="21">'[3]BR1 Form'!#REF!</definedName>
    <definedName name="QRC4R5" localSheetId="22">'[3]BR1 Form'!#REF!</definedName>
    <definedName name="QRC4R5" localSheetId="4">'[7]BR1 Form'!#REF!</definedName>
    <definedName name="QRC4R5">'[3]BR1 Form'!#REF!</definedName>
    <definedName name="QRC4R8" localSheetId="18">'[3]BR1 Form'!#REF!</definedName>
    <definedName name="QRC4R8" localSheetId="19">'[3]BR1 Form'!#REF!</definedName>
    <definedName name="QRC4R8" localSheetId="20">'[7]BR1 Form'!#REF!</definedName>
    <definedName name="QRC4R8" localSheetId="21">'[3]BR1 Form'!#REF!</definedName>
    <definedName name="QRC4R8" localSheetId="22">'[3]BR1 Form'!#REF!</definedName>
    <definedName name="QRC4R8" localSheetId="4">'[7]BR1 Form'!#REF!</definedName>
    <definedName name="QRC4R8">'[3]BR1 Form'!#REF!</definedName>
    <definedName name="QRC4R9" localSheetId="18">'[3]BR1 Form'!#REF!</definedName>
    <definedName name="QRC4R9" localSheetId="19">'[3]BR1 Form'!#REF!</definedName>
    <definedName name="QRC4R9" localSheetId="20">'[7]BR1 Form'!#REF!</definedName>
    <definedName name="QRC4R9" localSheetId="21">'[3]BR1 Form'!#REF!</definedName>
    <definedName name="QRC4R9" localSheetId="22">'[3]BR1 Form'!#REF!</definedName>
    <definedName name="QRC4R9" localSheetId="4">'[7]BR1 Form'!#REF!</definedName>
    <definedName name="QRC4R9">'[3]BR1 Form'!#REF!</definedName>
    <definedName name="s" localSheetId="18">'[3]BR1 Form'!#REF!</definedName>
    <definedName name="s" localSheetId="19">'[3]BR1 Form'!#REF!</definedName>
    <definedName name="s" localSheetId="20">'[3]BR1 Form'!#REF!</definedName>
    <definedName name="s" localSheetId="21">'[3]BR1 Form'!#REF!</definedName>
    <definedName name="s" localSheetId="22">'[3]BR1 Form'!#REF!</definedName>
    <definedName name="s">'[3]BR1 Form'!#REF!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4">#REF!</definedName>
    <definedName name="Table" localSheetId="6">#REF!</definedName>
    <definedName name="Table">#REF!</definedName>
    <definedName name="table1" localSheetId="18">#REF!</definedName>
    <definedName name="table1" localSheetId="19">#REF!</definedName>
    <definedName name="table1" localSheetId="20">#REF!</definedName>
    <definedName name="table1" localSheetId="21">#REF!</definedName>
    <definedName name="table1" localSheetId="22">#REF!</definedName>
    <definedName name="table1" localSheetId="6">#REF!</definedName>
    <definedName name="table1">#REF!</definedName>
    <definedName name="Table2" localSheetId="18">#REF!</definedName>
    <definedName name="Table2" localSheetId="19">#REF!</definedName>
    <definedName name="Table2" localSheetId="20">#REF!</definedName>
    <definedName name="Table2" localSheetId="21">#REF!</definedName>
    <definedName name="Table2" localSheetId="22">#REF!</definedName>
    <definedName name="Table2">#REF!</definedName>
    <definedName name="TABLE4" localSheetId="18">#REF!</definedName>
    <definedName name="TABLE4" localSheetId="19">#REF!</definedName>
    <definedName name="TABLE4" localSheetId="20">#REF!</definedName>
    <definedName name="TABLE4" localSheetId="21">#REF!</definedName>
    <definedName name="TABLE4" localSheetId="22">#REF!</definedName>
    <definedName name="TABLE4">#REF!</definedName>
    <definedName name="TABLES">'[8]Billing Table'!$A$10:$S$416</definedName>
    <definedName name="tiersplit">TierSplit!$A$6:$AB$332</definedName>
    <definedName name="Validation" localSheetId="18">#REF!</definedName>
    <definedName name="Validation" localSheetId="19">#REF!</definedName>
    <definedName name="Validation" localSheetId="20">#REF!</definedName>
    <definedName name="Validation" localSheetId="21">#REF!</definedName>
    <definedName name="Validation" localSheetId="22">#REF!</definedName>
    <definedName name="Validation">#REF!</definedName>
    <definedName name="Z_2F8E6036_5947_4F5E_945D_9873F436F281_.wvu.PrintArea" localSheetId="0" hidden="1">Title!$A$1:$D$78</definedName>
    <definedName name="Z_B5645A3C_E444_45D4_B9DE_32E69EE26ECE_.wvu.PrintArea" localSheetId="0" hidden="1">Title!$A$1:$D$78</definedName>
    <definedName name="Z_D2D98166_124C_48C3_869D_DCCD58CD63A0_.wvu.PrintArea" localSheetId="0" hidden="1">Title!$A$1:$D$78</definedName>
    <definedName name="Z_F1E7C9C0_14EA_4AAE_8057_0C463392B390_.wvu.PrintArea" localSheetId="0" hidden="1">Title!$A$1:$D$78</definedName>
    <definedName name="zzz" localSheetId="18">#REF!</definedName>
    <definedName name="zzz" localSheetId="19">#REF!</definedName>
    <definedName name="zzz" localSheetId="20">#REF!</definedName>
    <definedName name="zzz" localSheetId="21">#REF!</definedName>
    <definedName name="zzz" localSheetId="22">#REF!</definedName>
    <definedName name="zzz" localSheetId="6">#REF!</definedName>
    <definedName name="zzz">#REF!</definedName>
  </definedNames>
  <calcPr calcId="145621"/>
</workbook>
</file>

<file path=xl/calcChain.xml><?xml version="1.0" encoding="utf-8"?>
<calcChain xmlns="http://schemas.openxmlformats.org/spreadsheetml/2006/main">
  <c r="O7" i="51" l="1"/>
  <c r="E7" i="51"/>
  <c r="A7" i="57" l="1"/>
  <c r="O66" i="58" l="1"/>
  <c r="O66" i="41"/>
  <c r="U6" i="51" l="1"/>
  <c r="U7" i="51" s="1"/>
  <c r="Q14" i="63" l="1"/>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13" i="63"/>
  <c r="I6" i="51"/>
  <c r="K26" i="58" s="1"/>
  <c r="G6" i="51"/>
  <c r="K23" i="58" s="1"/>
  <c r="B5" i="52" l="1"/>
  <c r="B6" i="52"/>
  <c r="B7" i="52"/>
  <c r="B8" i="52"/>
  <c r="B9" i="52"/>
  <c r="B10" i="52"/>
  <c r="B11" i="52"/>
  <c r="B12" i="52"/>
  <c r="B13" i="52"/>
  <c r="B14" i="52"/>
  <c r="B15" i="52"/>
  <c r="B16" i="52"/>
  <c r="B17" i="52"/>
  <c r="B18" i="52"/>
  <c r="B19" i="52"/>
  <c r="B20" i="52"/>
  <c r="B21" i="52"/>
  <c r="B22" i="52"/>
  <c r="B23" i="52"/>
  <c r="B24" i="52"/>
  <c r="B25" i="52"/>
  <c r="B26" i="52"/>
  <c r="B27" i="52"/>
  <c r="B28" i="52"/>
  <c r="B29" i="52"/>
  <c r="B30" i="52"/>
  <c r="B31" i="52"/>
  <c r="B32" i="52"/>
  <c r="B33" i="52"/>
  <c r="B34" i="52"/>
  <c r="B35" i="52"/>
  <c r="B36" i="52"/>
  <c r="B37" i="52"/>
  <c r="B38" i="52"/>
  <c r="B39" i="52"/>
  <c r="B40" i="52"/>
  <c r="B41" i="52"/>
  <c r="B42" i="52"/>
  <c r="B43" i="52"/>
  <c r="B44" i="52"/>
  <c r="B45" i="52"/>
  <c r="B46" i="52"/>
  <c r="B47" i="52"/>
  <c r="B48" i="52"/>
  <c r="B49" i="52"/>
  <c r="B50" i="52"/>
  <c r="B51" i="52"/>
  <c r="B52" i="52"/>
  <c r="B53" i="52"/>
  <c r="B54" i="52"/>
  <c r="B55" i="52"/>
  <c r="B56" i="52"/>
  <c r="B57" i="52"/>
  <c r="B58" i="52"/>
  <c r="B59" i="52"/>
  <c r="B60" i="52"/>
  <c r="B61" i="52"/>
  <c r="B62" i="52"/>
  <c r="B63" i="52"/>
  <c r="B64" i="52"/>
  <c r="B65" i="52"/>
  <c r="B66" i="52"/>
  <c r="B67" i="52"/>
  <c r="B68" i="52"/>
  <c r="B69" i="52"/>
  <c r="B70" i="52"/>
  <c r="B71" i="52"/>
  <c r="B72" i="52"/>
  <c r="B73" i="52"/>
  <c r="B74" i="52"/>
  <c r="B75" i="52"/>
  <c r="B76" i="52"/>
  <c r="B77" i="52"/>
  <c r="B78" i="52"/>
  <c r="B79" i="52"/>
  <c r="B80" i="52"/>
  <c r="B81" i="52"/>
  <c r="B82" i="52"/>
  <c r="B83" i="52"/>
  <c r="B84" i="52"/>
  <c r="B85" i="52"/>
  <c r="B86" i="52"/>
  <c r="B87" i="52"/>
  <c r="B88" i="52"/>
  <c r="B89" i="52"/>
  <c r="B90" i="52"/>
  <c r="B91" i="52"/>
  <c r="B92" i="52"/>
  <c r="B93" i="52"/>
  <c r="B94" i="52"/>
  <c r="B95" i="52"/>
  <c r="B96" i="52"/>
  <c r="B97" i="52"/>
  <c r="B98" i="52"/>
  <c r="B99" i="52"/>
  <c r="B100" i="52"/>
  <c r="B101" i="52"/>
  <c r="B102" i="52"/>
  <c r="B103" i="52"/>
  <c r="B104" i="52"/>
  <c r="B105" i="52"/>
  <c r="B106" i="52"/>
  <c r="B107" i="52"/>
  <c r="B108" i="52"/>
  <c r="B109" i="52"/>
  <c r="B110" i="52"/>
  <c r="B111" i="52"/>
  <c r="B112" i="52"/>
  <c r="B113" i="52"/>
  <c r="B114" i="52"/>
  <c r="B115" i="52"/>
  <c r="B116" i="52"/>
  <c r="B117" i="52"/>
  <c r="B118" i="52"/>
  <c r="B119" i="52"/>
  <c r="B120" i="52"/>
  <c r="B121" i="52"/>
  <c r="B122" i="52"/>
  <c r="B123" i="52"/>
  <c r="B124" i="52"/>
  <c r="B125" i="52"/>
  <c r="B126" i="52"/>
  <c r="B127" i="52"/>
  <c r="B128" i="52"/>
  <c r="B129" i="52"/>
  <c r="B130" i="52"/>
  <c r="B131" i="52"/>
  <c r="B132" i="52"/>
  <c r="B133" i="52"/>
  <c r="B134" i="52"/>
  <c r="B135" i="52"/>
  <c r="B136" i="52"/>
  <c r="B137" i="52"/>
  <c r="B138" i="52"/>
  <c r="B139" i="52"/>
  <c r="B140" i="52"/>
  <c r="B141" i="52"/>
  <c r="B142" i="52"/>
  <c r="B143" i="52"/>
  <c r="B144" i="52"/>
  <c r="B145" i="52"/>
  <c r="B146" i="52"/>
  <c r="B147" i="52"/>
  <c r="B148" i="52"/>
  <c r="B149" i="52"/>
  <c r="B150" i="52"/>
  <c r="B151" i="52"/>
  <c r="B152" i="52"/>
  <c r="B153" i="52"/>
  <c r="B154" i="52"/>
  <c r="B155" i="52"/>
  <c r="B156" i="52"/>
  <c r="B157" i="52"/>
  <c r="B158" i="52"/>
  <c r="B159" i="52"/>
  <c r="B160" i="52"/>
  <c r="B161" i="52"/>
  <c r="B162" i="52"/>
  <c r="B163" i="52"/>
  <c r="B164" i="52"/>
  <c r="B165" i="52"/>
  <c r="B166" i="52"/>
  <c r="B167" i="52"/>
  <c r="B168" i="52"/>
  <c r="B169" i="52"/>
  <c r="B170" i="52"/>
  <c r="B171" i="52"/>
  <c r="B172" i="52"/>
  <c r="B173" i="52"/>
  <c r="B174" i="52"/>
  <c r="B175" i="52"/>
  <c r="B176" i="52"/>
  <c r="B177" i="52"/>
  <c r="B178" i="52"/>
  <c r="B179" i="52"/>
  <c r="B180" i="52"/>
  <c r="B181" i="52"/>
  <c r="B182" i="52"/>
  <c r="B183" i="52"/>
  <c r="B184" i="52"/>
  <c r="B185" i="52"/>
  <c r="B186" i="52"/>
  <c r="B187" i="52"/>
  <c r="B188" i="52"/>
  <c r="B189" i="52"/>
  <c r="B190" i="52"/>
  <c r="B191" i="52"/>
  <c r="B192" i="52"/>
  <c r="B193" i="52"/>
  <c r="B194" i="52"/>
  <c r="B195" i="52"/>
  <c r="B196" i="52"/>
  <c r="B197" i="52"/>
  <c r="B198" i="52"/>
  <c r="B199" i="52"/>
  <c r="B200" i="52"/>
  <c r="B201" i="52"/>
  <c r="B202" i="52"/>
  <c r="B203" i="52"/>
  <c r="B204" i="52"/>
  <c r="B205" i="52"/>
  <c r="B206" i="52"/>
  <c r="B207" i="52"/>
  <c r="B208" i="52"/>
  <c r="B209" i="52"/>
  <c r="B210" i="52"/>
  <c r="B211" i="52"/>
  <c r="B212" i="52"/>
  <c r="B213" i="52"/>
  <c r="B214" i="52"/>
  <c r="B215" i="52"/>
  <c r="B216" i="52"/>
  <c r="B217" i="52"/>
  <c r="B218" i="52"/>
  <c r="B219" i="52"/>
  <c r="B220" i="52"/>
  <c r="B221" i="52"/>
  <c r="B222" i="52"/>
  <c r="B223" i="52"/>
  <c r="B224" i="52"/>
  <c r="B225" i="52"/>
  <c r="B226" i="52"/>
  <c r="B227" i="52"/>
  <c r="B228" i="52"/>
  <c r="B229" i="52"/>
  <c r="B230" i="52"/>
  <c r="B231" i="52"/>
  <c r="B232" i="52"/>
  <c r="B233" i="52"/>
  <c r="B234" i="52"/>
  <c r="B235" i="52"/>
  <c r="B236" i="52"/>
  <c r="B237" i="52"/>
  <c r="B238" i="52"/>
  <c r="B239" i="52"/>
  <c r="B240" i="52"/>
  <c r="B241" i="52"/>
  <c r="B242" i="52"/>
  <c r="B243" i="52"/>
  <c r="B244" i="52"/>
  <c r="B245" i="52"/>
  <c r="B246" i="52"/>
  <c r="B247" i="52"/>
  <c r="B248" i="52"/>
  <c r="B249" i="52"/>
  <c r="B250" i="52"/>
  <c r="B251" i="52"/>
  <c r="B252" i="52"/>
  <c r="B253" i="52"/>
  <c r="B254" i="52"/>
  <c r="B255" i="52"/>
  <c r="B256" i="52"/>
  <c r="B257" i="52"/>
  <c r="B258" i="52"/>
  <c r="B259" i="52"/>
  <c r="B260" i="52"/>
  <c r="B261" i="52"/>
  <c r="B262" i="52"/>
  <c r="B263" i="52"/>
  <c r="B264" i="52"/>
  <c r="B265" i="52"/>
  <c r="B266" i="52"/>
  <c r="B267" i="52"/>
  <c r="B268" i="52"/>
  <c r="B269" i="52"/>
  <c r="B270" i="52"/>
  <c r="B271" i="52"/>
  <c r="B272" i="52"/>
  <c r="B273" i="52"/>
  <c r="B274" i="52"/>
  <c r="B275" i="52"/>
  <c r="B276" i="52"/>
  <c r="B277" i="52"/>
  <c r="B278" i="52"/>
  <c r="B279" i="52"/>
  <c r="B280" i="52"/>
  <c r="B281" i="52"/>
  <c r="B282" i="52"/>
  <c r="B283" i="52"/>
  <c r="B284" i="52"/>
  <c r="B285" i="52"/>
  <c r="B286" i="52"/>
  <c r="B287" i="52"/>
  <c r="B288" i="52"/>
  <c r="B289" i="52"/>
  <c r="B290" i="52"/>
  <c r="B291" i="52"/>
  <c r="B292" i="52"/>
  <c r="B293" i="52"/>
  <c r="B294" i="52"/>
  <c r="B295" i="52"/>
  <c r="B296" i="52"/>
  <c r="B297" i="52"/>
  <c r="B298" i="52"/>
  <c r="B299" i="52"/>
  <c r="B300" i="52"/>
  <c r="B301" i="52"/>
  <c r="B302" i="52"/>
  <c r="B303" i="52"/>
  <c r="B304" i="52"/>
  <c r="B305" i="52"/>
  <c r="B306"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337" i="52"/>
  <c r="B338" i="52"/>
  <c r="B339" i="52"/>
  <c r="B340" i="52"/>
  <c r="B341" i="52"/>
  <c r="B342" i="52"/>
  <c r="B343" i="52"/>
  <c r="B344" i="52"/>
  <c r="B345" i="52"/>
  <c r="B346" i="52"/>
  <c r="B347" i="52"/>
  <c r="B348" i="52"/>
  <c r="B349" i="52"/>
  <c r="B350" i="52"/>
  <c r="B351" i="52"/>
  <c r="B352" i="52"/>
  <c r="B353" i="52"/>
  <c r="B354" i="52"/>
  <c r="B355" i="52"/>
  <c r="B356" i="52"/>
  <c r="B357" i="52"/>
  <c r="B358" i="52"/>
  <c r="B359" i="52"/>
  <c r="B360" i="52"/>
  <c r="B361" i="52"/>
  <c r="B362" i="52"/>
  <c r="B363" i="52"/>
  <c r="B364" i="52"/>
  <c r="B365" i="52"/>
  <c r="B366" i="52"/>
  <c r="B367" i="52"/>
  <c r="B368" i="52"/>
  <c r="B369" i="52"/>
  <c r="B370" i="52"/>
  <c r="B371" i="52"/>
  <c r="B372" i="52"/>
  <c r="B373" i="52"/>
  <c r="B374" i="52"/>
  <c r="B375" i="52"/>
  <c r="B376" i="52"/>
  <c r="B377" i="52"/>
  <c r="B378" i="52"/>
  <c r="B379" i="52"/>
  <c r="B380" i="52"/>
  <c r="B381" i="52"/>
  <c r="B382" i="52"/>
  <c r="B383" i="52"/>
  <c r="B384" i="52"/>
  <c r="B385" i="52"/>
  <c r="B386" i="52"/>
  <c r="B387" i="52"/>
  <c r="B388" i="52"/>
  <c r="B389" i="52"/>
  <c r="B390" i="52"/>
  <c r="B391" i="52"/>
  <c r="B392" i="52"/>
  <c r="B393" i="52"/>
  <c r="B394" i="52"/>
  <c r="B395" i="52"/>
  <c r="B396" i="52"/>
  <c r="B397" i="52"/>
  <c r="B398" i="52"/>
  <c r="B399" i="52"/>
  <c r="B400" i="52"/>
  <c r="B401" i="52"/>
  <c r="B402" i="52"/>
  <c r="B403" i="52"/>
  <c r="B404" i="52"/>
  <c r="B405" i="52"/>
  <c r="B406" i="52"/>
  <c r="B407" i="52"/>
  <c r="B408" i="52"/>
  <c r="B409" i="52"/>
  <c r="B410" i="52"/>
  <c r="B411" i="52"/>
  <c r="B412" i="52"/>
  <c r="B413" i="52"/>
  <c r="B414" i="52"/>
  <c r="B415" i="52"/>
  <c r="B416" i="52"/>
  <c r="B417" i="52"/>
  <c r="B418" i="52"/>
  <c r="B419" i="52"/>
  <c r="B420" i="52"/>
  <c r="B421" i="52"/>
  <c r="B422" i="52"/>
  <c r="B423" i="52"/>
  <c r="B424" i="52"/>
  <c r="B425" i="52"/>
  <c r="B426" i="52"/>
  <c r="B427" i="52"/>
  <c r="B428" i="52"/>
  <c r="B429" i="52"/>
  <c r="B430" i="52"/>
  <c r="B431" i="52"/>
  <c r="B432" i="52"/>
  <c r="B433" i="52"/>
  <c r="B434" i="52"/>
  <c r="B435" i="52"/>
  <c r="B436" i="52"/>
  <c r="B437" i="52"/>
  <c r="B438" i="52"/>
  <c r="B439" i="52"/>
  <c r="B440" i="52"/>
  <c r="B441" i="52"/>
  <c r="B442" i="52"/>
  <c r="B443" i="52"/>
  <c r="B444" i="52"/>
  <c r="B445" i="52"/>
  <c r="B446" i="52"/>
  <c r="B447" i="52"/>
  <c r="B448" i="52"/>
  <c r="B449" i="52"/>
  <c r="B450" i="52"/>
  <c r="B451" i="52"/>
  <c r="B452" i="52"/>
  <c r="B453" i="52"/>
  <c r="B454" i="52"/>
  <c r="B455" i="52"/>
  <c r="B456" i="52"/>
  <c r="B457" i="52"/>
  <c r="B458" i="52"/>
  <c r="B459" i="52"/>
  <c r="B460" i="52"/>
  <c r="B461" i="52"/>
  <c r="B462" i="52"/>
  <c r="B463" i="52"/>
  <c r="B4" i="52"/>
  <c r="F431" i="34" l="1"/>
  <c r="F430" i="34"/>
  <c r="F211" i="34"/>
  <c r="F210" i="34"/>
  <c r="F209" i="34"/>
  <c r="J173" i="6" l="1"/>
  <c r="AL162" i="57" l="1"/>
  <c r="AJ162" i="57"/>
  <c r="AF162" i="57"/>
  <c r="AB162" i="57"/>
  <c r="AJ159" i="57"/>
  <c r="AF159" i="57"/>
  <c r="AL159" i="57" s="1"/>
  <c r="AB159" i="57"/>
  <c r="N165" i="57"/>
  <c r="J165" i="57"/>
  <c r="N162" i="57"/>
  <c r="J162" i="57"/>
  <c r="N159" i="57"/>
  <c r="J159" i="57"/>
  <c r="W122" i="56"/>
  <c r="W119" i="56"/>
  <c r="W116" i="56"/>
  <c r="N116" i="56" s="1"/>
  <c r="W92" i="56"/>
  <c r="N165" i="6"/>
  <c r="J165" i="6"/>
  <c r="R162" i="6"/>
  <c r="W162" i="6" s="1"/>
  <c r="R162" i="57" l="1"/>
  <c r="W162" i="57" s="1"/>
  <c r="R159" i="57"/>
  <c r="N138" i="6" l="1"/>
  <c r="L28" i="23" l="1"/>
  <c r="K26" i="41" l="1"/>
  <c r="F1" i="56" l="1"/>
  <c r="AO179" i="56" l="1"/>
  <c r="AN179" i="56"/>
  <c r="AL179" i="56"/>
  <c r="AK179" i="56"/>
  <c r="AI179" i="56"/>
  <c r="AH179" i="56"/>
  <c r="AF179" i="56"/>
  <c r="AE179" i="56"/>
  <c r="AD179" i="56"/>
  <c r="C215" i="56"/>
  <c r="R18" i="56"/>
  <c r="R19" i="56"/>
  <c r="R20" i="56"/>
  <c r="K38" i="56"/>
  <c r="W77" i="56"/>
  <c r="X77" i="56"/>
  <c r="AB116" i="56"/>
  <c r="W154" i="56"/>
  <c r="X154" i="56"/>
  <c r="F314" i="34" l="1"/>
  <c r="A59" i="56" l="1"/>
  <c r="K36" i="56"/>
  <c r="AC6" i="63"/>
  <c r="AM24" i="63"/>
  <c r="AE26" i="63"/>
  <c r="AM40" i="63"/>
  <c r="AO40" i="63"/>
  <c r="AO48" i="63"/>
  <c r="AE49" i="63"/>
  <c r="U14" i="63"/>
  <c r="AU14" i="63" s="1"/>
  <c r="U15" i="63"/>
  <c r="AU15" i="63" s="1"/>
  <c r="U16" i="63"/>
  <c r="AU16" i="63" s="1"/>
  <c r="U17" i="63"/>
  <c r="AU17" i="63" s="1"/>
  <c r="U18" i="63"/>
  <c r="AU18" i="63" s="1"/>
  <c r="U19" i="63"/>
  <c r="AU19" i="63" s="1"/>
  <c r="U20" i="63"/>
  <c r="AU20" i="63" s="1"/>
  <c r="U21" i="63"/>
  <c r="AU21" i="63" s="1"/>
  <c r="U22" i="63"/>
  <c r="AU22" i="63" s="1"/>
  <c r="U23" i="63"/>
  <c r="AU23" i="63" s="1"/>
  <c r="U24" i="63"/>
  <c r="AU24" i="63" s="1"/>
  <c r="U25" i="63"/>
  <c r="AU25" i="63" s="1"/>
  <c r="U26" i="63"/>
  <c r="AU26" i="63" s="1"/>
  <c r="U27" i="63"/>
  <c r="AU27" i="63" s="1"/>
  <c r="U28" i="63"/>
  <c r="AU28" i="63" s="1"/>
  <c r="U29" i="63"/>
  <c r="AU29" i="63" s="1"/>
  <c r="U30" i="63"/>
  <c r="AU30" i="63" s="1"/>
  <c r="U31" i="63"/>
  <c r="AU31" i="63" s="1"/>
  <c r="U32" i="63"/>
  <c r="AU32" i="63" s="1"/>
  <c r="U33" i="63"/>
  <c r="AU33" i="63" s="1"/>
  <c r="U34" i="63"/>
  <c r="AU34" i="63" s="1"/>
  <c r="U35" i="63"/>
  <c r="AU35" i="63" s="1"/>
  <c r="U36" i="63"/>
  <c r="AU36" i="63" s="1"/>
  <c r="U37" i="63"/>
  <c r="AU37" i="63" s="1"/>
  <c r="U38" i="63"/>
  <c r="AU38" i="63" s="1"/>
  <c r="U39" i="63"/>
  <c r="AU39" i="63" s="1"/>
  <c r="U40" i="63"/>
  <c r="AU40" i="63" s="1"/>
  <c r="U41" i="63"/>
  <c r="AU41" i="63" s="1"/>
  <c r="U42" i="63"/>
  <c r="AU42" i="63" s="1"/>
  <c r="U43" i="63"/>
  <c r="AU43" i="63" s="1"/>
  <c r="U44" i="63"/>
  <c r="AU44" i="63" s="1"/>
  <c r="U45" i="63"/>
  <c r="AU45" i="63" s="1"/>
  <c r="U46" i="63"/>
  <c r="AU46" i="63" s="1"/>
  <c r="U47" i="63"/>
  <c r="AU47" i="63" s="1"/>
  <c r="U48" i="63"/>
  <c r="AU48" i="63" s="1"/>
  <c r="U49" i="63"/>
  <c r="AU49" i="63" s="1"/>
  <c r="U50" i="63"/>
  <c r="AU50" i="63" s="1"/>
  <c r="U51" i="63"/>
  <c r="AU51" i="63" s="1"/>
  <c r="U52" i="63"/>
  <c r="AU52" i="63" s="1"/>
  <c r="U53" i="63"/>
  <c r="AU53" i="63" s="1"/>
  <c r="O14" i="63"/>
  <c r="AO14" i="63" s="1"/>
  <c r="O15" i="63"/>
  <c r="AO15" i="63" s="1"/>
  <c r="O16" i="63"/>
  <c r="AO16" i="63" s="1"/>
  <c r="O17" i="63"/>
  <c r="AO17" i="63" s="1"/>
  <c r="O18" i="63"/>
  <c r="AO18" i="63" s="1"/>
  <c r="O19" i="63"/>
  <c r="AO19" i="63" s="1"/>
  <c r="O20" i="63"/>
  <c r="AO20" i="63" s="1"/>
  <c r="O21" i="63"/>
  <c r="AO21" i="63" s="1"/>
  <c r="O22" i="63"/>
  <c r="AO22" i="63" s="1"/>
  <c r="O23" i="63"/>
  <c r="AO23" i="63" s="1"/>
  <c r="O24" i="63"/>
  <c r="AO24" i="63" s="1"/>
  <c r="O25" i="63"/>
  <c r="AO25" i="63" s="1"/>
  <c r="O26" i="63"/>
  <c r="AO26" i="63" s="1"/>
  <c r="O27" i="63"/>
  <c r="AO27" i="63" s="1"/>
  <c r="O28" i="63"/>
  <c r="AO28" i="63" s="1"/>
  <c r="O29" i="63"/>
  <c r="AO29" i="63" s="1"/>
  <c r="O30" i="63"/>
  <c r="AO30" i="63" s="1"/>
  <c r="O31" i="63"/>
  <c r="AO31" i="63" s="1"/>
  <c r="O32" i="63"/>
  <c r="AO32" i="63" s="1"/>
  <c r="O33" i="63"/>
  <c r="AO33" i="63" s="1"/>
  <c r="O34" i="63"/>
  <c r="AO34" i="63" s="1"/>
  <c r="O35" i="63"/>
  <c r="AO35" i="63" s="1"/>
  <c r="O36" i="63"/>
  <c r="AO36" i="63" s="1"/>
  <c r="O37" i="63"/>
  <c r="AO37" i="63" s="1"/>
  <c r="O38" i="63"/>
  <c r="AO38" i="63" s="1"/>
  <c r="O39" i="63"/>
  <c r="AO39" i="63" s="1"/>
  <c r="O40" i="63"/>
  <c r="O41" i="63"/>
  <c r="AO41" i="63" s="1"/>
  <c r="O42" i="63"/>
  <c r="AO42" i="63" s="1"/>
  <c r="O43" i="63"/>
  <c r="AO43" i="63" s="1"/>
  <c r="O44" i="63"/>
  <c r="AO44" i="63" s="1"/>
  <c r="O45" i="63"/>
  <c r="AO45" i="63" s="1"/>
  <c r="O46" i="63"/>
  <c r="AO46" i="63" s="1"/>
  <c r="O47" i="63"/>
  <c r="AO47" i="63" s="1"/>
  <c r="O48" i="63"/>
  <c r="O49" i="63"/>
  <c r="AO49" i="63" s="1"/>
  <c r="O50" i="63"/>
  <c r="AO50" i="63" s="1"/>
  <c r="O51" i="63"/>
  <c r="AO51" i="63" s="1"/>
  <c r="O52" i="63"/>
  <c r="AO52" i="63" s="1"/>
  <c r="O53" i="63"/>
  <c r="AO53" i="63" s="1"/>
  <c r="M14" i="63"/>
  <c r="AM14" i="63" s="1"/>
  <c r="M15" i="63"/>
  <c r="AM15" i="63" s="1"/>
  <c r="M16" i="63"/>
  <c r="AM16" i="63" s="1"/>
  <c r="M17" i="63"/>
  <c r="AM17" i="63" s="1"/>
  <c r="M18" i="63"/>
  <c r="AM18" i="63" s="1"/>
  <c r="M19" i="63"/>
  <c r="AM19" i="63" s="1"/>
  <c r="M20" i="63"/>
  <c r="AM20" i="63" s="1"/>
  <c r="M21" i="63"/>
  <c r="AM21" i="63" s="1"/>
  <c r="M22" i="63"/>
  <c r="AM22" i="63" s="1"/>
  <c r="M23" i="63"/>
  <c r="AM23" i="63" s="1"/>
  <c r="M24" i="63"/>
  <c r="M25" i="63"/>
  <c r="AM25" i="63" s="1"/>
  <c r="M26" i="63"/>
  <c r="AM26" i="63" s="1"/>
  <c r="M27" i="63"/>
  <c r="AM27" i="63" s="1"/>
  <c r="M28" i="63"/>
  <c r="AM28" i="63" s="1"/>
  <c r="M29" i="63"/>
  <c r="AM29" i="63" s="1"/>
  <c r="M30" i="63"/>
  <c r="AM30" i="63" s="1"/>
  <c r="M31" i="63"/>
  <c r="AM31" i="63" s="1"/>
  <c r="M32" i="63"/>
  <c r="AM32" i="63" s="1"/>
  <c r="M33" i="63"/>
  <c r="AM33" i="63" s="1"/>
  <c r="M34" i="63"/>
  <c r="AM34" i="63" s="1"/>
  <c r="M35" i="63"/>
  <c r="AM35" i="63" s="1"/>
  <c r="M36" i="63"/>
  <c r="AM36" i="63" s="1"/>
  <c r="M37" i="63"/>
  <c r="AM37" i="63" s="1"/>
  <c r="M38" i="63"/>
  <c r="AM38" i="63" s="1"/>
  <c r="M39" i="63"/>
  <c r="AM39" i="63" s="1"/>
  <c r="M40" i="63"/>
  <c r="M41" i="63"/>
  <c r="AM41" i="63" s="1"/>
  <c r="M42" i="63"/>
  <c r="AM42" i="63" s="1"/>
  <c r="M43" i="63"/>
  <c r="AM43" i="63" s="1"/>
  <c r="M44" i="63"/>
  <c r="AM44" i="63" s="1"/>
  <c r="M45" i="63"/>
  <c r="AM45" i="63" s="1"/>
  <c r="M46" i="63"/>
  <c r="AM46" i="63" s="1"/>
  <c r="M47" i="63"/>
  <c r="AM47" i="63" s="1"/>
  <c r="M48" i="63"/>
  <c r="AM48" i="63" s="1"/>
  <c r="M49" i="63"/>
  <c r="AM49" i="63" s="1"/>
  <c r="M50" i="63"/>
  <c r="AM50" i="63" s="1"/>
  <c r="M51" i="63"/>
  <c r="AM51" i="63" s="1"/>
  <c r="M52" i="63"/>
  <c r="AM52" i="63" s="1"/>
  <c r="M53" i="63"/>
  <c r="AM53" i="63" s="1"/>
  <c r="I53" i="63"/>
  <c r="AI53" i="63" s="1"/>
  <c r="I14" i="63"/>
  <c r="AI14" i="63" s="1"/>
  <c r="I15" i="63"/>
  <c r="AI15" i="63" s="1"/>
  <c r="I16" i="63"/>
  <c r="AI16" i="63" s="1"/>
  <c r="I17" i="63"/>
  <c r="AI17" i="63" s="1"/>
  <c r="I18" i="63"/>
  <c r="AI18" i="63" s="1"/>
  <c r="I19" i="63"/>
  <c r="AI19" i="63" s="1"/>
  <c r="I20" i="63"/>
  <c r="AI20" i="63" s="1"/>
  <c r="I21" i="63"/>
  <c r="AI21" i="63" s="1"/>
  <c r="I22" i="63"/>
  <c r="AI22" i="63" s="1"/>
  <c r="I23" i="63"/>
  <c r="AI23" i="63" s="1"/>
  <c r="I24" i="63"/>
  <c r="AI24" i="63" s="1"/>
  <c r="I25" i="63"/>
  <c r="AI25" i="63" s="1"/>
  <c r="I26" i="63"/>
  <c r="AI26" i="63" s="1"/>
  <c r="I27" i="63"/>
  <c r="AI27" i="63" s="1"/>
  <c r="I28" i="63"/>
  <c r="AI28" i="63" s="1"/>
  <c r="I29" i="63"/>
  <c r="AI29" i="63" s="1"/>
  <c r="I30" i="63"/>
  <c r="AI30" i="63" s="1"/>
  <c r="I31" i="63"/>
  <c r="AI31" i="63" s="1"/>
  <c r="I32" i="63"/>
  <c r="AI32" i="63" s="1"/>
  <c r="I33" i="63"/>
  <c r="AI33" i="63" s="1"/>
  <c r="I34" i="63"/>
  <c r="AI34" i="63" s="1"/>
  <c r="I35" i="63"/>
  <c r="AI35" i="63" s="1"/>
  <c r="I36" i="63"/>
  <c r="AI36" i="63" s="1"/>
  <c r="I37" i="63"/>
  <c r="AI37" i="63" s="1"/>
  <c r="I38" i="63"/>
  <c r="AI38" i="63" s="1"/>
  <c r="I39" i="63"/>
  <c r="AI39" i="63" s="1"/>
  <c r="I40" i="63"/>
  <c r="AI40" i="63" s="1"/>
  <c r="I41" i="63"/>
  <c r="AI41" i="63" s="1"/>
  <c r="I42" i="63"/>
  <c r="AI42" i="63" s="1"/>
  <c r="I43" i="63"/>
  <c r="AI43" i="63" s="1"/>
  <c r="I44" i="63"/>
  <c r="AI44" i="63" s="1"/>
  <c r="I45" i="63"/>
  <c r="AI45" i="63" s="1"/>
  <c r="I46" i="63"/>
  <c r="AI46" i="63" s="1"/>
  <c r="I47" i="63"/>
  <c r="AI47" i="63" s="1"/>
  <c r="I48" i="63"/>
  <c r="AI48" i="63" s="1"/>
  <c r="I49" i="63"/>
  <c r="AI49" i="63" s="1"/>
  <c r="I50" i="63"/>
  <c r="AI50" i="63" s="1"/>
  <c r="I51" i="63"/>
  <c r="AI51" i="63" s="1"/>
  <c r="I52" i="63"/>
  <c r="AI52" i="63" s="1"/>
  <c r="G14" i="63"/>
  <c r="AG14" i="63" s="1"/>
  <c r="G15" i="63"/>
  <c r="AG15" i="63" s="1"/>
  <c r="G16" i="63"/>
  <c r="AG16" i="63" s="1"/>
  <c r="G17" i="63"/>
  <c r="AG17" i="63" s="1"/>
  <c r="G18" i="63"/>
  <c r="AG18" i="63" s="1"/>
  <c r="G19" i="63"/>
  <c r="AG19" i="63" s="1"/>
  <c r="G20" i="63"/>
  <c r="AG20" i="63" s="1"/>
  <c r="G21" i="63"/>
  <c r="AG21" i="63" s="1"/>
  <c r="G22" i="63"/>
  <c r="AG22" i="63" s="1"/>
  <c r="G23" i="63"/>
  <c r="AG23" i="63" s="1"/>
  <c r="G24" i="63"/>
  <c r="AG24" i="63" s="1"/>
  <c r="G25" i="63"/>
  <c r="AG25" i="63" s="1"/>
  <c r="G26" i="63"/>
  <c r="AG26" i="63" s="1"/>
  <c r="G27" i="63"/>
  <c r="AG27" i="63" s="1"/>
  <c r="G28" i="63"/>
  <c r="AG28" i="63" s="1"/>
  <c r="G29" i="63"/>
  <c r="AG29" i="63" s="1"/>
  <c r="G30" i="63"/>
  <c r="AG30" i="63" s="1"/>
  <c r="G31" i="63"/>
  <c r="AG31" i="63" s="1"/>
  <c r="G32" i="63"/>
  <c r="AG32" i="63" s="1"/>
  <c r="G33" i="63"/>
  <c r="AG33" i="63" s="1"/>
  <c r="G34" i="63"/>
  <c r="AG34" i="63" s="1"/>
  <c r="G35" i="63"/>
  <c r="AG35" i="63" s="1"/>
  <c r="G36" i="63"/>
  <c r="AG36" i="63" s="1"/>
  <c r="G37" i="63"/>
  <c r="AG37" i="63" s="1"/>
  <c r="G38" i="63"/>
  <c r="AG38" i="63" s="1"/>
  <c r="G39" i="63"/>
  <c r="AG39" i="63" s="1"/>
  <c r="G40" i="63"/>
  <c r="AG40" i="63" s="1"/>
  <c r="G41" i="63"/>
  <c r="AG41" i="63" s="1"/>
  <c r="G42" i="63"/>
  <c r="AG42" i="63" s="1"/>
  <c r="G43" i="63"/>
  <c r="AG43" i="63" s="1"/>
  <c r="G44" i="63"/>
  <c r="AG44" i="63" s="1"/>
  <c r="G45" i="63"/>
  <c r="AG45" i="63" s="1"/>
  <c r="G46" i="63"/>
  <c r="AG46" i="63" s="1"/>
  <c r="G47" i="63"/>
  <c r="AG47" i="63" s="1"/>
  <c r="G48" i="63"/>
  <c r="AG48" i="63" s="1"/>
  <c r="G49" i="63"/>
  <c r="AG49" i="63" s="1"/>
  <c r="G50" i="63"/>
  <c r="AG50" i="63" s="1"/>
  <c r="G51" i="63"/>
  <c r="AG51" i="63" s="1"/>
  <c r="G52" i="63"/>
  <c r="AG52" i="63" s="1"/>
  <c r="G53" i="63"/>
  <c r="AG53" i="63" s="1"/>
  <c r="E14" i="63"/>
  <c r="AE14" i="63" s="1"/>
  <c r="E15" i="63"/>
  <c r="AE15" i="63" s="1"/>
  <c r="E16" i="63"/>
  <c r="AE16" i="63" s="1"/>
  <c r="E17" i="63"/>
  <c r="AE17" i="63" s="1"/>
  <c r="E18" i="63"/>
  <c r="AE18" i="63" s="1"/>
  <c r="E19" i="63"/>
  <c r="AE19" i="63" s="1"/>
  <c r="E20" i="63"/>
  <c r="AE20" i="63" s="1"/>
  <c r="E21" i="63"/>
  <c r="AE21" i="63" s="1"/>
  <c r="E22" i="63"/>
  <c r="AE22" i="63" s="1"/>
  <c r="E23" i="63"/>
  <c r="AE23" i="63" s="1"/>
  <c r="E24" i="63"/>
  <c r="AE24" i="63" s="1"/>
  <c r="E25" i="63"/>
  <c r="AE25" i="63" s="1"/>
  <c r="E26" i="63"/>
  <c r="E27" i="63"/>
  <c r="AE27" i="63" s="1"/>
  <c r="E28" i="63"/>
  <c r="AE28" i="63" s="1"/>
  <c r="E29" i="63"/>
  <c r="AE29" i="63" s="1"/>
  <c r="E30" i="63"/>
  <c r="AE30" i="63" s="1"/>
  <c r="E31" i="63"/>
  <c r="AE31" i="63" s="1"/>
  <c r="E32" i="63"/>
  <c r="AE32" i="63" s="1"/>
  <c r="E33" i="63"/>
  <c r="AE33" i="63" s="1"/>
  <c r="E34" i="63"/>
  <c r="AE34" i="63" s="1"/>
  <c r="E35" i="63"/>
  <c r="AE35" i="63" s="1"/>
  <c r="E36" i="63"/>
  <c r="AE36" i="63" s="1"/>
  <c r="E37" i="63"/>
  <c r="AE37" i="63" s="1"/>
  <c r="E38" i="63"/>
  <c r="AE38" i="63" s="1"/>
  <c r="E39" i="63"/>
  <c r="AE39" i="63" s="1"/>
  <c r="E40" i="63"/>
  <c r="AE40" i="63" s="1"/>
  <c r="E41" i="63"/>
  <c r="AE41" i="63" s="1"/>
  <c r="E42" i="63"/>
  <c r="AE42" i="63" s="1"/>
  <c r="E43" i="63"/>
  <c r="AE43" i="63" s="1"/>
  <c r="E44" i="63"/>
  <c r="AE44" i="63" s="1"/>
  <c r="E45" i="63"/>
  <c r="AE45" i="63" s="1"/>
  <c r="E46" i="63"/>
  <c r="AE46" i="63" s="1"/>
  <c r="E47" i="63"/>
  <c r="AE47" i="63" s="1"/>
  <c r="E48" i="63"/>
  <c r="AE48" i="63" s="1"/>
  <c r="E49" i="63"/>
  <c r="E50" i="63"/>
  <c r="AE50" i="63" s="1"/>
  <c r="E51" i="63"/>
  <c r="AE51" i="63" s="1"/>
  <c r="E52" i="63"/>
  <c r="AE52" i="63" s="1"/>
  <c r="E53" i="63"/>
  <c r="AE53" i="63" s="1"/>
  <c r="U13" i="63"/>
  <c r="AU13" i="63" s="1"/>
  <c r="O13" i="63"/>
  <c r="AO13" i="63" s="1"/>
  <c r="M13" i="63"/>
  <c r="AM13" i="63" s="1"/>
  <c r="I13" i="63"/>
  <c r="AI13" i="63" s="1"/>
  <c r="G13" i="63"/>
  <c r="AG13" i="63" s="1"/>
  <c r="E13" i="63"/>
  <c r="E6" i="63" s="1"/>
  <c r="AE13" i="63" l="1"/>
  <c r="C65" i="56"/>
  <c r="A65" i="56" s="1"/>
  <c r="AB45" i="56" s="1"/>
  <c r="K40" i="56"/>
  <c r="U6" i="63"/>
  <c r="AU6" i="63" s="1"/>
  <c r="O6" i="63"/>
  <c r="M6" i="63"/>
  <c r="I6" i="63"/>
  <c r="AI6" i="63" s="1"/>
  <c r="G6" i="63"/>
  <c r="AG6" i="63" s="1"/>
  <c r="C67" i="56" l="1"/>
  <c r="A67" i="56" s="1"/>
  <c r="AB47" i="56" s="1"/>
  <c r="W104" i="56"/>
  <c r="N104" i="56" s="1"/>
  <c r="AB104" i="56" s="1"/>
  <c r="C138" i="56" s="1"/>
  <c r="A138" i="56" s="1"/>
  <c r="K2" i="34"/>
  <c r="D42" i="61"/>
  <c r="F42" i="61"/>
  <c r="G42" i="61"/>
  <c r="H42" i="61"/>
  <c r="J42" i="61"/>
  <c r="K42" i="61"/>
  <c r="N42" i="61"/>
  <c r="D40" i="61"/>
  <c r="F40" i="61"/>
  <c r="G40" i="61"/>
  <c r="H40" i="61"/>
  <c r="J40" i="61"/>
  <c r="K40" i="61"/>
  <c r="N40" i="61"/>
  <c r="D41" i="61"/>
  <c r="F41" i="61"/>
  <c r="G41" i="61"/>
  <c r="H41" i="61"/>
  <c r="J41" i="61"/>
  <c r="K41" i="61"/>
  <c r="N41" i="61"/>
  <c r="D37" i="61"/>
  <c r="F37" i="61"/>
  <c r="G37" i="61"/>
  <c r="H37" i="61"/>
  <c r="J37" i="61"/>
  <c r="K37" i="61"/>
  <c r="N37" i="61"/>
  <c r="D38" i="61"/>
  <c r="F38" i="61"/>
  <c r="G38" i="61"/>
  <c r="H38" i="61"/>
  <c r="J38" i="61"/>
  <c r="K38" i="61"/>
  <c r="N38" i="61"/>
  <c r="D39" i="61"/>
  <c r="F39" i="61"/>
  <c r="G39" i="61"/>
  <c r="H39" i="61"/>
  <c r="J39" i="61"/>
  <c r="K39" i="61"/>
  <c r="N39" i="61"/>
  <c r="D34" i="61"/>
  <c r="F34" i="61"/>
  <c r="G34" i="61"/>
  <c r="H34" i="61"/>
  <c r="J34" i="61"/>
  <c r="K34" i="61"/>
  <c r="N34" i="61"/>
  <c r="D35" i="61"/>
  <c r="F35" i="61"/>
  <c r="G35" i="61"/>
  <c r="H35" i="61"/>
  <c r="J35" i="61"/>
  <c r="K35" i="61"/>
  <c r="N35" i="61"/>
  <c r="D36" i="61"/>
  <c r="F36" i="61"/>
  <c r="G36" i="61"/>
  <c r="H36" i="61"/>
  <c r="J36" i="61"/>
  <c r="K36" i="61"/>
  <c r="N36" i="61"/>
  <c r="D3" i="61"/>
  <c r="F3" i="61"/>
  <c r="G3" i="61"/>
  <c r="H3" i="61"/>
  <c r="J3" i="61"/>
  <c r="K3" i="61"/>
  <c r="N3" i="61"/>
  <c r="D4" i="61"/>
  <c r="F4" i="61"/>
  <c r="G4" i="61"/>
  <c r="H4" i="61"/>
  <c r="J4" i="61"/>
  <c r="K4" i="61"/>
  <c r="N4" i="61"/>
  <c r="D5" i="61"/>
  <c r="F5" i="61"/>
  <c r="G5" i="61"/>
  <c r="H5" i="61"/>
  <c r="J5" i="61"/>
  <c r="K5" i="61"/>
  <c r="N5" i="61"/>
  <c r="D6" i="61"/>
  <c r="F6" i="61"/>
  <c r="G6" i="61"/>
  <c r="H6" i="61"/>
  <c r="J6" i="61"/>
  <c r="K6" i="61"/>
  <c r="N6" i="61"/>
  <c r="D7" i="61"/>
  <c r="F7" i="61"/>
  <c r="G7" i="61"/>
  <c r="H7" i="61"/>
  <c r="J7" i="61"/>
  <c r="K7" i="61"/>
  <c r="N7" i="61"/>
  <c r="D8" i="61"/>
  <c r="F8" i="61"/>
  <c r="G8" i="61"/>
  <c r="H8" i="61"/>
  <c r="J8" i="61"/>
  <c r="K8" i="61"/>
  <c r="N8" i="61"/>
  <c r="D9" i="61"/>
  <c r="F9" i="61"/>
  <c r="G9" i="61"/>
  <c r="H9" i="61"/>
  <c r="J9" i="61"/>
  <c r="K9" i="61"/>
  <c r="N9" i="61"/>
  <c r="D10" i="61"/>
  <c r="F10" i="61"/>
  <c r="G10" i="61"/>
  <c r="H10" i="61"/>
  <c r="J10" i="61"/>
  <c r="K10" i="61"/>
  <c r="N10" i="61"/>
  <c r="D11" i="61"/>
  <c r="F11" i="61"/>
  <c r="G11" i="61"/>
  <c r="H11" i="61"/>
  <c r="J11" i="61"/>
  <c r="K11" i="61"/>
  <c r="N11" i="61"/>
  <c r="D12" i="61"/>
  <c r="F12" i="61"/>
  <c r="G12" i="61"/>
  <c r="H12" i="61"/>
  <c r="J12" i="61"/>
  <c r="K12" i="61"/>
  <c r="N12" i="61"/>
  <c r="D13" i="61"/>
  <c r="F13" i="61"/>
  <c r="G13" i="61"/>
  <c r="H13" i="61"/>
  <c r="J13" i="61"/>
  <c r="K13" i="61"/>
  <c r="N13" i="61"/>
  <c r="D14" i="61"/>
  <c r="F14" i="61"/>
  <c r="G14" i="61"/>
  <c r="H14" i="61"/>
  <c r="J14" i="61"/>
  <c r="K14" i="61"/>
  <c r="N14" i="61"/>
  <c r="D15" i="61"/>
  <c r="F15" i="61"/>
  <c r="G15" i="61"/>
  <c r="H15" i="61"/>
  <c r="J15" i="61"/>
  <c r="K15" i="61"/>
  <c r="N15" i="61"/>
  <c r="D16" i="61"/>
  <c r="F16" i="61"/>
  <c r="G16" i="61"/>
  <c r="H16" i="61"/>
  <c r="J16" i="61"/>
  <c r="K16" i="61"/>
  <c r="N16" i="61"/>
  <c r="D17" i="61"/>
  <c r="F17" i="61"/>
  <c r="G17" i="61"/>
  <c r="H17" i="61"/>
  <c r="J17" i="61"/>
  <c r="K17" i="61"/>
  <c r="N17" i="61"/>
  <c r="D18" i="61"/>
  <c r="F18" i="61"/>
  <c r="G18" i="61"/>
  <c r="H18" i="61"/>
  <c r="J18" i="61"/>
  <c r="K18" i="61"/>
  <c r="N18" i="61"/>
  <c r="D19" i="61"/>
  <c r="F19" i="61"/>
  <c r="G19" i="61"/>
  <c r="H19" i="61"/>
  <c r="J19" i="61"/>
  <c r="K19" i="61"/>
  <c r="N19" i="61"/>
  <c r="D20" i="61"/>
  <c r="F20" i="61"/>
  <c r="G20" i="61"/>
  <c r="H20" i="61"/>
  <c r="J20" i="61"/>
  <c r="K20" i="61"/>
  <c r="N20" i="61"/>
  <c r="D21" i="61"/>
  <c r="F21" i="61"/>
  <c r="G21" i="61"/>
  <c r="H21" i="61"/>
  <c r="J21" i="61"/>
  <c r="K21" i="61"/>
  <c r="N21" i="61"/>
  <c r="D22" i="61"/>
  <c r="F22" i="61"/>
  <c r="G22" i="61"/>
  <c r="H22" i="61"/>
  <c r="J22" i="61"/>
  <c r="K22" i="61"/>
  <c r="N22" i="61"/>
  <c r="D23" i="61"/>
  <c r="F23" i="61"/>
  <c r="G23" i="61"/>
  <c r="H23" i="61"/>
  <c r="J23" i="61"/>
  <c r="K23" i="61"/>
  <c r="N23" i="61"/>
  <c r="D24" i="61"/>
  <c r="F24" i="61"/>
  <c r="G24" i="61"/>
  <c r="H24" i="61"/>
  <c r="J24" i="61"/>
  <c r="K24" i="61"/>
  <c r="N24" i="61"/>
  <c r="D25" i="61"/>
  <c r="F25" i="61"/>
  <c r="G25" i="61"/>
  <c r="H25" i="61"/>
  <c r="J25" i="61"/>
  <c r="K25" i="61"/>
  <c r="N25" i="61"/>
  <c r="D26" i="61"/>
  <c r="F26" i="61"/>
  <c r="G26" i="61"/>
  <c r="H26" i="61"/>
  <c r="J26" i="61"/>
  <c r="K26" i="61"/>
  <c r="N26" i="61"/>
  <c r="D27" i="61"/>
  <c r="F27" i="61"/>
  <c r="G27" i="61"/>
  <c r="H27" i="61"/>
  <c r="J27" i="61"/>
  <c r="K27" i="61"/>
  <c r="N27" i="61"/>
  <c r="D28" i="61"/>
  <c r="F28" i="61"/>
  <c r="G28" i="61"/>
  <c r="H28" i="61"/>
  <c r="J28" i="61"/>
  <c r="K28" i="61"/>
  <c r="N28" i="61"/>
  <c r="D29" i="61"/>
  <c r="F29" i="61"/>
  <c r="G29" i="61"/>
  <c r="H29" i="61"/>
  <c r="J29" i="61"/>
  <c r="K29" i="61"/>
  <c r="N29" i="61"/>
  <c r="D30" i="61"/>
  <c r="F30" i="61"/>
  <c r="G30" i="61"/>
  <c r="H30" i="61"/>
  <c r="J30" i="61"/>
  <c r="K30" i="61"/>
  <c r="N30" i="61"/>
  <c r="D31" i="61"/>
  <c r="F31" i="61"/>
  <c r="G31" i="61"/>
  <c r="H31" i="61"/>
  <c r="J31" i="61"/>
  <c r="K31" i="61"/>
  <c r="N31" i="61"/>
  <c r="D32" i="61"/>
  <c r="F32" i="61"/>
  <c r="G32" i="61"/>
  <c r="H32" i="61"/>
  <c r="J32" i="61"/>
  <c r="K32" i="61"/>
  <c r="N32" i="61"/>
  <c r="D33" i="61"/>
  <c r="F33" i="61"/>
  <c r="G33" i="61"/>
  <c r="H33" i="61"/>
  <c r="J33" i="61"/>
  <c r="K33" i="61"/>
  <c r="N33" i="61"/>
  <c r="N2" i="61"/>
  <c r="G2" i="61"/>
  <c r="H2" i="61"/>
  <c r="J2" i="61"/>
  <c r="K2" i="61"/>
  <c r="F2" i="61"/>
  <c r="D2" i="61"/>
  <c r="M2" i="34" l="1"/>
  <c r="L2" i="34"/>
  <c r="G354" i="34"/>
  <c r="G353" i="34"/>
  <c r="G343" i="34"/>
  <c r="G344" i="34"/>
  <c r="G345" i="34"/>
  <c r="G346" i="34"/>
  <c r="G347" i="34"/>
  <c r="G348" i="34"/>
  <c r="G349" i="34"/>
  <c r="G350" i="34"/>
  <c r="G351" i="34"/>
  <c r="G352" i="34"/>
  <c r="G342" i="34"/>
  <c r="G338" i="34"/>
  <c r="G339" i="34"/>
  <c r="G340" i="34"/>
  <c r="G341" i="34"/>
  <c r="G337" i="34"/>
  <c r="G336" i="34"/>
  <c r="G335" i="34"/>
  <c r="G334" i="34"/>
  <c r="G325" i="34"/>
  <c r="G326" i="34"/>
  <c r="G327" i="34"/>
  <c r="G328" i="34"/>
  <c r="G329" i="34"/>
  <c r="G330" i="34"/>
  <c r="G331" i="34"/>
  <c r="G332" i="34"/>
  <c r="G333" i="34"/>
  <c r="G324" i="34"/>
  <c r="G317" i="34"/>
  <c r="G318" i="34"/>
  <c r="G319" i="34"/>
  <c r="G320" i="34"/>
  <c r="G321" i="34"/>
  <c r="G322" i="34"/>
  <c r="G323" i="34"/>
  <c r="G316" i="34"/>
  <c r="G315" i="34"/>
  <c r="F544" i="34"/>
  <c r="F460" i="34" l="1"/>
  <c r="F455" i="34"/>
  <c r="F452" i="34"/>
  <c r="AC39" i="30" l="1"/>
  <c r="AC36" i="30"/>
  <c r="AC35" i="30"/>
  <c r="AC34" i="30"/>
  <c r="AC33" i="30"/>
  <c r="AC32" i="30"/>
  <c r="AC31" i="30"/>
  <c r="AC30" i="30"/>
  <c r="AC29" i="30"/>
  <c r="AC28" i="30"/>
  <c r="AC27" i="30"/>
  <c r="AC26" i="30"/>
  <c r="AC25" i="30"/>
  <c r="AC19" i="30"/>
  <c r="AC20" i="30"/>
  <c r="AC21" i="30"/>
  <c r="AC22" i="30"/>
  <c r="AC18" i="30"/>
  <c r="AC45" i="24"/>
  <c r="AC44" i="24"/>
  <c r="AC41" i="24"/>
  <c r="AC39" i="24"/>
  <c r="AC38" i="24"/>
  <c r="AC37" i="24"/>
  <c r="AC36" i="24"/>
  <c r="AC35" i="24"/>
  <c r="AC34" i="24"/>
  <c r="AC33" i="24"/>
  <c r="AC32" i="24"/>
  <c r="AC31" i="24"/>
  <c r="AC30" i="24"/>
  <c r="AC27" i="24"/>
  <c r="AC26" i="24"/>
  <c r="AC25" i="24"/>
  <c r="AC24" i="24"/>
  <c r="AC23" i="24"/>
  <c r="AC22" i="24"/>
  <c r="AC21" i="24"/>
  <c r="AC20" i="24"/>
  <c r="AC17" i="24"/>
  <c r="F313" i="34"/>
  <c r="F312" i="34"/>
  <c r="F310" i="34"/>
  <c r="F309" i="34"/>
  <c r="F308" i="34"/>
  <c r="F307" i="34"/>
  <c r="F306" i="34"/>
  <c r="F305" i="34"/>
  <c r="F303" i="34"/>
  <c r="F302" i="34"/>
  <c r="F301" i="34"/>
  <c r="F299" i="34"/>
  <c r="F298" i="34"/>
  <c r="F297" i="34"/>
  <c r="F296" i="34"/>
  <c r="F295" i="34"/>
  <c r="F294" i="34"/>
  <c r="F293" i="34"/>
  <c r="F292" i="34"/>
  <c r="F291" i="34"/>
  <c r="F290" i="34"/>
  <c r="F289" i="34"/>
  <c r="F288" i="34"/>
  <c r="F287" i="34"/>
  <c r="F286" i="34"/>
  <c r="F285" i="34"/>
  <c r="F284" i="34"/>
  <c r="F283" i="34"/>
  <c r="F282" i="34"/>
  <c r="F281" i="34"/>
  <c r="F280" i="34"/>
  <c r="F279" i="34"/>
  <c r="F278" i="34"/>
  <c r="F254" i="34"/>
  <c r="F253" i="34"/>
  <c r="F234" i="34"/>
  <c r="F228" i="34"/>
  <c r="F225" i="34"/>
  <c r="F275" i="34"/>
  <c r="F274" i="34"/>
  <c r="F273" i="34"/>
  <c r="F272" i="34"/>
  <c r="F271" i="34"/>
  <c r="F270" i="34"/>
  <c r="F269" i="34"/>
  <c r="F268" i="34"/>
  <c r="F267" i="34"/>
  <c r="F266" i="34"/>
  <c r="F265" i="34"/>
  <c r="F264" i="34"/>
  <c r="F263" i="34"/>
  <c r="F262" i="34"/>
  <c r="F261" i="34"/>
  <c r="F260" i="34"/>
  <c r="F259" i="34"/>
  <c r="F258" i="34"/>
  <c r="F215" i="34"/>
  <c r="F214" i="34"/>
  <c r="F207" i="34"/>
  <c r="F206" i="34"/>
  <c r="F204" i="34"/>
  <c r="F203" i="34"/>
  <c r="F201" i="34"/>
  <c r="F200" i="34"/>
  <c r="F196" i="34"/>
  <c r="F195" i="34"/>
  <c r="F192" i="34"/>
  <c r="F191" i="34"/>
  <c r="F189" i="34"/>
  <c r="F188" i="34"/>
  <c r="F186" i="34"/>
  <c r="F185" i="34"/>
  <c r="F183" i="34"/>
  <c r="F182" i="34"/>
  <c r="F180" i="34"/>
  <c r="F179" i="34"/>
  <c r="F177" i="34"/>
  <c r="F176" i="34"/>
  <c r="F174" i="34"/>
  <c r="F173" i="34"/>
  <c r="F169" i="34"/>
  <c r="F168" i="34"/>
  <c r="F164" i="34"/>
  <c r="F163" i="34"/>
  <c r="F161" i="34"/>
  <c r="F160" i="34"/>
  <c r="F156" i="34"/>
  <c r="F155" i="34"/>
  <c r="F151" i="34"/>
  <c r="F150" i="34"/>
  <c r="F148" i="34"/>
  <c r="F147" i="34"/>
  <c r="F145" i="34"/>
  <c r="F144" i="34"/>
  <c r="F139" i="34"/>
  <c r="F138" i="34"/>
  <c r="F136" i="34"/>
  <c r="F135" i="34"/>
  <c r="F133" i="34"/>
  <c r="F132" i="34"/>
  <c r="F125" i="34"/>
  <c r="F124" i="34"/>
  <c r="F120" i="34"/>
  <c r="F119" i="34"/>
  <c r="F117" i="34"/>
  <c r="F116" i="34"/>
  <c r="F112" i="34"/>
  <c r="F111" i="34"/>
  <c r="F108" i="34"/>
  <c r="F106" i="34"/>
  <c r="F105" i="34"/>
  <c r="F104" i="34"/>
  <c r="L110" i="60"/>
  <c r="L32" i="60"/>
  <c r="H107" i="60"/>
  <c r="H110" i="60"/>
  <c r="H105" i="60"/>
  <c r="H100" i="60"/>
  <c r="H98" i="60"/>
  <c r="H96" i="60"/>
  <c r="H94" i="60"/>
  <c r="H95" i="60" s="1"/>
  <c r="H92" i="60"/>
  <c r="H90" i="60"/>
  <c r="H78" i="60"/>
  <c r="H76" i="60"/>
  <c r="H74" i="60"/>
  <c r="H69" i="60"/>
  <c r="H66" i="60"/>
  <c r="F456" i="34" s="1"/>
  <c r="H64" i="60"/>
  <c r="H62" i="60"/>
  <c r="H59" i="60"/>
  <c r="H57" i="60"/>
  <c r="H55" i="60"/>
  <c r="H53" i="60"/>
  <c r="H51" i="60"/>
  <c r="H49" i="60"/>
  <c r="H47" i="60"/>
  <c r="H44" i="60"/>
  <c r="H42" i="60"/>
  <c r="H40" i="60"/>
  <c r="H38" i="60"/>
  <c r="H36" i="60"/>
  <c r="H34" i="60"/>
  <c r="H30" i="60"/>
  <c r="H28" i="60"/>
  <c r="H26" i="60"/>
  <c r="H24" i="60"/>
  <c r="H111" i="60"/>
  <c r="H106" i="60"/>
  <c r="H97" i="60"/>
  <c r="H93" i="60"/>
  <c r="H91" i="60"/>
  <c r="F79" i="60"/>
  <c r="H70" i="60"/>
  <c r="C17" i="60"/>
  <c r="C16" i="60"/>
  <c r="C15" i="60"/>
  <c r="S37" i="59"/>
  <c r="I56" i="59"/>
  <c r="I54" i="59"/>
  <c r="I51" i="59"/>
  <c r="I48" i="59"/>
  <c r="I45" i="59"/>
  <c r="I42" i="59"/>
  <c r="I40" i="59"/>
  <c r="I35" i="59"/>
  <c r="I33" i="59"/>
  <c r="I31" i="59"/>
  <c r="I26" i="59"/>
  <c r="I24" i="59"/>
  <c r="I22" i="59"/>
  <c r="I20" i="59"/>
  <c r="I18" i="59"/>
  <c r="L15" i="59"/>
  <c r="M8" i="59"/>
  <c r="W26" i="58"/>
  <c r="W23" i="58"/>
  <c r="AF70" i="58"/>
  <c r="AD70" i="58"/>
  <c r="AC70" i="58"/>
  <c r="AB70" i="58"/>
  <c r="Z70" i="58"/>
  <c r="Y70" i="58"/>
  <c r="X70" i="58"/>
  <c r="AF66" i="58"/>
  <c r="AD66" i="58"/>
  <c r="AC66" i="58"/>
  <c r="AB66" i="58"/>
  <c r="AA66" i="58"/>
  <c r="Z66" i="58"/>
  <c r="Y66" i="58"/>
  <c r="X66" i="58"/>
  <c r="W66" i="58"/>
  <c r="AF62" i="58"/>
  <c r="AD62" i="58"/>
  <c r="AC62" i="58"/>
  <c r="AB62" i="58"/>
  <c r="AA62" i="58"/>
  <c r="Z62" i="58"/>
  <c r="Y62" i="58"/>
  <c r="X62" i="58"/>
  <c r="AF60" i="58"/>
  <c r="AD60" i="58"/>
  <c r="AC60" i="58"/>
  <c r="AB60" i="58"/>
  <c r="AA60" i="58"/>
  <c r="Z60" i="58"/>
  <c r="Y60" i="58"/>
  <c r="X60" i="58"/>
  <c r="AF57" i="58"/>
  <c r="AD57" i="58"/>
  <c r="AC57" i="58"/>
  <c r="AB57" i="58"/>
  <c r="AA57" i="58"/>
  <c r="Z57" i="58"/>
  <c r="Y57" i="58"/>
  <c r="X57" i="58"/>
  <c r="AF54" i="58"/>
  <c r="AD54" i="58"/>
  <c r="AC54" i="58"/>
  <c r="AB54" i="58"/>
  <c r="Z54" i="58"/>
  <c r="Y54" i="58"/>
  <c r="X54" i="58"/>
  <c r="AF49" i="58"/>
  <c r="AD49" i="58"/>
  <c r="AC49" i="58"/>
  <c r="AB49" i="58"/>
  <c r="Z49" i="58"/>
  <c r="Y49" i="58"/>
  <c r="X49" i="58"/>
  <c r="AF44" i="58"/>
  <c r="AD44" i="58"/>
  <c r="AC44" i="58"/>
  <c r="AB44" i="58"/>
  <c r="Z44" i="58"/>
  <c r="Y44" i="58"/>
  <c r="X44" i="58"/>
  <c r="W44" i="58"/>
  <c r="AF40" i="58"/>
  <c r="AE40" i="58"/>
  <c r="AD40" i="58"/>
  <c r="AC40" i="58"/>
  <c r="AB40" i="58"/>
  <c r="Z40" i="58"/>
  <c r="Y40" i="58"/>
  <c r="X40" i="58"/>
  <c r="W40" i="58"/>
  <c r="AF38" i="58"/>
  <c r="AE38" i="58"/>
  <c r="AD38" i="58"/>
  <c r="AC38" i="58"/>
  <c r="AB38" i="58"/>
  <c r="Z38" i="58"/>
  <c r="Y38" i="58"/>
  <c r="X38" i="58"/>
  <c r="W38" i="58"/>
  <c r="AF36" i="58"/>
  <c r="AD36" i="58"/>
  <c r="AC36" i="58"/>
  <c r="AB36" i="58"/>
  <c r="Z36" i="58"/>
  <c r="Y36" i="58"/>
  <c r="X36" i="58"/>
  <c r="W36" i="58"/>
  <c r="AF31" i="58"/>
  <c r="AD31" i="58"/>
  <c r="AC31" i="58"/>
  <c r="AB31" i="58"/>
  <c r="Z31" i="58"/>
  <c r="Y31" i="58"/>
  <c r="X31" i="58"/>
  <c r="AF26" i="58"/>
  <c r="AD26" i="58"/>
  <c r="AC26" i="58"/>
  <c r="AB26" i="58"/>
  <c r="Z26" i="58"/>
  <c r="Y26" i="58"/>
  <c r="X26" i="58"/>
  <c r="AF23" i="58"/>
  <c r="AD23" i="58"/>
  <c r="AC23" i="58"/>
  <c r="AB23" i="58"/>
  <c r="Z23" i="58"/>
  <c r="Y23" i="58"/>
  <c r="X23" i="58"/>
  <c r="X18" i="58"/>
  <c r="Y18" i="58"/>
  <c r="Z18" i="58"/>
  <c r="AB18" i="58"/>
  <c r="AC18" i="58"/>
  <c r="AD18" i="58"/>
  <c r="AF18" i="58"/>
  <c r="AE66" i="58"/>
  <c r="P8" i="58"/>
  <c r="AC40" i="30" l="1"/>
  <c r="F504" i="34" s="1"/>
  <c r="AH66" i="58"/>
  <c r="F449" i="34" s="1"/>
  <c r="AC46" i="24"/>
  <c r="F503" i="34" s="1"/>
  <c r="H71" i="60"/>
  <c r="H32" i="60"/>
  <c r="F45" i="60" s="1"/>
  <c r="L58" i="59"/>
  <c r="L37" i="59"/>
  <c r="R37" i="59"/>
  <c r="L28" i="59"/>
  <c r="S28" i="59" s="1"/>
  <c r="F451" i="34" s="1"/>
  <c r="O26" i="58"/>
  <c r="F77" i="60" l="1"/>
  <c r="H72" i="60"/>
  <c r="R28" i="59"/>
  <c r="R58" i="59"/>
  <c r="L63" i="59"/>
  <c r="U26" i="58"/>
  <c r="R63" i="59" l="1"/>
  <c r="R69" i="59" s="1"/>
  <c r="C67" i="59" s="1"/>
  <c r="N169" i="57"/>
  <c r="AF169" i="57" s="1"/>
  <c r="J169" i="57"/>
  <c r="AB169" i="57" s="1"/>
  <c r="N156" i="57"/>
  <c r="R156" i="57" s="1"/>
  <c r="J156" i="57"/>
  <c r="AB156" i="57" s="1"/>
  <c r="N153" i="57"/>
  <c r="AF153" i="57" s="1"/>
  <c r="J153" i="57"/>
  <c r="AB153" i="57" s="1"/>
  <c r="N141" i="57"/>
  <c r="AF141" i="57" s="1"/>
  <c r="J141" i="57"/>
  <c r="J132" i="57"/>
  <c r="AB132" i="57" s="1"/>
  <c r="AL132" i="57" s="1"/>
  <c r="F424" i="34" s="1"/>
  <c r="N131" i="57"/>
  <c r="AF131" i="57" s="1"/>
  <c r="AL131" i="57" s="1"/>
  <c r="F423" i="34" s="1"/>
  <c r="N128" i="57"/>
  <c r="J128" i="57"/>
  <c r="AB128" i="57" s="1"/>
  <c r="N125" i="57"/>
  <c r="AF125" i="57" s="1"/>
  <c r="J125" i="57"/>
  <c r="AB125" i="57" s="1"/>
  <c r="N122" i="57"/>
  <c r="AF122" i="57" s="1"/>
  <c r="J122" i="57"/>
  <c r="AB122" i="57" s="1"/>
  <c r="N119" i="57"/>
  <c r="J119" i="57"/>
  <c r="AB119" i="57" s="1"/>
  <c r="N116" i="57"/>
  <c r="AF116" i="57" s="1"/>
  <c r="J116" i="57"/>
  <c r="N113" i="57"/>
  <c r="J113" i="57"/>
  <c r="AB113" i="57" s="1"/>
  <c r="N103" i="57"/>
  <c r="AF103" i="57" s="1"/>
  <c r="J103" i="57"/>
  <c r="N96" i="57"/>
  <c r="J96" i="57"/>
  <c r="AB96" i="57" s="1"/>
  <c r="N93" i="57"/>
  <c r="AF93" i="57" s="1"/>
  <c r="J93" i="57"/>
  <c r="AB93" i="57" s="1"/>
  <c r="N81" i="57"/>
  <c r="AF81" i="57" s="1"/>
  <c r="J81" i="57"/>
  <c r="AB81" i="57" s="1"/>
  <c r="N73" i="57"/>
  <c r="AF73" i="57" s="1"/>
  <c r="J73" i="57"/>
  <c r="N70" i="57"/>
  <c r="J70" i="57"/>
  <c r="AB70" i="57" s="1"/>
  <c r="N67" i="57"/>
  <c r="AF67" i="57" s="1"/>
  <c r="J67" i="57"/>
  <c r="N61" i="57"/>
  <c r="AF61" i="57" s="1"/>
  <c r="J61" i="57"/>
  <c r="AB61" i="57" s="1"/>
  <c r="N58" i="57"/>
  <c r="AF58" i="57" s="1"/>
  <c r="J58" i="57"/>
  <c r="AB58" i="57" s="1"/>
  <c r="N56" i="57"/>
  <c r="AF56" i="57" s="1"/>
  <c r="J56" i="57"/>
  <c r="AB56" i="57" s="1"/>
  <c r="N41" i="57"/>
  <c r="AF41" i="57" s="1"/>
  <c r="J41" i="57"/>
  <c r="AB41" i="57" s="1"/>
  <c r="N35" i="57"/>
  <c r="AF35" i="57" s="1"/>
  <c r="J35" i="57"/>
  <c r="N32" i="57"/>
  <c r="R32" i="57" s="1"/>
  <c r="J32" i="57"/>
  <c r="AB32" i="57" s="1"/>
  <c r="N25" i="57"/>
  <c r="AF25" i="57" s="1"/>
  <c r="J25" i="57"/>
  <c r="AB25" i="57" s="1"/>
  <c r="N18" i="57"/>
  <c r="AF18" i="57" s="1"/>
  <c r="J18" i="57"/>
  <c r="AB18" i="57" s="1"/>
  <c r="F18" i="57"/>
  <c r="X18" i="57" s="1"/>
  <c r="AB141" i="57"/>
  <c r="AB116" i="57"/>
  <c r="AJ103" i="57"/>
  <c r="AB103" i="57"/>
  <c r="AJ100" i="57"/>
  <c r="AJ81" i="57"/>
  <c r="AJ78" i="57"/>
  <c r="AB73" i="57"/>
  <c r="AB67" i="57"/>
  <c r="AJ41" i="57"/>
  <c r="AJ39" i="57"/>
  <c r="AJ25" i="57"/>
  <c r="AJ23" i="57"/>
  <c r="Y20" i="57"/>
  <c r="AL20" i="57" s="1"/>
  <c r="F391" i="34" s="1"/>
  <c r="W159" i="57"/>
  <c r="S8" i="57"/>
  <c r="R73" i="57" l="1"/>
  <c r="W73" i="57" s="1"/>
  <c r="AF32" i="57"/>
  <c r="AF156" i="57"/>
  <c r="AL25" i="57"/>
  <c r="F393" i="34" s="1"/>
  <c r="R93" i="57"/>
  <c r="W93" i="57" s="1"/>
  <c r="N100" i="57"/>
  <c r="R67" i="57"/>
  <c r="N173" i="57"/>
  <c r="J100" i="57"/>
  <c r="J107" i="57" s="1"/>
  <c r="R70" i="57"/>
  <c r="W70" i="57" s="1"/>
  <c r="J138" i="57"/>
  <c r="AF70" i="57"/>
  <c r="R125" i="57"/>
  <c r="R113" i="57"/>
  <c r="W113" i="57" s="1"/>
  <c r="R119" i="57"/>
  <c r="W119" i="57" s="1"/>
  <c r="AL81" i="57"/>
  <c r="F409" i="34" s="1"/>
  <c r="N39" i="57"/>
  <c r="N45" i="57" s="1"/>
  <c r="N50" i="57" s="1"/>
  <c r="AL141" i="57"/>
  <c r="F426" i="34" s="1"/>
  <c r="R18" i="57"/>
  <c r="W18" i="57" s="1"/>
  <c r="AF119" i="57"/>
  <c r="R128" i="57"/>
  <c r="W128" i="57" s="1"/>
  <c r="N64" i="57"/>
  <c r="N78" i="57" s="1"/>
  <c r="N85" i="57" s="1"/>
  <c r="J23" i="57"/>
  <c r="J28" i="57" s="1"/>
  <c r="R96" i="57"/>
  <c r="W96" i="57" s="1"/>
  <c r="R122" i="57"/>
  <c r="W122" i="57" s="1"/>
  <c r="AF96" i="57"/>
  <c r="J39" i="57"/>
  <c r="J45" i="57" s="1"/>
  <c r="C129" i="57"/>
  <c r="J57" i="57"/>
  <c r="R58" i="57"/>
  <c r="W58" i="57" s="1"/>
  <c r="R56" i="57"/>
  <c r="W56" i="57" s="1"/>
  <c r="C133" i="57"/>
  <c r="AF128" i="57"/>
  <c r="AL169" i="57"/>
  <c r="F433" i="34" s="1"/>
  <c r="W156" i="57"/>
  <c r="R153" i="57"/>
  <c r="R116" i="57"/>
  <c r="W116" i="57" s="1"/>
  <c r="N138" i="57"/>
  <c r="AF113" i="57"/>
  <c r="AL103" i="57"/>
  <c r="F414" i="34" s="1"/>
  <c r="N107" i="57"/>
  <c r="W67" i="57"/>
  <c r="R61" i="57"/>
  <c r="J64" i="57"/>
  <c r="J78" i="57" s="1"/>
  <c r="AL41" i="57"/>
  <c r="F398" i="34" s="1"/>
  <c r="R35" i="57"/>
  <c r="AB35" i="57"/>
  <c r="W32" i="57"/>
  <c r="N23" i="57"/>
  <c r="J145" i="57"/>
  <c r="W100" i="57" l="1"/>
  <c r="W41" i="57"/>
  <c r="W63" i="57"/>
  <c r="W103" i="57"/>
  <c r="R107" i="57"/>
  <c r="W65" i="57"/>
  <c r="W125" i="57"/>
  <c r="W23" i="57"/>
  <c r="J50" i="57"/>
  <c r="R64" i="57"/>
  <c r="W64" i="57" s="1"/>
  <c r="W39" i="57"/>
  <c r="R45" i="57"/>
  <c r="W45" i="57" s="1"/>
  <c r="N57" i="57"/>
  <c r="J59" i="57" s="1"/>
  <c r="J173" i="57"/>
  <c r="W153" i="57"/>
  <c r="N145" i="57"/>
  <c r="R145" i="57" s="1"/>
  <c r="W145" i="57" s="1"/>
  <c r="W138" i="57"/>
  <c r="W107" i="57"/>
  <c r="W81" i="57"/>
  <c r="J85" i="57"/>
  <c r="W78" i="57" s="1"/>
  <c r="W61" i="57"/>
  <c r="W35" i="57"/>
  <c r="N28" i="57"/>
  <c r="W169" i="57"/>
  <c r="AQ38" i="56"/>
  <c r="F359" i="34" s="1"/>
  <c r="AD165" i="56"/>
  <c r="AE165" i="56"/>
  <c r="AF165" i="56"/>
  <c r="AH165" i="56"/>
  <c r="AI165" i="56"/>
  <c r="AK165" i="56"/>
  <c r="AL165" i="56"/>
  <c r="AN165" i="56"/>
  <c r="AO165" i="56"/>
  <c r="AD168" i="56"/>
  <c r="AE168" i="56"/>
  <c r="AF168" i="56"/>
  <c r="AH168" i="56"/>
  <c r="AI168" i="56"/>
  <c r="AK168" i="56"/>
  <c r="AL168" i="56"/>
  <c r="AN168" i="56"/>
  <c r="AO168" i="56"/>
  <c r="AD170" i="56"/>
  <c r="AE170" i="56"/>
  <c r="AF170" i="56"/>
  <c r="AH170" i="56"/>
  <c r="AI170" i="56"/>
  <c r="AK170" i="56"/>
  <c r="AL170" i="56"/>
  <c r="AN170" i="56"/>
  <c r="AO170" i="56"/>
  <c r="AD173" i="56"/>
  <c r="AE173" i="56"/>
  <c r="AF173" i="56"/>
  <c r="AH173" i="56"/>
  <c r="AI173" i="56"/>
  <c r="AK173" i="56"/>
  <c r="AL173" i="56"/>
  <c r="AN173" i="56"/>
  <c r="AO173" i="56"/>
  <c r="AD176" i="56"/>
  <c r="AE176" i="56"/>
  <c r="AF176" i="56"/>
  <c r="AH176" i="56"/>
  <c r="AI176" i="56"/>
  <c r="AK176" i="56"/>
  <c r="AL176" i="56"/>
  <c r="AN176" i="56"/>
  <c r="AO176" i="56"/>
  <c r="AD182" i="56"/>
  <c r="AE182" i="56"/>
  <c r="AF182" i="56"/>
  <c r="AH182" i="56"/>
  <c r="AI182" i="56"/>
  <c r="AK182" i="56"/>
  <c r="AL182" i="56"/>
  <c r="AN182" i="56"/>
  <c r="AO182" i="56"/>
  <c r="AD185" i="56"/>
  <c r="AE185" i="56"/>
  <c r="AF185" i="56"/>
  <c r="AH185" i="56"/>
  <c r="AI185" i="56"/>
  <c r="AK185" i="56"/>
  <c r="AL185" i="56"/>
  <c r="AN185" i="56"/>
  <c r="AO185" i="56"/>
  <c r="AD189" i="56"/>
  <c r="AE189" i="56"/>
  <c r="AF189" i="56"/>
  <c r="AH189" i="56"/>
  <c r="AI189" i="56"/>
  <c r="AK189" i="56"/>
  <c r="AL189" i="56"/>
  <c r="AN189" i="56"/>
  <c r="AO189" i="56"/>
  <c r="AE96" i="56"/>
  <c r="AF96" i="56"/>
  <c r="AH96" i="56"/>
  <c r="AI96" i="56"/>
  <c r="AK96" i="56"/>
  <c r="AL96" i="56"/>
  <c r="AN96" i="56"/>
  <c r="AO96" i="56"/>
  <c r="AE99" i="56"/>
  <c r="AF99" i="56"/>
  <c r="AG99" i="56"/>
  <c r="AH99" i="56"/>
  <c r="AI99" i="56"/>
  <c r="AJ99" i="56"/>
  <c r="AK99" i="56"/>
  <c r="AL99" i="56"/>
  <c r="AM99" i="56"/>
  <c r="AN99" i="56"/>
  <c r="AO99" i="56"/>
  <c r="AE101" i="56"/>
  <c r="AF101" i="56"/>
  <c r="AH101" i="56"/>
  <c r="AI101" i="56"/>
  <c r="AK101" i="56"/>
  <c r="AL101" i="56"/>
  <c r="AN101" i="56"/>
  <c r="AO101" i="56"/>
  <c r="AD104" i="56"/>
  <c r="AE104" i="56"/>
  <c r="AF104" i="56"/>
  <c r="AH104" i="56"/>
  <c r="AI104" i="56"/>
  <c r="AJ104" i="56"/>
  <c r="AK104" i="56"/>
  <c r="AL104" i="56"/>
  <c r="AM104" i="56"/>
  <c r="AN104" i="56"/>
  <c r="AO104" i="56"/>
  <c r="AD106" i="56"/>
  <c r="AE106" i="56"/>
  <c r="AF106" i="56"/>
  <c r="AH106" i="56"/>
  <c r="AI106" i="56"/>
  <c r="AJ106" i="56"/>
  <c r="AK106" i="56"/>
  <c r="AL106" i="56"/>
  <c r="AM106" i="56"/>
  <c r="AN106" i="56"/>
  <c r="AO106" i="56"/>
  <c r="AD108" i="56"/>
  <c r="AE108" i="56"/>
  <c r="AF108" i="56"/>
  <c r="AH108" i="56"/>
  <c r="AI108" i="56"/>
  <c r="AK108" i="56"/>
  <c r="AL108" i="56"/>
  <c r="AM108" i="56"/>
  <c r="AN108" i="56"/>
  <c r="AO108" i="56"/>
  <c r="AD110" i="56"/>
  <c r="AE110" i="56"/>
  <c r="AF110" i="56"/>
  <c r="AH110" i="56"/>
  <c r="AI110" i="56"/>
  <c r="AK110" i="56"/>
  <c r="AL110" i="56"/>
  <c r="AN110" i="56"/>
  <c r="AO110" i="56"/>
  <c r="AD112" i="56"/>
  <c r="AE112" i="56"/>
  <c r="AF112" i="56"/>
  <c r="AH112" i="56"/>
  <c r="AI112" i="56"/>
  <c r="AJ112" i="56"/>
  <c r="AK112" i="56"/>
  <c r="AL112" i="56"/>
  <c r="AM112" i="56"/>
  <c r="AN112" i="56"/>
  <c r="AO112" i="56"/>
  <c r="AD114" i="56"/>
  <c r="AE114" i="56"/>
  <c r="AF114" i="56"/>
  <c r="AH114" i="56"/>
  <c r="AI114" i="56"/>
  <c r="AK114" i="56"/>
  <c r="AL114" i="56"/>
  <c r="AN114" i="56"/>
  <c r="AO114" i="56"/>
  <c r="AD116" i="56"/>
  <c r="AE116" i="56"/>
  <c r="AF116" i="56"/>
  <c r="AH116" i="56"/>
  <c r="AI116" i="56"/>
  <c r="AJ116" i="56"/>
  <c r="AK116" i="56"/>
  <c r="AL116" i="56"/>
  <c r="AM116" i="56"/>
  <c r="AN116" i="56"/>
  <c r="AO116" i="56"/>
  <c r="AE119" i="56"/>
  <c r="AF119" i="56"/>
  <c r="AH119" i="56"/>
  <c r="AI119" i="56"/>
  <c r="AK119" i="56"/>
  <c r="AL119" i="56"/>
  <c r="AN119" i="56"/>
  <c r="AO119" i="56"/>
  <c r="AE122" i="56"/>
  <c r="AF122" i="56"/>
  <c r="AH122" i="56"/>
  <c r="AI122" i="56"/>
  <c r="AK122" i="56"/>
  <c r="AL122" i="56"/>
  <c r="AN122" i="56"/>
  <c r="AO122" i="56"/>
  <c r="AE126" i="56"/>
  <c r="AF126" i="56"/>
  <c r="AH126" i="56"/>
  <c r="AI126" i="56"/>
  <c r="AK126" i="56"/>
  <c r="AL126" i="56"/>
  <c r="AN126" i="56"/>
  <c r="AO126" i="56"/>
  <c r="AH92" i="56"/>
  <c r="AI92" i="56"/>
  <c r="AK92" i="56"/>
  <c r="AL92" i="56"/>
  <c r="AN92" i="56"/>
  <c r="AO92" i="56"/>
  <c r="AF92" i="56"/>
  <c r="AE92" i="56"/>
  <c r="N181" i="57" l="1"/>
  <c r="R50" i="57"/>
  <c r="W50" i="57" s="1"/>
  <c r="J181" i="57"/>
  <c r="R173" i="57"/>
  <c r="W173" i="57" s="1"/>
  <c r="W165" i="57"/>
  <c r="W141" i="57"/>
  <c r="R85" i="57"/>
  <c r="W85" i="57" s="1"/>
  <c r="W25" i="57"/>
  <c r="R28" i="57"/>
  <c r="W28" i="57" l="1"/>
  <c r="R181" i="57"/>
  <c r="W181" i="57" l="1"/>
  <c r="W187" i="57" s="1"/>
  <c r="C187" i="57" s="1"/>
  <c r="O26" i="41" l="1"/>
  <c r="F229" i="34"/>
  <c r="AA26" i="58"/>
  <c r="U26" i="41" l="1"/>
  <c r="F230" i="34"/>
  <c r="AE26" i="58"/>
  <c r="AH26" i="58" s="1"/>
  <c r="F438" i="34" s="1"/>
  <c r="C4" i="52" l="1"/>
  <c r="A5" i="52"/>
  <c r="A6" i="52"/>
  <c r="A7" i="52"/>
  <c r="A8" i="52" s="1"/>
  <c r="A69" i="52"/>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c r="A104" i="52" s="1"/>
  <c r="A105" i="52" s="1"/>
  <c r="A106" i="52" s="1"/>
  <c r="A107" i="52"/>
  <c r="A108" i="52" s="1"/>
  <c r="A109" i="52" s="1"/>
  <c r="A110" i="52"/>
  <c r="A111" i="52" s="1"/>
  <c r="A112" i="52" s="1"/>
  <c r="A113" i="52" s="1"/>
  <c r="A114" i="52" s="1"/>
  <c r="A115" i="52" s="1"/>
  <c r="A116" i="52" s="1"/>
  <c r="A135" i="52"/>
  <c r="A136" i="52"/>
  <c r="A137" i="52" s="1"/>
  <c r="A138" i="52"/>
  <c r="A139" i="52"/>
  <c r="A140" i="52" s="1"/>
  <c r="A141" i="52" s="1"/>
  <c r="A142" i="52" s="1"/>
  <c r="A143" i="52" s="1"/>
  <c r="A144" i="52"/>
  <c r="A145" i="52" s="1"/>
  <c r="C145" i="52" s="1"/>
  <c r="A146" i="52"/>
  <c r="A147" i="52" s="1"/>
  <c r="A148" i="52" s="1"/>
  <c r="A149" i="52" s="1"/>
  <c r="A175" i="52"/>
  <c r="A176" i="52" s="1"/>
  <c r="A177" i="52" s="1"/>
  <c r="A178" i="52" s="1"/>
  <c r="A179" i="52" s="1"/>
  <c r="A180" i="52" s="1"/>
  <c r="A181" i="52" s="1"/>
  <c r="A182" i="52" s="1"/>
  <c r="A183" i="52" s="1"/>
  <c r="A184" i="52" s="1"/>
  <c r="A185" i="52" s="1"/>
  <c r="A186" i="52" s="1"/>
  <c r="A187" i="52" s="1"/>
  <c r="A188" i="52" s="1"/>
  <c r="A189" i="52" s="1"/>
  <c r="A190" i="52" s="1"/>
  <c r="A191" i="52" s="1"/>
  <c r="A192" i="52" s="1"/>
  <c r="A193" i="52" s="1"/>
  <c r="A194" i="52" s="1"/>
  <c r="A195" i="52" s="1"/>
  <c r="A196" i="52" s="1"/>
  <c r="A197" i="52" s="1"/>
  <c r="A198" i="52" s="1"/>
  <c r="A199" i="52" s="1"/>
  <c r="A200" i="52" s="1"/>
  <c r="A201" i="52" s="1"/>
  <c r="A202" i="52" s="1"/>
  <c r="A203" i="52" s="1"/>
  <c r="A204" i="52" s="1"/>
  <c r="A205" i="52" s="1"/>
  <c r="A206" i="52" s="1"/>
  <c r="A207" i="52" s="1"/>
  <c r="A208" i="52" s="1"/>
  <c r="A209" i="52" s="1"/>
  <c r="A210" i="52" s="1"/>
  <c r="A211" i="52" s="1"/>
  <c r="A212" i="52" s="1"/>
  <c r="A213" i="52" s="1"/>
  <c r="A214" i="52" s="1"/>
  <c r="A215" i="52" s="1"/>
  <c r="A216" i="52" s="1"/>
  <c r="A217" i="52" s="1"/>
  <c r="A218" i="52" s="1"/>
  <c r="A219" i="52" s="1"/>
  <c r="A220" i="52" s="1"/>
  <c r="A221" i="52" s="1"/>
  <c r="A222" i="52" s="1"/>
  <c r="A223" i="52" s="1"/>
  <c r="A224" i="52" s="1"/>
  <c r="A225" i="52" s="1"/>
  <c r="A226" i="52" s="1"/>
  <c r="A227" i="52" s="1"/>
  <c r="A228" i="52" s="1"/>
  <c r="A229" i="52" s="1"/>
  <c r="A230" i="52" s="1"/>
  <c r="A231" i="52" s="1"/>
  <c r="A232" i="52" s="1"/>
  <c r="A233" i="52" s="1"/>
  <c r="A234" i="52" s="1"/>
  <c r="A235" i="52" s="1"/>
  <c r="A236" i="52" s="1"/>
  <c r="A237" i="52" s="1"/>
  <c r="A238" i="52" s="1"/>
  <c r="A239" i="52" s="1"/>
  <c r="A240" i="52" s="1"/>
  <c r="A241" i="52" s="1"/>
  <c r="A242" i="52" s="1"/>
  <c r="A243" i="52" s="1"/>
  <c r="A244" i="52" s="1"/>
  <c r="A245" i="52" s="1"/>
  <c r="A246" i="52" s="1"/>
  <c r="A247" i="52" s="1"/>
  <c r="A248" i="52" s="1"/>
  <c r="A249" i="52" s="1"/>
  <c r="A250" i="52" s="1"/>
  <c r="A251" i="52" s="1"/>
  <c r="A252" i="52" s="1"/>
  <c r="A253" i="52" s="1"/>
  <c r="A254" i="52" s="1"/>
  <c r="A255" i="52" s="1"/>
  <c r="A256" i="52" s="1"/>
  <c r="A257" i="52" s="1"/>
  <c r="A258" i="52" s="1"/>
  <c r="A259" i="52" s="1"/>
  <c r="A260" i="52" s="1"/>
  <c r="A261" i="52" s="1"/>
  <c r="A262" i="52" s="1"/>
  <c r="A263" i="52" s="1"/>
  <c r="A264" i="52" s="1"/>
  <c r="A265" i="52" s="1"/>
  <c r="A266" i="52" s="1"/>
  <c r="A267" i="52" s="1"/>
  <c r="A268" i="52" s="1"/>
  <c r="A269" i="52" s="1"/>
  <c r="A270" i="52" s="1"/>
  <c r="A271" i="52" s="1"/>
  <c r="A272" i="52" s="1"/>
  <c r="A273" i="52" s="1"/>
  <c r="A274" i="52" s="1"/>
  <c r="A275" i="52" s="1"/>
  <c r="A276" i="52" s="1"/>
  <c r="A277" i="52" s="1"/>
  <c r="A278" i="52" s="1"/>
  <c r="A279" i="52" s="1"/>
  <c r="A280" i="52" s="1"/>
  <c r="A281" i="52" s="1"/>
  <c r="A282" i="52" s="1"/>
  <c r="A283" i="52" s="1"/>
  <c r="A284" i="52" s="1"/>
  <c r="A285" i="52" s="1"/>
  <c r="A286" i="52" s="1"/>
  <c r="A287" i="52" s="1"/>
  <c r="A288" i="52" s="1"/>
  <c r="A289" i="52" s="1"/>
  <c r="A290" i="52" s="1"/>
  <c r="A291" i="52" s="1"/>
  <c r="A292" i="52" s="1"/>
  <c r="A293" i="52" s="1"/>
  <c r="A387" i="52"/>
  <c r="A388" i="52" s="1"/>
  <c r="A389" i="52" s="1"/>
  <c r="A390" i="52" s="1"/>
  <c r="A391" i="52" s="1"/>
  <c r="A392" i="52" s="1"/>
  <c r="A393" i="52" s="1"/>
  <c r="A394" i="52" s="1"/>
  <c r="A395" i="52" s="1"/>
  <c r="A396" i="52" s="1"/>
  <c r="A397" i="52" s="1"/>
  <c r="A398" i="52" s="1"/>
  <c r="A399" i="52"/>
  <c r="A400" i="52" s="1"/>
  <c r="A401" i="52" s="1"/>
  <c r="A402" i="52" s="1"/>
  <c r="A443" i="52"/>
  <c r="A444" i="52" s="1"/>
  <c r="A445" i="52" s="1"/>
  <c r="A446" i="52"/>
  <c r="A447" i="52" s="1"/>
  <c r="A448" i="52" s="1"/>
  <c r="A449" i="52" s="1"/>
  <c r="E6" i="51"/>
  <c r="M6" i="51"/>
  <c r="O6" i="51"/>
  <c r="AO6" i="63" l="1"/>
  <c r="K36" i="58"/>
  <c r="O36" i="58" s="1"/>
  <c r="U36" i="58" s="1"/>
  <c r="AM6" i="63"/>
  <c r="AE6" i="63"/>
  <c r="C7" i="52"/>
  <c r="C444" i="52"/>
  <c r="C141" i="52"/>
  <c r="C198" i="52"/>
  <c r="C5" i="52"/>
  <c r="C448" i="52"/>
  <c r="C244" i="52"/>
  <c r="C148" i="52"/>
  <c r="C140" i="52"/>
  <c r="C137" i="52"/>
  <c r="C147" i="52"/>
  <c r="C136" i="52"/>
  <c r="C97" i="52"/>
  <c r="C390" i="52"/>
  <c r="C392" i="52"/>
  <c r="C402" i="52"/>
  <c r="C393" i="52"/>
  <c r="C396" i="52"/>
  <c r="C399" i="52"/>
  <c r="C394" i="52"/>
  <c r="C397" i="52"/>
  <c r="C391" i="52"/>
  <c r="C398" i="52"/>
  <c r="C289" i="52"/>
  <c r="C292" i="52"/>
  <c r="C293" i="52"/>
  <c r="C287" i="52"/>
  <c r="C290" i="52"/>
  <c r="C291" i="52"/>
  <c r="C105" i="52"/>
  <c r="C108" i="52"/>
  <c r="C111" i="52"/>
  <c r="C115" i="52"/>
  <c r="C112" i="52"/>
  <c r="C116" i="52"/>
  <c r="C103" i="52"/>
  <c r="C109" i="52"/>
  <c r="C113" i="52"/>
  <c r="C107" i="52"/>
  <c r="C104" i="52"/>
  <c r="C6" i="52"/>
  <c r="K36" i="41"/>
  <c r="F235" i="34" s="1"/>
  <c r="K23" i="41"/>
  <c r="O23" i="41" s="1"/>
  <c r="C445" i="52"/>
  <c r="C139" i="52"/>
  <c r="C142" i="52"/>
  <c r="C144" i="52"/>
  <c r="C146" i="52"/>
  <c r="C149" i="52"/>
  <c r="C138" i="52"/>
  <c r="A403" i="52"/>
  <c r="A404" i="52" s="1"/>
  <c r="A405" i="52" s="1"/>
  <c r="A406" i="52" s="1"/>
  <c r="C449" i="52"/>
  <c r="A450" i="52"/>
  <c r="A451" i="52" s="1"/>
  <c r="A452" i="52" s="1"/>
  <c r="A294" i="52"/>
  <c r="A295" i="52" s="1"/>
  <c r="A296" i="52" s="1"/>
  <c r="A297" i="52" s="1"/>
  <c r="A298" i="52" s="1"/>
  <c r="C258" i="52"/>
  <c r="C387" i="52"/>
  <c r="C388" i="52"/>
  <c r="C389" i="52"/>
  <c r="C177" i="52"/>
  <c r="C181" i="52"/>
  <c r="C185" i="52"/>
  <c r="C189" i="52"/>
  <c r="C193" i="52"/>
  <c r="C197" i="52"/>
  <c r="C201" i="52"/>
  <c r="C205" i="52"/>
  <c r="C209" i="52"/>
  <c r="C213" i="52"/>
  <c r="C217" i="52"/>
  <c r="C221" i="52"/>
  <c r="C225" i="52"/>
  <c r="C229" i="52"/>
  <c r="C233" i="52"/>
  <c r="C237" i="52"/>
  <c r="C241" i="52"/>
  <c r="C245" i="52"/>
  <c r="C249" i="52"/>
  <c r="C253" i="52"/>
  <c r="C257" i="52"/>
  <c r="C261" i="52"/>
  <c r="C265" i="52"/>
  <c r="C269" i="52"/>
  <c r="C273" i="52"/>
  <c r="C277" i="52"/>
  <c r="C281" i="52"/>
  <c r="C285" i="52"/>
  <c r="C179" i="52"/>
  <c r="C186" i="52"/>
  <c r="C188" i="52"/>
  <c r="C195" i="52"/>
  <c r="C202" i="52"/>
  <c r="C204" i="52"/>
  <c r="C175" i="52"/>
  <c r="C180" i="52"/>
  <c r="C182" i="52"/>
  <c r="C187" i="52"/>
  <c r="C192" i="52"/>
  <c r="C194" i="52"/>
  <c r="C199" i="52"/>
  <c r="C206" i="52"/>
  <c r="C214" i="52"/>
  <c r="C216" i="52"/>
  <c r="C223" i="52"/>
  <c r="C230" i="52"/>
  <c r="C232" i="52"/>
  <c r="C239" i="52"/>
  <c r="C246" i="52"/>
  <c r="C248" i="52"/>
  <c r="C255" i="52"/>
  <c r="C262" i="52"/>
  <c r="C264" i="52"/>
  <c r="C271" i="52"/>
  <c r="C278" i="52"/>
  <c r="C280" i="52"/>
  <c r="C176" i="52"/>
  <c r="C178" i="52"/>
  <c r="C183" i="52"/>
  <c r="C190" i="52"/>
  <c r="C211" i="52"/>
  <c r="C218" i="52"/>
  <c r="C220" i="52"/>
  <c r="C227" i="52"/>
  <c r="C234" i="52"/>
  <c r="C236" i="52"/>
  <c r="C243" i="52"/>
  <c r="C250" i="52"/>
  <c r="C252" i="52"/>
  <c r="C259" i="52"/>
  <c r="C266" i="52"/>
  <c r="C268" i="52"/>
  <c r="C275" i="52"/>
  <c r="C282" i="52"/>
  <c r="C284" i="52"/>
  <c r="C191" i="52"/>
  <c r="C196" i="52"/>
  <c r="C210" i="52"/>
  <c r="C228" i="52"/>
  <c r="C235" i="52"/>
  <c r="C242" i="52"/>
  <c r="C260" i="52"/>
  <c r="C267" i="52"/>
  <c r="C274" i="52"/>
  <c r="C207" i="52"/>
  <c r="C215" i="52"/>
  <c r="C222" i="52"/>
  <c r="C240" i="52"/>
  <c r="C247" i="52"/>
  <c r="C254" i="52"/>
  <c r="C272" i="52"/>
  <c r="C279" i="52"/>
  <c r="C286" i="52"/>
  <c r="C256" i="52"/>
  <c r="C263" i="52"/>
  <c r="C270" i="52"/>
  <c r="C184" i="52"/>
  <c r="C203" i="52"/>
  <c r="C212" i="52"/>
  <c r="C219" i="52"/>
  <c r="C226" i="52"/>
  <c r="C276" i="52"/>
  <c r="C283" i="52"/>
  <c r="C208" i="52"/>
  <c r="C251" i="52"/>
  <c r="C224" i="52"/>
  <c r="C238" i="52"/>
  <c r="C70" i="52"/>
  <c r="C74" i="52"/>
  <c r="C78" i="52"/>
  <c r="C82" i="52"/>
  <c r="C86" i="52"/>
  <c r="C90" i="52"/>
  <c r="C94" i="52"/>
  <c r="C98" i="52"/>
  <c r="C102" i="52"/>
  <c r="C75" i="52"/>
  <c r="C77" i="52"/>
  <c r="C84" i="52"/>
  <c r="C91" i="52"/>
  <c r="C93" i="52"/>
  <c r="C100" i="52"/>
  <c r="C72" i="52"/>
  <c r="C79" i="52"/>
  <c r="C89" i="52"/>
  <c r="C96" i="52"/>
  <c r="C101" i="52"/>
  <c r="C83" i="52"/>
  <c r="C88" i="52"/>
  <c r="C80" i="52"/>
  <c r="C85" i="52"/>
  <c r="C99" i="52"/>
  <c r="C73" i="52"/>
  <c r="C92" i="52"/>
  <c r="C76" i="52"/>
  <c r="C95" i="52"/>
  <c r="C87" i="52"/>
  <c r="C81" i="52"/>
  <c r="C71" i="52"/>
  <c r="C69" i="52"/>
  <c r="C231" i="52"/>
  <c r="C200" i="52"/>
  <c r="A366" i="52"/>
  <c r="C446" i="52"/>
  <c r="C400" i="52"/>
  <c r="C288" i="52"/>
  <c r="C447" i="52"/>
  <c r="C443" i="52"/>
  <c r="C401" i="52"/>
  <c r="A150" i="52"/>
  <c r="A151" i="52" s="1"/>
  <c r="A152" i="52" s="1"/>
  <c r="A117" i="52"/>
  <c r="A118" i="52" s="1"/>
  <c r="A119" i="52" s="1"/>
  <c r="C395" i="52"/>
  <c r="A9" i="52"/>
  <c r="A10" i="52" s="1"/>
  <c r="C8" i="52"/>
  <c r="C106" i="52"/>
  <c r="C110" i="52"/>
  <c r="C114" i="52"/>
  <c r="C143" i="52"/>
  <c r="C135" i="52"/>
  <c r="J64" i="6"/>
  <c r="O36" i="41" l="1"/>
  <c r="F236" i="34" s="1"/>
  <c r="AA23" i="58"/>
  <c r="AA36" i="58"/>
  <c r="F226" i="34"/>
  <c r="C297" i="52"/>
  <c r="C296" i="52"/>
  <c r="C451" i="52"/>
  <c r="C404" i="52"/>
  <c r="C294" i="52"/>
  <c r="C403" i="52"/>
  <c r="C117" i="52"/>
  <c r="A120" i="52"/>
  <c r="A121" i="52" s="1"/>
  <c r="C119" i="52"/>
  <c r="C118" i="52"/>
  <c r="C150" i="52"/>
  <c r="C151" i="52"/>
  <c r="C9" i="52"/>
  <c r="F141" i="34"/>
  <c r="AB64" i="57"/>
  <c r="K48" i="1"/>
  <c r="K48" i="56"/>
  <c r="W108" i="56" s="1"/>
  <c r="O23" i="58"/>
  <c r="U23" i="58" s="1"/>
  <c r="U23" i="41"/>
  <c r="F227" i="34"/>
  <c r="U36" i="41"/>
  <c r="A453" i="52"/>
  <c r="C452" i="52"/>
  <c r="C406" i="52"/>
  <c r="A407" i="52"/>
  <c r="C450" i="52"/>
  <c r="A11" i="52"/>
  <c r="C10" i="52"/>
  <c r="A126" i="52"/>
  <c r="A127" i="52" s="1"/>
  <c r="C295" i="52"/>
  <c r="C405" i="52"/>
  <c r="C366" i="52"/>
  <c r="A367" i="52"/>
  <c r="A153" i="52"/>
  <c r="C152" i="52"/>
  <c r="A299" i="52"/>
  <c r="C298" i="52"/>
  <c r="W63" i="6"/>
  <c r="J78" i="6"/>
  <c r="L17" i="1"/>
  <c r="W119" i="1"/>
  <c r="W92" i="1"/>
  <c r="R56" i="6"/>
  <c r="H103" i="22" s="1"/>
  <c r="H32" i="22"/>
  <c r="F45" i="22"/>
  <c r="H71" i="22"/>
  <c r="E33" i="30" s="1"/>
  <c r="W116" i="1"/>
  <c r="S331" i="12"/>
  <c r="S330" i="12"/>
  <c r="S329" i="12"/>
  <c r="S328" i="12"/>
  <c r="S327" i="12"/>
  <c r="S326" i="12"/>
  <c r="S325" i="12"/>
  <c r="S324" i="12"/>
  <c r="S323" i="12"/>
  <c r="S322" i="12"/>
  <c r="S321" i="12"/>
  <c r="S320" i="12"/>
  <c r="S319" i="12"/>
  <c r="S318" i="12"/>
  <c r="S317" i="12"/>
  <c r="S316" i="12"/>
  <c r="S315" i="12"/>
  <c r="S314" i="12"/>
  <c r="S313" i="12"/>
  <c r="S312" i="12"/>
  <c r="S311" i="12"/>
  <c r="S310" i="12"/>
  <c r="S309" i="12"/>
  <c r="S308" i="12"/>
  <c r="S307" i="12"/>
  <c r="S306" i="12"/>
  <c r="S305" i="12"/>
  <c r="S304" i="12"/>
  <c r="S303" i="12"/>
  <c r="S302" i="12"/>
  <c r="S301" i="12"/>
  <c r="S300" i="12"/>
  <c r="S299" i="12"/>
  <c r="S298" i="12"/>
  <c r="S297" i="12"/>
  <c r="S296" i="12"/>
  <c r="S295" i="12"/>
  <c r="S294" i="12"/>
  <c r="S293" i="12"/>
  <c r="S292" i="12"/>
  <c r="S291" i="12"/>
  <c r="S290" i="12"/>
  <c r="S289" i="12"/>
  <c r="S288" i="12"/>
  <c r="S287" i="12"/>
  <c r="S286" i="12"/>
  <c r="S285" i="12"/>
  <c r="S284" i="12"/>
  <c r="S283" i="12"/>
  <c r="S282" i="12"/>
  <c r="S281" i="12"/>
  <c r="S280" i="12"/>
  <c r="S279" i="12"/>
  <c r="S278" i="12"/>
  <c r="S277" i="12"/>
  <c r="S276" i="12"/>
  <c r="S275" i="12"/>
  <c r="S274" i="12"/>
  <c r="S273" i="12"/>
  <c r="S272" i="12"/>
  <c r="S271" i="12"/>
  <c r="S270" i="12"/>
  <c r="S269" i="12"/>
  <c r="S268" i="12"/>
  <c r="S267" i="12"/>
  <c r="S266" i="12"/>
  <c r="S265" i="12"/>
  <c r="S264" i="12"/>
  <c r="S263" i="12"/>
  <c r="S262" i="12"/>
  <c r="S261" i="12"/>
  <c r="S260" i="12"/>
  <c r="S259" i="12"/>
  <c r="S258" i="12"/>
  <c r="S257" i="12"/>
  <c r="S256" i="12"/>
  <c r="S255" i="12"/>
  <c r="S254" i="12"/>
  <c r="S253" i="12"/>
  <c r="S252" i="12"/>
  <c r="S251" i="12"/>
  <c r="S250" i="12"/>
  <c r="S249" i="12"/>
  <c r="S248" i="12"/>
  <c r="S247" i="12"/>
  <c r="S246" i="12"/>
  <c r="S245" i="12"/>
  <c r="S244" i="12"/>
  <c r="S243" i="12"/>
  <c r="S242" i="12"/>
  <c r="S241" i="12"/>
  <c r="S240" i="12"/>
  <c r="S239" i="12"/>
  <c r="S238" i="12"/>
  <c r="S237" i="12"/>
  <c r="S236" i="12"/>
  <c r="S235" i="12"/>
  <c r="S234" i="12"/>
  <c r="S233" i="12"/>
  <c r="S232" i="12"/>
  <c r="S231" i="12"/>
  <c r="S230" i="12"/>
  <c r="S229" i="12"/>
  <c r="S228" i="12"/>
  <c r="S227" i="12"/>
  <c r="S226" i="12"/>
  <c r="S225" i="12"/>
  <c r="S224" i="12"/>
  <c r="S223" i="12"/>
  <c r="S222" i="12"/>
  <c r="S221" i="12"/>
  <c r="S220" i="12"/>
  <c r="S219" i="12"/>
  <c r="S218" i="12"/>
  <c r="S217" i="12"/>
  <c r="S216" i="12"/>
  <c r="S215" i="12"/>
  <c r="S214" i="12"/>
  <c r="S213" i="12"/>
  <c r="S212" i="12"/>
  <c r="S211" i="12"/>
  <c r="S210" i="12"/>
  <c r="S209" i="12"/>
  <c r="S208" i="12"/>
  <c r="S207" i="12"/>
  <c r="S206" i="12"/>
  <c r="S205" i="12"/>
  <c r="S204" i="12"/>
  <c r="S203" i="12"/>
  <c r="S202" i="12"/>
  <c r="S201" i="12"/>
  <c r="S200" i="12"/>
  <c r="S199" i="12"/>
  <c r="S198" i="12"/>
  <c r="S197" i="12"/>
  <c r="S196" i="12"/>
  <c r="S195" i="12"/>
  <c r="S194" i="12"/>
  <c r="S193" i="12"/>
  <c r="S192" i="12"/>
  <c r="S191" i="12"/>
  <c r="S190" i="12"/>
  <c r="S189" i="12"/>
  <c r="S188" i="12"/>
  <c r="S187" i="12"/>
  <c r="S186" i="12"/>
  <c r="S185" i="12"/>
  <c r="S184" i="12"/>
  <c r="S183" i="12"/>
  <c r="S182" i="12"/>
  <c r="S181" i="12"/>
  <c r="S180" i="12"/>
  <c r="S179" i="12"/>
  <c r="S178" i="12"/>
  <c r="S177" i="12"/>
  <c r="S176" i="12"/>
  <c r="S175" i="12"/>
  <c r="S174" i="12"/>
  <c r="S173" i="12"/>
  <c r="S172" i="12"/>
  <c r="S171" i="12"/>
  <c r="S170" i="12"/>
  <c r="S169" i="12"/>
  <c r="S168" i="12"/>
  <c r="S167" i="12"/>
  <c r="S166" i="12"/>
  <c r="S165" i="12"/>
  <c r="S164" i="12"/>
  <c r="S163" i="12"/>
  <c r="S162" i="12"/>
  <c r="S161" i="12"/>
  <c r="S160" i="12"/>
  <c r="S159" i="12"/>
  <c r="S158" i="12"/>
  <c r="S157" i="12"/>
  <c r="S156" i="12"/>
  <c r="S155" i="12"/>
  <c r="S154" i="12"/>
  <c r="S153" i="12"/>
  <c r="S152" i="12"/>
  <c r="S151" i="12"/>
  <c r="S150" i="12"/>
  <c r="S149" i="12"/>
  <c r="S148" i="12"/>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7" i="12"/>
  <c r="S116" i="12"/>
  <c r="S115" i="12"/>
  <c r="S114" i="12"/>
  <c r="S113" i="12"/>
  <c r="S112" i="12"/>
  <c r="S111" i="12"/>
  <c r="S110" i="12"/>
  <c r="S109" i="12"/>
  <c r="S108" i="12"/>
  <c r="S107" i="12"/>
  <c r="S106" i="12"/>
  <c r="S105" i="12"/>
  <c r="S104" i="12"/>
  <c r="S103" i="12"/>
  <c r="S102" i="12"/>
  <c r="S101" i="12"/>
  <c r="S100" i="12"/>
  <c r="S99" i="12"/>
  <c r="S98" i="12"/>
  <c r="S97" i="12"/>
  <c r="S96" i="12"/>
  <c r="S95" i="12"/>
  <c r="S94" i="12"/>
  <c r="S93" i="12"/>
  <c r="S92" i="12"/>
  <c r="S91" i="12"/>
  <c r="S90" i="12"/>
  <c r="S89" i="12"/>
  <c r="S88" i="12"/>
  <c r="S87" i="12"/>
  <c r="S86" i="12"/>
  <c r="S85" i="12"/>
  <c r="S84" i="12"/>
  <c r="S83" i="12"/>
  <c r="S82" i="12"/>
  <c r="S81" i="12"/>
  <c r="S80" i="12"/>
  <c r="S79" i="12"/>
  <c r="S78" i="12"/>
  <c r="S77" i="12"/>
  <c r="S76" i="12"/>
  <c r="S75" i="12"/>
  <c r="S74" i="12"/>
  <c r="S73" i="12"/>
  <c r="S72" i="12"/>
  <c r="S71" i="12"/>
  <c r="S70" i="12"/>
  <c r="S69" i="12"/>
  <c r="S68" i="12"/>
  <c r="S67" i="12"/>
  <c r="S66" i="12"/>
  <c r="S65" i="12"/>
  <c r="S64" i="12"/>
  <c r="S63" i="12"/>
  <c r="S62" i="12"/>
  <c r="S61" i="12"/>
  <c r="S60" i="12"/>
  <c r="S59" i="12"/>
  <c r="S58" i="12"/>
  <c r="S57" i="12"/>
  <c r="S56" i="12"/>
  <c r="S55" i="12"/>
  <c r="S54" i="12"/>
  <c r="S53" i="12"/>
  <c r="S52" i="12"/>
  <c r="S51" i="12"/>
  <c r="S50" i="12"/>
  <c r="S49" i="12"/>
  <c r="S48" i="12"/>
  <c r="S47" i="12"/>
  <c r="S46" i="12"/>
  <c r="S45" i="12"/>
  <c r="S44" i="12"/>
  <c r="S43" i="12"/>
  <c r="S42" i="12"/>
  <c r="S41" i="12"/>
  <c r="S40" i="12"/>
  <c r="S39" i="12"/>
  <c r="S38" i="12"/>
  <c r="S37" i="12"/>
  <c r="S36" i="12"/>
  <c r="S35" i="12"/>
  <c r="S34" i="12"/>
  <c r="S33" i="12"/>
  <c r="S32" i="12"/>
  <c r="S31" i="12"/>
  <c r="S30" i="12"/>
  <c r="S29" i="12"/>
  <c r="S28" i="12"/>
  <c r="S27" i="12"/>
  <c r="S26" i="12"/>
  <c r="S25" i="12"/>
  <c r="S24" i="12"/>
  <c r="S23" i="12"/>
  <c r="S22" i="12"/>
  <c r="S21" i="12"/>
  <c r="S20" i="12"/>
  <c r="S19" i="12"/>
  <c r="S18" i="12"/>
  <c r="S17" i="12"/>
  <c r="S16" i="12"/>
  <c r="S15" i="12"/>
  <c r="S14" i="12"/>
  <c r="S13" i="12"/>
  <c r="S12" i="12"/>
  <c r="S11" i="12"/>
  <c r="S10" i="12"/>
  <c r="S9" i="12"/>
  <c r="S8" i="12"/>
  <c r="S7" i="12"/>
  <c r="S6" i="12"/>
  <c r="E3" i="48"/>
  <c r="F3" i="48"/>
  <c r="G3" i="48"/>
  <c r="H3" i="48"/>
  <c r="I3" i="48"/>
  <c r="J3" i="48"/>
  <c r="K3" i="48"/>
  <c r="L3" i="48"/>
  <c r="M3" i="48"/>
  <c r="N3" i="48"/>
  <c r="O3" i="48"/>
  <c r="P3" i="48"/>
  <c r="Q3" i="48"/>
  <c r="R3" i="48"/>
  <c r="S3" i="48"/>
  <c r="T3" i="48"/>
  <c r="U3" i="48"/>
  <c r="V3" i="48"/>
  <c r="W3" i="48"/>
  <c r="X3" i="48"/>
  <c r="Y3" i="48"/>
  <c r="Z3" i="48"/>
  <c r="AA3" i="48"/>
  <c r="AB3" i="48"/>
  <c r="AC3" i="48"/>
  <c r="AD3" i="48"/>
  <c r="AE3" i="48"/>
  <c r="AF3" i="48"/>
  <c r="AG3" i="48"/>
  <c r="AH3" i="48"/>
  <c r="AI3" i="48"/>
  <c r="AJ3" i="48"/>
  <c r="AK3" i="48"/>
  <c r="AL3" i="48"/>
  <c r="AM3" i="48"/>
  <c r="AN3" i="48"/>
  <c r="AO3" i="48"/>
  <c r="AP3" i="48"/>
  <c r="AQ3" i="48"/>
  <c r="AR3" i="48"/>
  <c r="AS3" i="48"/>
  <c r="AT3" i="48"/>
  <c r="D3" i="48"/>
  <c r="AH7" i="12"/>
  <c r="AH8" i="12"/>
  <c r="AH9" i="12"/>
  <c r="AH10" i="12"/>
  <c r="AH11" i="12"/>
  <c r="AH12" i="12"/>
  <c r="AH13" i="12"/>
  <c r="AH14" i="12"/>
  <c r="AH15" i="12"/>
  <c r="AH16" i="12"/>
  <c r="AH17" i="12"/>
  <c r="AH18"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5" i="12"/>
  <c r="AH46" i="12"/>
  <c r="AH47" i="12"/>
  <c r="AH48" i="12"/>
  <c r="AH49" i="12"/>
  <c r="AH50" i="12"/>
  <c r="AH51" i="12"/>
  <c r="AH5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67" i="12"/>
  <c r="AH168" i="12"/>
  <c r="AH169" i="12"/>
  <c r="AH170" i="12"/>
  <c r="AH171" i="12"/>
  <c r="AH172" i="12"/>
  <c r="AH173" i="12"/>
  <c r="AH174" i="12"/>
  <c r="AH175" i="12"/>
  <c r="AH176" i="12"/>
  <c r="AH177" i="12"/>
  <c r="AH178" i="12"/>
  <c r="AH179" i="12"/>
  <c r="AH180" i="12"/>
  <c r="AH181" i="12"/>
  <c r="AH182" i="12"/>
  <c r="AH183" i="12"/>
  <c r="AH184" i="12"/>
  <c r="AH185" i="12"/>
  <c r="AH186" i="12"/>
  <c r="AH187" i="12"/>
  <c r="AH188" i="12"/>
  <c r="AH189" i="12"/>
  <c r="AH190" i="12"/>
  <c r="AH191" i="12"/>
  <c r="AH192" i="12"/>
  <c r="AH193" i="12"/>
  <c r="AH194" i="12"/>
  <c r="AH195" i="12"/>
  <c r="AH196" i="12"/>
  <c r="AH197" i="12"/>
  <c r="AH198" i="12"/>
  <c r="AH199" i="12"/>
  <c r="AH200" i="12"/>
  <c r="AH201" i="12"/>
  <c r="AH202" i="12"/>
  <c r="AH203" i="12"/>
  <c r="AH204" i="12"/>
  <c r="AH205" i="12"/>
  <c r="AH206" i="12"/>
  <c r="AH207" i="12"/>
  <c r="AH208" i="12"/>
  <c r="AH209" i="12"/>
  <c r="AH210" i="12"/>
  <c r="AH211" i="12"/>
  <c r="AH212" i="12"/>
  <c r="AH213" i="12"/>
  <c r="AH214" i="12"/>
  <c r="AH215" i="12"/>
  <c r="AH216" i="12"/>
  <c r="AH217" i="12"/>
  <c r="AH218" i="12"/>
  <c r="AH219" i="12"/>
  <c r="AH220" i="12"/>
  <c r="AH221" i="12"/>
  <c r="AH222" i="12"/>
  <c r="AH223" i="12"/>
  <c r="AH224" i="12"/>
  <c r="AH225" i="12"/>
  <c r="AH226" i="12"/>
  <c r="AH227" i="12"/>
  <c r="AH228" i="12"/>
  <c r="AH229" i="12"/>
  <c r="AH230" i="12"/>
  <c r="AH231" i="12"/>
  <c r="AH232" i="12"/>
  <c r="AH233" i="12"/>
  <c r="AH234" i="12"/>
  <c r="AH235" i="12"/>
  <c r="AH236" i="12"/>
  <c r="AH237" i="12"/>
  <c r="AH238" i="12"/>
  <c r="AH239" i="12"/>
  <c r="AH240" i="12"/>
  <c r="AH241" i="12"/>
  <c r="AH242" i="12"/>
  <c r="AH243" i="12"/>
  <c r="AH244" i="12"/>
  <c r="AH245" i="12"/>
  <c r="AH246" i="12"/>
  <c r="AH247" i="12"/>
  <c r="AH248" i="12"/>
  <c r="AH249" i="12"/>
  <c r="AH250" i="12"/>
  <c r="AH251" i="12"/>
  <c r="AH252" i="12"/>
  <c r="AH253" i="12"/>
  <c r="AH254" i="12"/>
  <c r="AH255" i="12"/>
  <c r="AH256" i="12"/>
  <c r="AH257" i="12"/>
  <c r="AH258" i="12"/>
  <c r="AH259" i="12"/>
  <c r="AH260" i="12"/>
  <c r="AH261" i="12"/>
  <c r="AH262" i="12"/>
  <c r="AH263" i="12"/>
  <c r="AH264" i="12"/>
  <c r="AH265" i="12"/>
  <c r="AH266" i="12"/>
  <c r="AH267" i="12"/>
  <c r="AH268" i="12"/>
  <c r="AH269" i="12"/>
  <c r="AH270" i="12"/>
  <c r="AH271" i="12"/>
  <c r="AH272" i="12"/>
  <c r="AH273" i="12"/>
  <c r="AH274" i="12"/>
  <c r="AH275" i="12"/>
  <c r="AH276" i="12"/>
  <c r="AH277" i="12"/>
  <c r="AH278" i="12"/>
  <c r="AH279" i="12"/>
  <c r="AH280" i="12"/>
  <c r="AH281" i="12"/>
  <c r="AH282" i="12"/>
  <c r="AH283" i="12"/>
  <c r="AH284" i="12"/>
  <c r="AH285" i="12"/>
  <c r="AH286" i="12"/>
  <c r="AH287" i="12"/>
  <c r="AH288" i="12"/>
  <c r="AH289" i="12"/>
  <c r="AH290" i="12"/>
  <c r="AH291" i="12"/>
  <c r="AH292" i="12"/>
  <c r="AH293" i="12"/>
  <c r="AH294" i="12"/>
  <c r="AH295" i="12"/>
  <c r="AH296" i="12"/>
  <c r="AH297" i="12"/>
  <c r="AH298" i="12"/>
  <c r="AH299" i="12"/>
  <c r="AH300" i="12"/>
  <c r="AH301" i="12"/>
  <c r="AH302" i="12"/>
  <c r="AH303" i="12"/>
  <c r="AH304" i="12"/>
  <c r="AH305" i="12"/>
  <c r="AH306" i="12"/>
  <c r="AH307" i="12"/>
  <c r="AH308" i="12"/>
  <c r="AH309" i="12"/>
  <c r="AH310" i="12"/>
  <c r="AH311" i="12"/>
  <c r="AH312" i="12"/>
  <c r="AH313" i="12"/>
  <c r="AH314" i="12"/>
  <c r="AH315" i="12"/>
  <c r="AH316" i="12"/>
  <c r="AH317" i="12"/>
  <c r="AH318" i="12"/>
  <c r="AH319" i="12"/>
  <c r="AH320" i="12"/>
  <c r="AH321" i="12"/>
  <c r="AH322" i="12"/>
  <c r="AH323" i="12"/>
  <c r="AH324" i="12"/>
  <c r="AH325" i="12"/>
  <c r="AH326" i="12"/>
  <c r="AH327" i="12"/>
  <c r="AH328" i="12"/>
  <c r="AH329" i="12"/>
  <c r="AH330" i="12"/>
  <c r="AH331" i="12"/>
  <c r="AH6" i="12"/>
  <c r="Y165" i="12"/>
  <c r="Y329"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D39" i="30"/>
  <c r="R18" i="6"/>
  <c r="W154" i="1"/>
  <c r="W77" i="1"/>
  <c r="L16" i="1"/>
  <c r="V66" i="41" s="1"/>
  <c r="L58" i="23"/>
  <c r="L37" i="23"/>
  <c r="K36" i="1"/>
  <c r="R20" i="1"/>
  <c r="R19" i="1"/>
  <c r="R18" i="1"/>
  <c r="P8" i="41"/>
  <c r="F27" i="34"/>
  <c r="F26" i="34"/>
  <c r="F25" i="34"/>
  <c r="F6" i="34"/>
  <c r="E36" i="30"/>
  <c r="E35" i="30"/>
  <c r="E34" i="30"/>
  <c r="E32" i="30"/>
  <c r="E30" i="30"/>
  <c r="E31" i="30"/>
  <c r="E29" i="30"/>
  <c r="E28" i="30"/>
  <c r="E27" i="30"/>
  <c r="E26" i="30"/>
  <c r="E25" i="30"/>
  <c r="E21" i="30"/>
  <c r="E20" i="30"/>
  <c r="E19" i="30"/>
  <c r="E18" i="30"/>
  <c r="E37" i="24"/>
  <c r="E36" i="24"/>
  <c r="N64" i="6"/>
  <c r="N78" i="6" s="1"/>
  <c r="R93" i="6"/>
  <c r="J57" i="6"/>
  <c r="R37" i="23"/>
  <c r="R58" i="23"/>
  <c r="D20" i="24"/>
  <c r="R28" i="23"/>
  <c r="H70" i="22"/>
  <c r="F79" i="22"/>
  <c r="C133" i="6"/>
  <c r="J138" i="6"/>
  <c r="F193" i="34" s="1"/>
  <c r="J100" i="6"/>
  <c r="J39" i="6"/>
  <c r="J23" i="6"/>
  <c r="J28" i="6" s="1"/>
  <c r="R28" i="6" s="1"/>
  <c r="N100" i="6"/>
  <c r="N39" i="6"/>
  <c r="D36" i="30"/>
  <c r="D35" i="30"/>
  <c r="D34" i="30" s="1"/>
  <c r="D26" i="30"/>
  <c r="D27" i="30"/>
  <c r="D28" i="30"/>
  <c r="D29" i="30"/>
  <c r="D30" i="30"/>
  <c r="D31" i="30"/>
  <c r="D32" i="30"/>
  <c r="D33" i="30"/>
  <c r="D25" i="30"/>
  <c r="D19" i="30"/>
  <c r="D20" i="30"/>
  <c r="D21" i="30"/>
  <c r="D22" i="30"/>
  <c r="D18" i="30"/>
  <c r="D17" i="24"/>
  <c r="B10" i="30"/>
  <c r="B9" i="30"/>
  <c r="B8" i="30"/>
  <c r="B21" i="24"/>
  <c r="D21" i="24"/>
  <c r="D3" i="9"/>
  <c r="E3" i="9"/>
  <c r="F3" i="9"/>
  <c r="G3" i="9" s="1"/>
  <c r="H3" i="9" s="1"/>
  <c r="I3" i="9" s="1"/>
  <c r="J3" i="9" s="1"/>
  <c r="K3" i="9" s="1"/>
  <c r="L3" i="9" s="1"/>
  <c r="M3" i="9" s="1"/>
  <c r="N3" i="9" s="1"/>
  <c r="O3" i="9" s="1"/>
  <c r="P3" i="9" s="1"/>
  <c r="Q3" i="9" s="1"/>
  <c r="R3" i="9" s="1"/>
  <c r="S3" i="9" s="1"/>
  <c r="T3" i="9" s="1"/>
  <c r="U3" i="9" s="1"/>
  <c r="V3" i="9" s="1"/>
  <c r="W3" i="9" s="1"/>
  <c r="X3" i="9" s="1"/>
  <c r="Y3" i="9" s="1"/>
  <c r="Z3" i="9" s="1"/>
  <c r="AA3" i="9" s="1"/>
  <c r="AB3" i="9" s="1"/>
  <c r="AC3" i="9" s="1"/>
  <c r="AD3" i="9" s="1"/>
  <c r="AE3" i="9" s="1"/>
  <c r="AF3" i="9" s="1"/>
  <c r="AG3" i="9" s="1"/>
  <c r="AH3" i="9" s="1"/>
  <c r="AI3" i="9" s="1"/>
  <c r="AJ3" i="9" s="1"/>
  <c r="AK3" i="9" s="1"/>
  <c r="AL3" i="9" s="1"/>
  <c r="AM3" i="9" s="1"/>
  <c r="AN3" i="9" s="1"/>
  <c r="AO3" i="9" s="1"/>
  <c r="AP3" i="9" s="1"/>
  <c r="AQ3" i="9" s="1"/>
  <c r="AR3" i="9" s="1"/>
  <c r="AS3" i="9" s="1"/>
  <c r="AT3" i="9" s="1"/>
  <c r="C129" i="6"/>
  <c r="P17" i="24"/>
  <c r="X77" i="1"/>
  <c r="X154" i="1" s="1"/>
  <c r="A5" i="24"/>
  <c r="B8" i="24"/>
  <c r="B10" i="24"/>
  <c r="B9" i="24"/>
  <c r="N23" i="6"/>
  <c r="R159" i="6"/>
  <c r="F208" i="34" s="1"/>
  <c r="R156" i="6"/>
  <c r="R153" i="6"/>
  <c r="R128" i="6"/>
  <c r="R125" i="6"/>
  <c r="R122" i="6"/>
  <c r="R119" i="6"/>
  <c r="R116" i="6"/>
  <c r="R113" i="6"/>
  <c r="R96" i="6"/>
  <c r="H87" i="22" s="1"/>
  <c r="C88" i="22" s="1"/>
  <c r="R73" i="6"/>
  <c r="E25" i="24" s="1"/>
  <c r="R70" i="6"/>
  <c r="R67" i="6"/>
  <c r="R61" i="6"/>
  <c r="W61" i="6"/>
  <c r="R58" i="6"/>
  <c r="R35" i="6"/>
  <c r="R32" i="6"/>
  <c r="M8" i="23"/>
  <c r="H111" i="22"/>
  <c r="C17" i="22"/>
  <c r="C16" i="22"/>
  <c r="C15" i="22"/>
  <c r="H91" i="22"/>
  <c r="H93" i="22"/>
  <c r="H95" i="22"/>
  <c r="H97" i="22"/>
  <c r="H106" i="22"/>
  <c r="A59" i="1"/>
  <c r="S8" i="6"/>
  <c r="W93" i="6"/>
  <c r="W32" i="6"/>
  <c r="E39" i="24"/>
  <c r="W122" i="6"/>
  <c r="E33" i="24"/>
  <c r="W113" i="6"/>
  <c r="E27" i="24"/>
  <c r="W96" i="6"/>
  <c r="E24" i="24"/>
  <c r="B22" i="24"/>
  <c r="B23" i="24"/>
  <c r="D23" i="24" s="1"/>
  <c r="E22" i="30"/>
  <c r="E21" i="24"/>
  <c r="E17" i="24"/>
  <c r="W70" i="6"/>
  <c r="N173" i="6"/>
  <c r="N28" i="6"/>
  <c r="N107" i="6"/>
  <c r="W18" i="6"/>
  <c r="W156" i="6"/>
  <c r="J45" i="6"/>
  <c r="W39" i="6"/>
  <c r="W103" i="6"/>
  <c r="C54" i="41" l="1"/>
  <c r="AE36" i="58"/>
  <c r="AH36" i="58" s="1"/>
  <c r="F440" i="34" s="1"/>
  <c r="F300" i="34"/>
  <c r="L71" i="60"/>
  <c r="F457" i="34" s="1"/>
  <c r="H72" i="22"/>
  <c r="F77" i="22"/>
  <c r="G54" i="58"/>
  <c r="G54" i="41"/>
  <c r="W179" i="56"/>
  <c r="K43" i="1"/>
  <c r="K54" i="41"/>
  <c r="K54" i="58"/>
  <c r="K70" i="58" s="1"/>
  <c r="W179" i="1"/>
  <c r="W170" i="1"/>
  <c r="F79" i="34" s="1"/>
  <c r="W168" i="56"/>
  <c r="W170" i="56"/>
  <c r="G49" i="58"/>
  <c r="G60" i="58"/>
  <c r="K49" i="58"/>
  <c r="T49" i="58" s="1"/>
  <c r="G57" i="58"/>
  <c r="AE23" i="58"/>
  <c r="AH23" i="58" s="1"/>
  <c r="F437" i="34" s="1"/>
  <c r="A211" i="34"/>
  <c r="A430" i="34"/>
  <c r="A431" i="34"/>
  <c r="A209" i="34"/>
  <c r="A210" i="34"/>
  <c r="W182" i="56"/>
  <c r="W176" i="56"/>
  <c r="K49" i="41"/>
  <c r="W173" i="56"/>
  <c r="W182" i="1"/>
  <c r="G49" i="41"/>
  <c r="F241" i="34" s="1"/>
  <c r="W168" i="1"/>
  <c r="F75" i="34" s="1"/>
  <c r="A122" i="52"/>
  <c r="C121" i="52"/>
  <c r="C120" i="52"/>
  <c r="W23" i="6"/>
  <c r="W125" i="6"/>
  <c r="W73" i="6"/>
  <c r="F115" i="34"/>
  <c r="AJ28" i="57"/>
  <c r="AF173" i="57"/>
  <c r="F217" i="34"/>
  <c r="F146" i="34"/>
  <c r="AJ67" i="57"/>
  <c r="AL67" i="57" s="1"/>
  <c r="F405" i="34" s="1"/>
  <c r="F166" i="34"/>
  <c r="AB100" i="57"/>
  <c r="F213" i="34"/>
  <c r="AF165" i="57"/>
  <c r="F126" i="34"/>
  <c r="AB45" i="57"/>
  <c r="W56" i="6"/>
  <c r="E30" i="24"/>
  <c r="E34" i="24"/>
  <c r="F149" i="34"/>
  <c r="AJ70" i="57"/>
  <c r="AL70" i="57" s="1"/>
  <c r="F406" i="34" s="1"/>
  <c r="F178" i="34"/>
  <c r="AJ116" i="57"/>
  <c r="AL116" i="57" s="1"/>
  <c r="F417" i="34" s="1"/>
  <c r="F122" i="34"/>
  <c r="AB39" i="57"/>
  <c r="F171" i="34"/>
  <c r="AF107" i="57"/>
  <c r="E20" i="24"/>
  <c r="G20" i="24" s="1"/>
  <c r="H20" i="24" s="1"/>
  <c r="W67" i="6"/>
  <c r="F118" i="34"/>
  <c r="AJ32" i="57"/>
  <c r="AL32" i="57" s="1"/>
  <c r="F395" i="34" s="1"/>
  <c r="F152" i="34"/>
  <c r="AJ73" i="57"/>
  <c r="AL73" i="57" s="1"/>
  <c r="F407" i="34" s="1"/>
  <c r="F181" i="34"/>
  <c r="AJ119" i="57"/>
  <c r="AL119" i="57" s="1"/>
  <c r="F418" i="34" s="1"/>
  <c r="F110" i="34"/>
  <c r="AF23" i="57"/>
  <c r="F167" i="34"/>
  <c r="AF100" i="57"/>
  <c r="E26" i="24"/>
  <c r="F114" i="34"/>
  <c r="AF28" i="57"/>
  <c r="F121" i="34"/>
  <c r="AJ35" i="57"/>
  <c r="AL35" i="57" s="1"/>
  <c r="F396" i="34" s="1"/>
  <c r="AJ113" i="57"/>
  <c r="AL113" i="57" s="1"/>
  <c r="F416" i="34" s="1"/>
  <c r="F175" i="34"/>
  <c r="F187" i="34"/>
  <c r="AJ125" i="57"/>
  <c r="AL125" i="57" s="1"/>
  <c r="F421" i="34" s="1"/>
  <c r="F113" i="34"/>
  <c r="AB28" i="57"/>
  <c r="W35" i="6"/>
  <c r="F123" i="34"/>
  <c r="AF39" i="57"/>
  <c r="J50" i="6"/>
  <c r="W116" i="6"/>
  <c r="J107" i="6"/>
  <c r="E23" i="24"/>
  <c r="E31" i="24"/>
  <c r="W119" i="6"/>
  <c r="F140" i="34"/>
  <c r="AJ61" i="57"/>
  <c r="AL61" i="57" s="1"/>
  <c r="F403" i="34" s="1"/>
  <c r="F165" i="34"/>
  <c r="H87" i="60"/>
  <c r="AJ96" i="57"/>
  <c r="AL96" i="57" s="1"/>
  <c r="F412" i="34" s="1"/>
  <c r="F184" i="34"/>
  <c r="AJ122" i="57"/>
  <c r="AL122" i="57" s="1"/>
  <c r="F205" i="34"/>
  <c r="AJ156" i="57"/>
  <c r="AL156" i="57" s="1"/>
  <c r="F429" i="34" s="1"/>
  <c r="N45" i="6"/>
  <c r="F109" i="34"/>
  <c r="AB23" i="57"/>
  <c r="F162" i="34"/>
  <c r="AJ93" i="57"/>
  <c r="AL93" i="57" s="1"/>
  <c r="F411" i="34" s="1"/>
  <c r="E32" i="24"/>
  <c r="F107" i="34"/>
  <c r="AJ18" i="57"/>
  <c r="AL18" i="57" s="1"/>
  <c r="F390" i="34" s="1"/>
  <c r="F304" i="34"/>
  <c r="L87" i="60"/>
  <c r="F458" i="34" s="1"/>
  <c r="F101" i="22"/>
  <c r="W159" i="6"/>
  <c r="F202" i="34"/>
  <c r="AJ153" i="57"/>
  <c r="AL153" i="57" s="1"/>
  <c r="F428" i="34" s="1"/>
  <c r="F212" i="34"/>
  <c r="AB165" i="57"/>
  <c r="AL165" i="57" s="1"/>
  <c r="F432" i="34" s="1"/>
  <c r="W153" i="6"/>
  <c r="E38" i="24"/>
  <c r="W58" i="6"/>
  <c r="F137" i="34"/>
  <c r="AJ58" i="57"/>
  <c r="AL58" i="57" s="1"/>
  <c r="F402" i="34" s="1"/>
  <c r="F154" i="34"/>
  <c r="AF78" i="57"/>
  <c r="N85" i="6"/>
  <c r="W81" i="6" s="1"/>
  <c r="F142" i="34"/>
  <c r="AF64" i="57"/>
  <c r="W65" i="6"/>
  <c r="F108" i="22"/>
  <c r="F311" i="34"/>
  <c r="J85" i="6"/>
  <c r="F153" i="34"/>
  <c r="AB78" i="57"/>
  <c r="H103" i="60"/>
  <c r="F134" i="34"/>
  <c r="AJ56" i="57"/>
  <c r="AL56" i="57" s="1"/>
  <c r="F401" i="34" s="1"/>
  <c r="F194" i="34"/>
  <c r="AF138" i="57"/>
  <c r="W128" i="6"/>
  <c r="F190" i="34"/>
  <c r="AJ128" i="57"/>
  <c r="AL128" i="57" s="1"/>
  <c r="F422" i="34" s="1"/>
  <c r="C71" i="56"/>
  <c r="A71" i="56" s="1"/>
  <c r="AB51" i="56" s="1"/>
  <c r="W173" i="1"/>
  <c r="F83" i="34" s="1"/>
  <c r="W176" i="1"/>
  <c r="F87" i="34" s="1"/>
  <c r="A366" i="34"/>
  <c r="K51" i="1"/>
  <c r="F276" i="34"/>
  <c r="S58" i="59"/>
  <c r="F453" i="34" s="1"/>
  <c r="L63" i="23"/>
  <c r="L17" i="56"/>
  <c r="K43" i="56" s="1"/>
  <c r="A90" i="34"/>
  <c r="A367" i="34"/>
  <c r="A371" i="34"/>
  <c r="A375" i="34"/>
  <c r="A379" i="34"/>
  <c r="A383" i="34"/>
  <c r="A387" i="34"/>
  <c r="A89" i="34"/>
  <c r="A368" i="34"/>
  <c r="A372" i="34"/>
  <c r="A376" i="34"/>
  <c r="A380" i="34"/>
  <c r="A384" i="34"/>
  <c r="A388" i="34"/>
  <c r="A88" i="34"/>
  <c r="A369" i="34"/>
  <c r="A373" i="34"/>
  <c r="A377" i="34"/>
  <c r="A381" i="34"/>
  <c r="A385" i="34"/>
  <c r="A389" i="34"/>
  <c r="A91" i="34"/>
  <c r="A370" i="34"/>
  <c r="A374" i="34"/>
  <c r="A378" i="34"/>
  <c r="A382" i="34"/>
  <c r="A386" i="34"/>
  <c r="L16" i="56"/>
  <c r="C154" i="56"/>
  <c r="C77" i="56"/>
  <c r="E39" i="30"/>
  <c r="G39" i="30" s="1"/>
  <c r="H39" i="30" s="1"/>
  <c r="M39" i="30" s="1"/>
  <c r="B24" i="24"/>
  <c r="A502" i="34"/>
  <c r="A462" i="34"/>
  <c r="A466" i="34"/>
  <c r="A470" i="34"/>
  <c r="A474" i="34"/>
  <c r="A478" i="34"/>
  <c r="A482" i="34"/>
  <c r="A486" i="34"/>
  <c r="A490" i="34"/>
  <c r="A494" i="34"/>
  <c r="A498" i="34"/>
  <c r="A463" i="34"/>
  <c r="A467" i="34"/>
  <c r="A471" i="34"/>
  <c r="A475" i="34"/>
  <c r="A479" i="34"/>
  <c r="A483" i="34"/>
  <c r="A487" i="34"/>
  <c r="A491" i="34"/>
  <c r="A495" i="34"/>
  <c r="A499" i="34"/>
  <c r="A468" i="34"/>
  <c r="A476" i="34"/>
  <c r="A484" i="34"/>
  <c r="A492" i="34"/>
  <c r="A500" i="34"/>
  <c r="A464" i="34"/>
  <c r="A472" i="34"/>
  <c r="A480" i="34"/>
  <c r="A488" i="34"/>
  <c r="A496" i="34"/>
  <c r="A465" i="34"/>
  <c r="A473" i="34"/>
  <c r="A481" i="34"/>
  <c r="A489" i="34"/>
  <c r="A497" i="34"/>
  <c r="A485" i="34"/>
  <c r="A461" i="34"/>
  <c r="A493" i="34"/>
  <c r="A469" i="34"/>
  <c r="A501" i="34"/>
  <c r="A477" i="34"/>
  <c r="E3" i="51"/>
  <c r="C3" i="51" s="1"/>
  <c r="E3" i="63"/>
  <c r="G23" i="24"/>
  <c r="H23" i="24" s="1"/>
  <c r="F509" i="34"/>
  <c r="G22" i="30"/>
  <c r="H22" i="30" s="1"/>
  <c r="M22" i="30" s="1"/>
  <c r="Y22" i="30" s="1"/>
  <c r="F341" i="34" s="1"/>
  <c r="F530" i="34"/>
  <c r="G25" i="30"/>
  <c r="H25" i="30" s="1"/>
  <c r="M25" i="30" s="1"/>
  <c r="Y25" i="30" s="1"/>
  <c r="F342" i="34" s="1"/>
  <c r="F531" i="34"/>
  <c r="G30" i="30"/>
  <c r="H30" i="30" s="1"/>
  <c r="F536" i="34"/>
  <c r="G26" i="30"/>
  <c r="H26" i="30" s="1"/>
  <c r="F532" i="34"/>
  <c r="F543" i="34"/>
  <c r="G21" i="24"/>
  <c r="F507" i="34"/>
  <c r="G21" i="30"/>
  <c r="H21" i="30" s="1"/>
  <c r="M21" i="30" s="1"/>
  <c r="Y21" i="30" s="1"/>
  <c r="F340" i="34" s="1"/>
  <c r="F529" i="34"/>
  <c r="G33" i="30"/>
  <c r="H33" i="30" s="1"/>
  <c r="M33" i="30" s="1"/>
  <c r="F539" i="34"/>
  <c r="G29" i="30"/>
  <c r="H29" i="30" s="1"/>
  <c r="F535" i="34"/>
  <c r="G34" i="30"/>
  <c r="H34" i="30" s="1"/>
  <c r="M34" i="30" s="1"/>
  <c r="Y34" i="30" s="1"/>
  <c r="F351" i="34" s="1"/>
  <c r="F540" i="34"/>
  <c r="F506" i="34"/>
  <c r="G17" i="24"/>
  <c r="H17" i="24" s="1"/>
  <c r="F505" i="34"/>
  <c r="F528" i="34"/>
  <c r="G32" i="30"/>
  <c r="H32" i="30" s="1"/>
  <c r="M32" i="30" s="1"/>
  <c r="F538" i="34"/>
  <c r="G28" i="30"/>
  <c r="H28" i="30" s="1"/>
  <c r="F534" i="34"/>
  <c r="G35" i="30"/>
  <c r="H35" i="30" s="1"/>
  <c r="M35" i="30" s="1"/>
  <c r="F541" i="34"/>
  <c r="C14" i="60"/>
  <c r="A42" i="61"/>
  <c r="A41" i="61"/>
  <c r="A38" i="61"/>
  <c r="A34" i="61"/>
  <c r="A36" i="61"/>
  <c r="A4" i="61"/>
  <c r="A6" i="61"/>
  <c r="A8" i="61"/>
  <c r="A10" i="61"/>
  <c r="A12" i="61"/>
  <c r="A14" i="61"/>
  <c r="A16" i="61"/>
  <c r="A18" i="61"/>
  <c r="A20" i="61"/>
  <c r="A22" i="61"/>
  <c r="A24" i="61"/>
  <c r="A28" i="61"/>
  <c r="A30" i="61"/>
  <c r="A32" i="61"/>
  <c r="A19" i="61"/>
  <c r="A26" i="61"/>
  <c r="A27" i="61"/>
  <c r="A2" i="61"/>
  <c r="A29" i="61"/>
  <c r="A31" i="61"/>
  <c r="A33" i="61"/>
  <c r="A40" i="61"/>
  <c r="A37" i="61"/>
  <c r="A39" i="61"/>
  <c r="A35" i="61"/>
  <c r="A3" i="61"/>
  <c r="A5" i="61"/>
  <c r="A7" i="61"/>
  <c r="A9" i="61"/>
  <c r="A11" i="61"/>
  <c r="A13" i="61"/>
  <c r="A15" i="61"/>
  <c r="A17" i="61"/>
  <c r="A21" i="61"/>
  <c r="A23" i="61"/>
  <c r="A25" i="61"/>
  <c r="A528" i="34"/>
  <c r="A532" i="34"/>
  <c r="A536" i="34"/>
  <c r="A540" i="34"/>
  <c r="A507" i="34"/>
  <c r="A511" i="34"/>
  <c r="A515" i="34"/>
  <c r="A519" i="34"/>
  <c r="A523" i="34"/>
  <c r="A506" i="34"/>
  <c r="A504" i="34"/>
  <c r="A1" i="55"/>
  <c r="A538" i="34"/>
  <c r="A509" i="34"/>
  <c r="A513" i="34"/>
  <c r="A517" i="34"/>
  <c r="A525" i="34"/>
  <c r="A531" i="34"/>
  <c r="A535" i="34"/>
  <c r="A543" i="34"/>
  <c r="A510" i="34"/>
  <c r="A518" i="34"/>
  <c r="A529" i="34"/>
  <c r="A533" i="34"/>
  <c r="A537" i="34"/>
  <c r="A541" i="34"/>
  <c r="A508" i="34"/>
  <c r="A512" i="34"/>
  <c r="A516" i="34"/>
  <c r="A520" i="34"/>
  <c r="A524" i="34"/>
  <c r="A505" i="34"/>
  <c r="A503" i="34"/>
  <c r="A460" i="34"/>
  <c r="A530" i="34"/>
  <c r="A534" i="34"/>
  <c r="A542" i="34"/>
  <c r="A527" i="34"/>
  <c r="A521" i="34"/>
  <c r="A459" i="34"/>
  <c r="A544" i="34"/>
  <c r="A539" i="34"/>
  <c r="A526" i="34"/>
  <c r="A514" i="34"/>
  <c r="A522" i="34"/>
  <c r="A455" i="34"/>
  <c r="A456" i="34"/>
  <c r="A437" i="34"/>
  <c r="A441" i="34"/>
  <c r="A445" i="34"/>
  <c r="A449" i="34"/>
  <c r="A454" i="34"/>
  <c r="A439" i="34"/>
  <c r="A447" i="34"/>
  <c r="A436" i="34"/>
  <c r="A440" i="34"/>
  <c r="A448" i="34"/>
  <c r="A453" i="34"/>
  <c r="A438" i="34"/>
  <c r="A442" i="34"/>
  <c r="A446" i="34"/>
  <c r="A450" i="34"/>
  <c r="A451" i="34"/>
  <c r="A452" i="34"/>
  <c r="A457" i="34"/>
  <c r="A458" i="34"/>
  <c r="A443" i="34"/>
  <c r="A444" i="34"/>
  <c r="A418" i="34"/>
  <c r="A422" i="34"/>
  <c r="A426" i="34"/>
  <c r="A432" i="34"/>
  <c r="A391" i="34"/>
  <c r="A395" i="34"/>
  <c r="A399" i="34"/>
  <c r="A403" i="34"/>
  <c r="A407" i="34"/>
  <c r="A411" i="34"/>
  <c r="A359" i="34"/>
  <c r="A363" i="34"/>
  <c r="A356" i="34"/>
  <c r="A320" i="34"/>
  <c r="A324" i="34"/>
  <c r="A328" i="34"/>
  <c r="A332" i="34"/>
  <c r="A336" i="34"/>
  <c r="A340" i="34"/>
  <c r="A344" i="34"/>
  <c r="A348" i="34"/>
  <c r="A352" i="34"/>
  <c r="A415" i="34"/>
  <c r="A419" i="34"/>
  <c r="A423" i="34"/>
  <c r="A427" i="34"/>
  <c r="A433" i="34"/>
  <c r="A392" i="34"/>
  <c r="A396" i="34"/>
  <c r="A400" i="34"/>
  <c r="A404" i="34"/>
  <c r="A408" i="34"/>
  <c r="A412" i="34"/>
  <c r="A360" i="34"/>
  <c r="A364" i="34"/>
  <c r="A355" i="34"/>
  <c r="A321" i="34"/>
  <c r="A325" i="34"/>
  <c r="A329" i="34"/>
  <c r="A333" i="34"/>
  <c r="A337" i="34"/>
  <c r="A345" i="34"/>
  <c r="A353" i="34"/>
  <c r="A434" i="34"/>
  <c r="A416" i="34"/>
  <c r="A420" i="34"/>
  <c r="A424" i="34"/>
  <c r="A428" i="34"/>
  <c r="A393" i="34"/>
  <c r="A397" i="34"/>
  <c r="A401" i="34"/>
  <c r="A405" i="34"/>
  <c r="A409" i="34"/>
  <c r="A413" i="34"/>
  <c r="A357" i="34"/>
  <c r="A361" i="34"/>
  <c r="A365" i="34"/>
  <c r="A318" i="34"/>
  <c r="A322" i="34"/>
  <c r="A326" i="34"/>
  <c r="A330" i="34"/>
  <c r="A334" i="34"/>
  <c r="A338" i="34"/>
  <c r="A342" i="34"/>
  <c r="A346" i="34"/>
  <c r="A350" i="34"/>
  <c r="A354" i="34"/>
  <c r="A435" i="34"/>
  <c r="A417" i="34"/>
  <c r="A421" i="34"/>
  <c r="A425" i="34"/>
  <c r="A429" i="34"/>
  <c r="A390" i="34"/>
  <c r="A394" i="34"/>
  <c r="A398" i="34"/>
  <c r="A402" i="34"/>
  <c r="A406" i="34"/>
  <c r="A410" i="34"/>
  <c r="A414" i="34"/>
  <c r="A358" i="34"/>
  <c r="A362" i="34"/>
  <c r="A319" i="34"/>
  <c r="A323" i="34"/>
  <c r="A327" i="34"/>
  <c r="A331" i="34"/>
  <c r="A335" i="34"/>
  <c r="A339" i="34"/>
  <c r="A343" i="34"/>
  <c r="A347" i="34"/>
  <c r="A351" i="34"/>
  <c r="A341" i="34"/>
  <c r="A349" i="34"/>
  <c r="A315" i="34"/>
  <c r="A313" i="34"/>
  <c r="A311" i="34"/>
  <c r="A309" i="34"/>
  <c r="A307" i="34"/>
  <c r="A305" i="34"/>
  <c r="A303" i="34"/>
  <c r="A301" i="34"/>
  <c r="A299" i="34"/>
  <c r="A297" i="34"/>
  <c r="A295" i="34"/>
  <c r="A293" i="34"/>
  <c r="A291" i="34"/>
  <c r="A289" i="34"/>
  <c r="A287" i="34"/>
  <c r="A285" i="34"/>
  <c r="A283" i="34"/>
  <c r="A281" i="34"/>
  <c r="A279" i="34"/>
  <c r="A257" i="34"/>
  <c r="A255" i="34"/>
  <c r="A245" i="34"/>
  <c r="A243" i="34"/>
  <c r="A241" i="34"/>
  <c r="A239" i="34"/>
  <c r="A237" i="34"/>
  <c r="A235" i="34"/>
  <c r="A233" i="34"/>
  <c r="A231" i="34"/>
  <c r="A229" i="34"/>
  <c r="A227" i="34"/>
  <c r="A225" i="34"/>
  <c r="A223" i="34"/>
  <c r="A277" i="34"/>
  <c r="A275" i="34"/>
  <c r="A273" i="34"/>
  <c r="A271" i="34"/>
  <c r="A269" i="34"/>
  <c r="A267" i="34"/>
  <c r="A265" i="34"/>
  <c r="A263" i="34"/>
  <c r="A261" i="34"/>
  <c r="A259" i="34"/>
  <c r="A317" i="34"/>
  <c r="A221" i="34"/>
  <c r="A219" i="34"/>
  <c r="A217" i="34"/>
  <c r="A215" i="34"/>
  <c r="A213" i="34"/>
  <c r="A208" i="34"/>
  <c r="A206" i="34"/>
  <c r="A204" i="34"/>
  <c r="A202" i="34"/>
  <c r="A200" i="34"/>
  <c r="A198" i="34"/>
  <c r="A196" i="34"/>
  <c r="A194" i="34"/>
  <c r="A192" i="34"/>
  <c r="A190" i="34"/>
  <c r="A188" i="34"/>
  <c r="A186" i="34"/>
  <c r="A184" i="34"/>
  <c r="A182" i="34"/>
  <c r="A180" i="34"/>
  <c r="A178" i="34"/>
  <c r="A176" i="34"/>
  <c r="A174" i="34"/>
  <c r="A172" i="34"/>
  <c r="A170" i="34"/>
  <c r="A168" i="34"/>
  <c r="A166" i="34"/>
  <c r="A164" i="34"/>
  <c r="A162" i="34"/>
  <c r="A160" i="34"/>
  <c r="A158" i="34"/>
  <c r="A156" i="34"/>
  <c r="A314" i="34"/>
  <c r="A312" i="34"/>
  <c r="A310" i="34"/>
  <c r="A308" i="34"/>
  <c r="A306" i="34"/>
  <c r="A304" i="34"/>
  <c r="A302" i="34"/>
  <c r="A300" i="34"/>
  <c r="A298" i="34"/>
  <c r="A296" i="34"/>
  <c r="A294" i="34"/>
  <c r="A292" i="34"/>
  <c r="A290" i="34"/>
  <c r="A288" i="34"/>
  <c r="A286" i="34"/>
  <c r="A284" i="34"/>
  <c r="A282" i="34"/>
  <c r="A280" i="34"/>
  <c r="A278" i="34"/>
  <c r="A256" i="34"/>
  <c r="A246" i="34"/>
  <c r="A244" i="34"/>
  <c r="A242" i="34"/>
  <c r="A240" i="34"/>
  <c r="A238" i="34"/>
  <c r="A236" i="34"/>
  <c r="A234" i="34"/>
  <c r="A232" i="34"/>
  <c r="A230" i="34"/>
  <c r="A228" i="34"/>
  <c r="A226" i="34"/>
  <c r="A224" i="34"/>
  <c r="A222" i="34"/>
  <c r="A276" i="34"/>
  <c r="A274" i="34"/>
  <c r="A272" i="34"/>
  <c r="A270" i="34"/>
  <c r="A268" i="34"/>
  <c r="A266" i="34"/>
  <c r="A264" i="34"/>
  <c r="A262" i="34"/>
  <c r="A260" i="34"/>
  <c r="A258" i="34"/>
  <c r="A220" i="34"/>
  <c r="A218" i="34"/>
  <c r="A216" i="34"/>
  <c r="A214" i="34"/>
  <c r="A212" i="34"/>
  <c r="A207" i="34"/>
  <c r="A205" i="34"/>
  <c r="A203" i="34"/>
  <c r="A201" i="34"/>
  <c r="A199" i="34"/>
  <c r="A197" i="34"/>
  <c r="A195" i="34"/>
  <c r="A193" i="34"/>
  <c r="A191" i="34"/>
  <c r="A189" i="34"/>
  <c r="A187" i="34"/>
  <c r="A185" i="34"/>
  <c r="A183" i="34"/>
  <c r="A181" i="34"/>
  <c r="A179" i="34"/>
  <c r="A177" i="34"/>
  <c r="A175" i="34"/>
  <c r="A173" i="34"/>
  <c r="A171" i="34"/>
  <c r="A169" i="34"/>
  <c r="A167" i="34"/>
  <c r="A165" i="34"/>
  <c r="A163" i="34"/>
  <c r="A161" i="34"/>
  <c r="A159" i="34"/>
  <c r="A157" i="34"/>
  <c r="A155" i="34"/>
  <c r="A153" i="34"/>
  <c r="A154" i="34"/>
  <c r="A151" i="34"/>
  <c r="A149" i="34"/>
  <c r="A147" i="34"/>
  <c r="A145" i="34"/>
  <c r="A143" i="34"/>
  <c r="A141" i="34"/>
  <c r="A139" i="34"/>
  <c r="A137" i="34"/>
  <c r="A135" i="34"/>
  <c r="A133" i="34"/>
  <c r="A131" i="34"/>
  <c r="A129" i="34"/>
  <c r="A127" i="34"/>
  <c r="A125" i="34"/>
  <c r="A123" i="34"/>
  <c r="A121" i="34"/>
  <c r="A119" i="34"/>
  <c r="A117" i="34"/>
  <c r="A115" i="34"/>
  <c r="A113" i="34"/>
  <c r="A111" i="34"/>
  <c r="A109" i="34"/>
  <c r="A107" i="34"/>
  <c r="A105" i="34"/>
  <c r="A152" i="34"/>
  <c r="A150" i="34"/>
  <c r="A148" i="34"/>
  <c r="A146" i="34"/>
  <c r="A144" i="34"/>
  <c r="A142" i="34"/>
  <c r="A140" i="34"/>
  <c r="A138" i="34"/>
  <c r="A136" i="34"/>
  <c r="A134" i="34"/>
  <c r="A132" i="34"/>
  <c r="A130" i="34"/>
  <c r="A128" i="34"/>
  <c r="A126" i="34"/>
  <c r="A124" i="34"/>
  <c r="A122" i="34"/>
  <c r="A120" i="34"/>
  <c r="A118" i="34"/>
  <c r="A116" i="34"/>
  <c r="A114" i="34"/>
  <c r="A112" i="34"/>
  <c r="A110" i="34"/>
  <c r="A108" i="34"/>
  <c r="A106" i="34"/>
  <c r="A104" i="34"/>
  <c r="G18" i="30"/>
  <c r="H18" i="30" s="1"/>
  <c r="M18" i="30" s="1"/>
  <c r="F526" i="34"/>
  <c r="G19" i="30"/>
  <c r="H19" i="30" s="1"/>
  <c r="M19" i="30" s="1"/>
  <c r="Y19" i="30" s="1"/>
  <c r="F338" i="34" s="1"/>
  <c r="F527" i="34"/>
  <c r="F537" i="34"/>
  <c r="F533" i="34"/>
  <c r="F542" i="34"/>
  <c r="C10" i="59"/>
  <c r="C13" i="60"/>
  <c r="H82" i="60" s="1"/>
  <c r="C74" i="59"/>
  <c r="V57" i="58"/>
  <c r="C10" i="57"/>
  <c r="V66" i="58"/>
  <c r="C10" i="58"/>
  <c r="C66" i="58"/>
  <c r="C54" i="58"/>
  <c r="V40" i="58"/>
  <c r="W169" i="6"/>
  <c r="AB138" i="57"/>
  <c r="AP119" i="56"/>
  <c r="F57" i="34"/>
  <c r="AP92" i="56"/>
  <c r="F18" i="34"/>
  <c r="N116" i="1"/>
  <c r="AP116" i="56"/>
  <c r="F52" i="34"/>
  <c r="K40" i="1"/>
  <c r="C67" i="1" s="1"/>
  <c r="A67" i="1" s="1"/>
  <c r="AB47" i="1" s="1"/>
  <c r="AQ36" i="56"/>
  <c r="F358" i="34" s="1"/>
  <c r="A100" i="34"/>
  <c r="A60" i="34"/>
  <c r="A51" i="34"/>
  <c r="A48" i="34"/>
  <c r="A43" i="34"/>
  <c r="A102" i="34"/>
  <c r="A58" i="34"/>
  <c r="A39" i="34"/>
  <c r="A61" i="34"/>
  <c r="A52" i="34"/>
  <c r="A103" i="34"/>
  <c r="A59" i="34"/>
  <c r="A62" i="34"/>
  <c r="A101" i="34"/>
  <c r="A49" i="34"/>
  <c r="C13" i="22"/>
  <c r="H82" i="22" s="1"/>
  <c r="A17" i="34"/>
  <c r="A18" i="34"/>
  <c r="A15" i="34"/>
  <c r="A14" i="34"/>
  <c r="A16" i="34"/>
  <c r="W28" i="6"/>
  <c r="W25" i="6"/>
  <c r="E44" i="24"/>
  <c r="C153" i="52"/>
  <c r="A154" i="52"/>
  <c r="A12" i="52"/>
  <c r="C11" i="52"/>
  <c r="A408" i="52"/>
  <c r="C407" i="52"/>
  <c r="C453" i="52"/>
  <c r="A454" i="52"/>
  <c r="A368" i="52"/>
  <c r="C367" i="52"/>
  <c r="A300" i="52"/>
  <c r="C299" i="52"/>
  <c r="A128" i="52"/>
  <c r="C127" i="52"/>
  <c r="C126" i="52"/>
  <c r="Q119" i="1"/>
  <c r="N145" i="6"/>
  <c r="J145" i="6"/>
  <c r="F197" i="34" s="1"/>
  <c r="N57" i="6"/>
  <c r="J59" i="6" s="1"/>
  <c r="H104" i="22"/>
  <c r="E35" i="24"/>
  <c r="R64" i="6"/>
  <c r="A25" i="34"/>
  <c r="A28" i="34"/>
  <c r="W233" i="1"/>
  <c r="A8" i="34"/>
  <c r="A47" i="34"/>
  <c r="E233" i="1"/>
  <c r="Q88" i="1" s="1"/>
  <c r="A34" i="34"/>
  <c r="A63" i="34"/>
  <c r="C233" i="1"/>
  <c r="A3" i="34"/>
  <c r="A65" i="34"/>
  <c r="A68" i="34"/>
  <c r="A11" i="34"/>
  <c r="A33" i="34"/>
  <c r="A92" i="34"/>
  <c r="U233" i="1"/>
  <c r="N92" i="1"/>
  <c r="A24" i="34"/>
  <c r="A82" i="34"/>
  <c r="A80" i="34"/>
  <c r="A99" i="34"/>
  <c r="K233" i="1"/>
  <c r="T88" i="1" s="1"/>
  <c r="T161" i="1" s="1"/>
  <c r="A76" i="34"/>
  <c r="A32" i="34"/>
  <c r="A50" i="34"/>
  <c r="A19" i="34"/>
  <c r="A55" i="34"/>
  <c r="A40" i="34"/>
  <c r="A36" i="34"/>
  <c r="R17" i="1"/>
  <c r="V40" i="41"/>
  <c r="A7" i="34"/>
  <c r="A4" i="34"/>
  <c r="A9" i="34"/>
  <c r="A42" i="34"/>
  <c r="A57" i="34"/>
  <c r="A64" i="34"/>
  <c r="A27" i="34"/>
  <c r="A46" i="34"/>
  <c r="C65" i="1"/>
  <c r="A65" i="1" s="1"/>
  <c r="AB45" i="1" s="1"/>
  <c r="C74" i="23"/>
  <c r="A2" i="34"/>
  <c r="A5" i="34"/>
  <c r="A12" i="34"/>
  <c r="A6" i="34"/>
  <c r="A84" i="34"/>
  <c r="A22" i="34"/>
  <c r="A23" i="34"/>
  <c r="A79" i="34"/>
  <c r="A45" i="34"/>
  <c r="A78" i="34"/>
  <c r="A83" i="34"/>
  <c r="A41" i="34"/>
  <c r="A72" i="34"/>
  <c r="X40" i="41"/>
  <c r="T92" i="1"/>
  <c r="T110" i="1" s="1"/>
  <c r="C66" i="41"/>
  <c r="C154" i="1"/>
  <c r="C10" i="23"/>
  <c r="B7" i="24"/>
  <c r="C77" i="1"/>
  <c r="N88" i="1"/>
  <c r="N161" i="1" s="1"/>
  <c r="B7" i="30"/>
  <c r="C10" i="6"/>
  <c r="G20" i="30"/>
  <c r="H20" i="30" s="1"/>
  <c r="M20" i="30" s="1"/>
  <c r="C10" i="41"/>
  <c r="R16" i="1"/>
  <c r="Q233" i="1"/>
  <c r="C13" i="41" s="1"/>
  <c r="P233" i="1"/>
  <c r="O233" i="1"/>
  <c r="A93" i="34"/>
  <c r="A94" i="34"/>
  <c r="D22" i="24"/>
  <c r="F5" i="34"/>
  <c r="V57" i="41"/>
  <c r="S233" i="1"/>
  <c r="A73" i="34"/>
  <c r="A30" i="34"/>
  <c r="A86" i="34"/>
  <c r="A85" i="34"/>
  <c r="A96" i="34"/>
  <c r="A29" i="34"/>
  <c r="A53" i="34"/>
  <c r="A37" i="34"/>
  <c r="A66" i="34"/>
  <c r="A97" i="34"/>
  <c r="A21" i="34"/>
  <c r="A10" i="34"/>
  <c r="A13" i="34"/>
  <c r="C43" i="1"/>
  <c r="C14" i="22"/>
  <c r="G31" i="30"/>
  <c r="H31" i="30" s="1"/>
  <c r="G27" i="30"/>
  <c r="H27" i="30" s="1"/>
  <c r="G36" i="30"/>
  <c r="H36" i="30" s="1"/>
  <c r="M36" i="30" s="1"/>
  <c r="Q92" i="1"/>
  <c r="Q110" i="1" s="1"/>
  <c r="T119" i="1"/>
  <c r="R233" i="1"/>
  <c r="A75" i="34"/>
  <c r="A74" i="34"/>
  <c r="A69" i="34"/>
  <c r="A20" i="34"/>
  <c r="A67" i="34"/>
  <c r="A35" i="34"/>
  <c r="A56" i="34"/>
  <c r="A77" i="34"/>
  <c r="A26" i="34"/>
  <c r="A38" i="34"/>
  <c r="A95" i="34"/>
  <c r="A44" i="34"/>
  <c r="A98" i="34"/>
  <c r="A81" i="34"/>
  <c r="A31" i="34"/>
  <c r="A54" i="34"/>
  <c r="G60" i="41"/>
  <c r="F249" i="34" s="1"/>
  <c r="N119" i="1"/>
  <c r="V233" i="1"/>
  <c r="T233" i="1"/>
  <c r="W40" i="41"/>
  <c r="A87" i="34"/>
  <c r="A71" i="34"/>
  <c r="A70" i="34"/>
  <c r="G62" i="58" l="1"/>
  <c r="G70" i="58" s="1"/>
  <c r="O49" i="58"/>
  <c r="C50" i="58" s="1"/>
  <c r="AP170" i="56"/>
  <c r="Q182" i="1"/>
  <c r="Q170" i="1"/>
  <c r="Q179" i="1"/>
  <c r="Q176" i="1"/>
  <c r="Q173" i="1"/>
  <c r="F81" i="34" s="1"/>
  <c r="Q168" i="1"/>
  <c r="T176" i="1"/>
  <c r="T170" i="1"/>
  <c r="T179" i="1"/>
  <c r="F90" i="34" s="1"/>
  <c r="T168" i="1"/>
  <c r="T182" i="1"/>
  <c r="T173" i="1"/>
  <c r="F82" i="34" s="1"/>
  <c r="N112" i="56"/>
  <c r="W112" i="56" s="1"/>
  <c r="Q119" i="56"/>
  <c r="Q122" i="56" s="1"/>
  <c r="N119" i="56"/>
  <c r="N122" i="56" s="1"/>
  <c r="T92" i="56"/>
  <c r="T110" i="56" s="1"/>
  <c r="Q92" i="56"/>
  <c r="Q110" i="56" s="1"/>
  <c r="T119" i="56"/>
  <c r="AM119" i="56" s="1"/>
  <c r="N92" i="56"/>
  <c r="AG92" i="56" s="1"/>
  <c r="O49" i="41"/>
  <c r="U49" i="41" s="1"/>
  <c r="Q185" i="56"/>
  <c r="W185" i="56"/>
  <c r="F242" i="34"/>
  <c r="AA49" i="58"/>
  <c r="T185" i="56"/>
  <c r="F91" i="34"/>
  <c r="W49" i="58"/>
  <c r="AP168" i="56"/>
  <c r="AP179" i="56"/>
  <c r="W185" i="1"/>
  <c r="F99" i="34" s="1"/>
  <c r="A123" i="52"/>
  <c r="C122" i="52"/>
  <c r="AL23" i="57"/>
  <c r="F392" i="34" s="1"/>
  <c r="AL100" i="57"/>
  <c r="F413" i="34" s="1"/>
  <c r="F170" i="34"/>
  <c r="AB107" i="57"/>
  <c r="R107" i="6"/>
  <c r="F127" i="34"/>
  <c r="AF45" i="57"/>
  <c r="N50" i="6"/>
  <c r="W41" i="6"/>
  <c r="R45" i="6"/>
  <c r="AL39" i="57"/>
  <c r="F397" i="34" s="1"/>
  <c r="AL28" i="57"/>
  <c r="F394" i="34" s="1"/>
  <c r="F419" i="34"/>
  <c r="F420" i="34"/>
  <c r="W100" i="6"/>
  <c r="W78" i="6"/>
  <c r="F101" i="60"/>
  <c r="C88" i="60"/>
  <c r="F129" i="34"/>
  <c r="AB50" i="57"/>
  <c r="AL78" i="57"/>
  <c r="F408" i="34" s="1"/>
  <c r="F216" i="34"/>
  <c r="AB173" i="57"/>
  <c r="W165" i="6"/>
  <c r="R173" i="6"/>
  <c r="R85" i="6"/>
  <c r="F159" i="34" s="1"/>
  <c r="F158" i="34"/>
  <c r="AF85" i="57"/>
  <c r="F108" i="60"/>
  <c r="L103" i="60"/>
  <c r="F459" i="34" s="1"/>
  <c r="H104" i="60"/>
  <c r="F143" i="34"/>
  <c r="AJ64" i="57"/>
  <c r="AL64" i="57" s="1"/>
  <c r="F404" i="34" s="1"/>
  <c r="F157" i="34"/>
  <c r="AB85" i="57"/>
  <c r="AL138" i="57"/>
  <c r="F425" i="34" s="1"/>
  <c r="F198" i="34"/>
  <c r="AF145" i="57"/>
  <c r="J181" i="6"/>
  <c r="G18" i="58" s="1"/>
  <c r="G31" i="58" s="1"/>
  <c r="AP176" i="56"/>
  <c r="F277" i="34"/>
  <c r="S63" i="59"/>
  <c r="F454" i="34" s="1"/>
  <c r="E45" i="24"/>
  <c r="M45" i="24" s="1"/>
  <c r="Y45" i="24" s="1"/>
  <c r="F336" i="34" s="1"/>
  <c r="W122" i="1"/>
  <c r="F62" i="34" s="1"/>
  <c r="R63" i="23"/>
  <c r="R69" i="23" s="1"/>
  <c r="C67" i="23" s="1"/>
  <c r="R16" i="56"/>
  <c r="N88" i="56"/>
  <c r="N161" i="56" s="1"/>
  <c r="V233" i="56"/>
  <c r="C233" i="56"/>
  <c r="U233" i="56"/>
  <c r="R17" i="56"/>
  <c r="C43" i="56"/>
  <c r="S233" i="56"/>
  <c r="O233" i="56"/>
  <c r="T233" i="56"/>
  <c r="K233" i="56"/>
  <c r="T88" i="56" s="1"/>
  <c r="T161" i="56" s="1"/>
  <c r="R233" i="56"/>
  <c r="P233" i="56"/>
  <c r="Q233" i="56"/>
  <c r="W233" i="56"/>
  <c r="E233" i="56"/>
  <c r="Y18" i="30"/>
  <c r="F337" i="34" s="1"/>
  <c r="D24" i="24"/>
  <c r="B25" i="24"/>
  <c r="C13" i="58"/>
  <c r="M20" i="24"/>
  <c r="Y20" i="24" s="1"/>
  <c r="F316" i="34" s="1"/>
  <c r="M17" i="24"/>
  <c r="H21" i="24"/>
  <c r="M21" i="24" s="1"/>
  <c r="Y21" i="24" s="1"/>
  <c r="F317" i="34" s="1"/>
  <c r="M23" i="24"/>
  <c r="Y23" i="24" s="1"/>
  <c r="F319" i="34" s="1"/>
  <c r="B51" i="63"/>
  <c r="B47" i="63"/>
  <c r="B43" i="63"/>
  <c r="B39" i="63"/>
  <c r="B35" i="63"/>
  <c r="B31" i="63"/>
  <c r="B27" i="63"/>
  <c r="B23" i="63"/>
  <c r="B19" i="63"/>
  <c r="B15" i="63"/>
  <c r="B49" i="63"/>
  <c r="B45" i="63"/>
  <c r="B52" i="63"/>
  <c r="B48" i="63"/>
  <c r="B44" i="63"/>
  <c r="B40" i="63"/>
  <c r="B36" i="63"/>
  <c r="B32" i="63"/>
  <c r="B28" i="63"/>
  <c r="B24" i="63"/>
  <c r="B20" i="63"/>
  <c r="B16" i="63"/>
  <c r="B53" i="63"/>
  <c r="B41" i="63"/>
  <c r="B42" i="63"/>
  <c r="B34" i="63"/>
  <c r="B26" i="63"/>
  <c r="B18" i="63"/>
  <c r="B22" i="63"/>
  <c r="B25" i="63"/>
  <c r="B46" i="63"/>
  <c r="B37" i="63"/>
  <c r="B29" i="63"/>
  <c r="B21" i="63"/>
  <c r="B13" i="63"/>
  <c r="C3" i="63"/>
  <c r="B50" i="63"/>
  <c r="B38" i="63"/>
  <c r="B30" i="63"/>
  <c r="B14" i="63"/>
  <c r="B33" i="63"/>
  <c r="B17" i="63"/>
  <c r="M29" i="30"/>
  <c r="Y29" i="30" s="1"/>
  <c r="F346" i="34" s="1"/>
  <c r="M26" i="30"/>
  <c r="Y26" i="30" s="1"/>
  <c r="F343" i="34" s="1"/>
  <c r="M30" i="30"/>
  <c r="Y30" i="30" s="1"/>
  <c r="F347" i="34" s="1"/>
  <c r="M27" i="30"/>
  <c r="Y27" i="30" s="1"/>
  <c r="F344" i="34" s="1"/>
  <c r="F508" i="34"/>
  <c r="M31" i="30"/>
  <c r="Y31" i="30" s="1"/>
  <c r="F348" i="34" s="1"/>
  <c r="Y35" i="30"/>
  <c r="F352" i="34" s="1"/>
  <c r="F244" i="34"/>
  <c r="M28" i="30"/>
  <c r="Y28" i="30" s="1"/>
  <c r="F345" i="34" s="1"/>
  <c r="Y33" i="30"/>
  <c r="F350" i="34" s="1"/>
  <c r="Y39" i="30"/>
  <c r="F354" i="34" s="1"/>
  <c r="Y32" i="30"/>
  <c r="F349" i="34" s="1"/>
  <c r="W54" i="58"/>
  <c r="W104" i="1"/>
  <c r="F35" i="34" s="1"/>
  <c r="O60" i="58"/>
  <c r="W60" i="58"/>
  <c r="C57" i="58"/>
  <c r="C62" i="58"/>
  <c r="C60" i="58"/>
  <c r="AB145" i="57"/>
  <c r="W138" i="6"/>
  <c r="N16" i="57"/>
  <c r="C13" i="57"/>
  <c r="C193" i="57"/>
  <c r="F10" i="34"/>
  <c r="AQ48" i="56"/>
  <c r="F363" i="34" s="1"/>
  <c r="AB116" i="1"/>
  <c r="AG116" i="56"/>
  <c r="AQ116" i="56" s="1"/>
  <c r="F377" i="34" s="1"/>
  <c r="F51" i="34"/>
  <c r="F15" i="34"/>
  <c r="F16" i="34"/>
  <c r="AP173" i="56"/>
  <c r="F17" i="34"/>
  <c r="F7" i="34"/>
  <c r="AQ40" i="56"/>
  <c r="F360" i="34" s="1"/>
  <c r="O60" i="41"/>
  <c r="F55" i="34"/>
  <c r="F56" i="34"/>
  <c r="F54" i="34"/>
  <c r="T185" i="1"/>
  <c r="F98" i="34" s="1"/>
  <c r="C13" i="6"/>
  <c r="B15" i="51"/>
  <c r="C4" i="61" s="1"/>
  <c r="B19" i="51"/>
  <c r="C8" i="61" s="1"/>
  <c r="B23" i="51"/>
  <c r="C12" i="61" s="1"/>
  <c r="B27" i="51"/>
  <c r="C16" i="61" s="1"/>
  <c r="B31" i="51"/>
  <c r="C20" i="61" s="1"/>
  <c r="B35" i="51"/>
  <c r="C24" i="61" s="1"/>
  <c r="B39" i="51"/>
  <c r="C28" i="61" s="1"/>
  <c r="B43" i="51"/>
  <c r="C32" i="61" s="1"/>
  <c r="B47" i="51"/>
  <c r="C36" i="61" s="1"/>
  <c r="B51" i="51"/>
  <c r="C40" i="61" s="1"/>
  <c r="B20" i="51"/>
  <c r="C9" i="61" s="1"/>
  <c r="B36" i="51"/>
  <c r="C25" i="61" s="1"/>
  <c r="B44" i="51"/>
  <c r="C33" i="61" s="1"/>
  <c r="B52" i="51"/>
  <c r="C41" i="61" s="1"/>
  <c r="B17" i="51"/>
  <c r="C6" i="61" s="1"/>
  <c r="B21" i="51"/>
  <c r="C10" i="61" s="1"/>
  <c r="B25" i="51"/>
  <c r="C14" i="61" s="1"/>
  <c r="B29" i="51"/>
  <c r="C18" i="61" s="1"/>
  <c r="B33" i="51"/>
  <c r="C22" i="61" s="1"/>
  <c r="B37" i="51"/>
  <c r="C26" i="61" s="1"/>
  <c r="B41" i="51"/>
  <c r="C30" i="61" s="1"/>
  <c r="B45" i="51"/>
  <c r="C34" i="61" s="1"/>
  <c r="B49" i="51"/>
  <c r="C38" i="61" s="1"/>
  <c r="B53" i="51"/>
  <c r="C42" i="61" s="1"/>
  <c r="B14" i="51"/>
  <c r="C3" i="61" s="1"/>
  <c r="B18" i="51"/>
  <c r="C7" i="61" s="1"/>
  <c r="B22" i="51"/>
  <c r="C11" i="61" s="1"/>
  <c r="B26" i="51"/>
  <c r="C15" i="61" s="1"/>
  <c r="B30" i="51"/>
  <c r="C19" i="61" s="1"/>
  <c r="B34" i="51"/>
  <c r="C23" i="61" s="1"/>
  <c r="B38" i="51"/>
  <c r="C27" i="61" s="1"/>
  <c r="B42" i="51"/>
  <c r="C31" i="61" s="1"/>
  <c r="B46" i="51"/>
  <c r="C35" i="61" s="1"/>
  <c r="B50" i="51"/>
  <c r="C39" i="61" s="1"/>
  <c r="B13" i="51"/>
  <c r="B16" i="51"/>
  <c r="C5" i="61" s="1"/>
  <c r="B24" i="51"/>
  <c r="C13" i="61" s="1"/>
  <c r="B28" i="51"/>
  <c r="C17" i="61" s="1"/>
  <c r="B32" i="51"/>
  <c r="C21" i="61" s="1"/>
  <c r="B40" i="51"/>
  <c r="C29" i="61" s="1"/>
  <c r="B48" i="51"/>
  <c r="C37" i="61" s="1"/>
  <c r="A455" i="52"/>
  <c r="C454" i="52"/>
  <c r="A13" i="52"/>
  <c r="C12" i="52"/>
  <c r="A129" i="52"/>
  <c r="C128" i="52"/>
  <c r="A369" i="52"/>
  <c r="C368" i="52"/>
  <c r="A409" i="52"/>
  <c r="C408" i="52"/>
  <c r="A301" i="52"/>
  <c r="C300" i="52"/>
  <c r="A155" i="52"/>
  <c r="C154" i="52"/>
  <c r="K51" i="56"/>
  <c r="N108" i="56" s="1"/>
  <c r="C71" i="1"/>
  <c r="A71" i="1" s="1"/>
  <c r="AB51" i="1" s="1"/>
  <c r="N181" i="6"/>
  <c r="K18" i="58" s="1"/>
  <c r="K31" i="58" s="1"/>
  <c r="W141" i="6"/>
  <c r="R145" i="6"/>
  <c r="W108" i="1"/>
  <c r="W64" i="6"/>
  <c r="E22" i="24"/>
  <c r="G22" i="24" s="1"/>
  <c r="H22" i="24" s="1"/>
  <c r="Q161" i="1"/>
  <c r="Q185" i="1"/>
  <c r="F97" i="34" s="1"/>
  <c r="Y20" i="30"/>
  <c r="F339" i="34" s="1"/>
  <c r="C193" i="6"/>
  <c r="C60" i="41"/>
  <c r="C57" i="41"/>
  <c r="C62" i="41"/>
  <c r="N16" i="6"/>
  <c r="K92" i="1"/>
  <c r="K119" i="1"/>
  <c r="N112" i="1"/>
  <c r="F8" i="34"/>
  <c r="Y36" i="30"/>
  <c r="F353" i="34" s="1"/>
  <c r="Q88" i="56" l="1"/>
  <c r="Q161" i="56" s="1"/>
  <c r="R50" i="6"/>
  <c r="W50" i="6" s="1"/>
  <c r="K38" i="58"/>
  <c r="C2" i="61"/>
  <c r="W85" i="6"/>
  <c r="U49" i="58"/>
  <c r="N182" i="1"/>
  <c r="AP185" i="56"/>
  <c r="AB112" i="56"/>
  <c r="C146" i="56" s="1"/>
  <c r="A146" i="56" s="1"/>
  <c r="N179" i="1"/>
  <c r="F243" i="34"/>
  <c r="AE49" i="58"/>
  <c r="AH49" i="58" s="1"/>
  <c r="F444" i="34" s="1"/>
  <c r="N185" i="56"/>
  <c r="AB185" i="56" s="1"/>
  <c r="K119" i="56"/>
  <c r="AD119" i="56" s="1"/>
  <c r="T122" i="56"/>
  <c r="K122" i="56" s="1"/>
  <c r="AB122" i="56" s="1"/>
  <c r="C148" i="56" s="1"/>
  <c r="A148" i="56" s="1"/>
  <c r="AM110" i="56"/>
  <c r="T173" i="56"/>
  <c r="AM173" i="56" s="1"/>
  <c r="T168" i="56"/>
  <c r="AM168" i="56" s="1"/>
  <c r="T170" i="56"/>
  <c r="AM170" i="56" s="1"/>
  <c r="T176" i="56"/>
  <c r="AM176" i="56" s="1"/>
  <c r="T179" i="56"/>
  <c r="AM179" i="56" s="1"/>
  <c r="K92" i="56"/>
  <c r="T182" i="56"/>
  <c r="Q168" i="56"/>
  <c r="Q173" i="56"/>
  <c r="N173" i="56" s="1"/>
  <c r="Q182" i="56"/>
  <c r="Q176" i="56"/>
  <c r="AJ176" i="56" s="1"/>
  <c r="AJ110" i="56"/>
  <c r="Q170" i="56"/>
  <c r="AJ170" i="56" s="1"/>
  <c r="Q179" i="56"/>
  <c r="A124" i="52"/>
  <c r="C123" i="52"/>
  <c r="F128" i="34"/>
  <c r="AJ45" i="57"/>
  <c r="AL45" i="57" s="1"/>
  <c r="F399" i="34" s="1"/>
  <c r="W45" i="6"/>
  <c r="F172" i="34"/>
  <c r="AJ107" i="57"/>
  <c r="AL107" i="57" s="1"/>
  <c r="F415" i="34" s="1"/>
  <c r="K31" i="56"/>
  <c r="K33" i="1"/>
  <c r="K38" i="41"/>
  <c r="F130" i="34"/>
  <c r="AF50" i="57"/>
  <c r="W107" i="6"/>
  <c r="F220" i="34"/>
  <c r="K18" i="41"/>
  <c r="AJ173" i="57"/>
  <c r="AL173" i="57" s="1"/>
  <c r="F434" i="34" s="1"/>
  <c r="F218" i="34"/>
  <c r="W173" i="6"/>
  <c r="G18" i="41"/>
  <c r="F222" i="34" s="1"/>
  <c r="AJ85" i="57"/>
  <c r="AL85" i="57" s="1"/>
  <c r="F410" i="34" s="1"/>
  <c r="AB181" i="57"/>
  <c r="R181" i="6"/>
  <c r="F199" i="34"/>
  <c r="F219" i="34"/>
  <c r="AM92" i="56"/>
  <c r="AJ92" i="56"/>
  <c r="N122" i="1"/>
  <c r="AG122" i="56" s="1"/>
  <c r="Q122" i="1"/>
  <c r="T122" i="1"/>
  <c r="F61" i="34" s="1"/>
  <c r="AP122" i="56"/>
  <c r="F89" i="34"/>
  <c r="AP104" i="56"/>
  <c r="K53" i="56"/>
  <c r="Q108" i="56" s="1"/>
  <c r="AG119" i="56"/>
  <c r="AJ119" i="56"/>
  <c r="AQ43" i="56"/>
  <c r="F361" i="34" s="1"/>
  <c r="M42" i="30"/>
  <c r="B26" i="24"/>
  <c r="D25" i="24"/>
  <c r="F510" i="34"/>
  <c r="G24" i="24"/>
  <c r="H24" i="24" s="1"/>
  <c r="M24" i="24" s="1"/>
  <c r="Y24" i="24" s="1"/>
  <c r="F320" i="34" s="1"/>
  <c r="Y17" i="24"/>
  <c r="F315" i="34" s="1"/>
  <c r="N104" i="1"/>
  <c r="F34" i="34" s="1"/>
  <c r="F250" i="34"/>
  <c r="M22" i="24"/>
  <c r="Y22" i="24" s="1"/>
  <c r="F318" i="34" s="1"/>
  <c r="AE60" i="58"/>
  <c r="AH60" i="58" s="1"/>
  <c r="F447" i="34" s="1"/>
  <c r="AF181" i="57"/>
  <c r="AJ145" i="57"/>
  <c r="AL145" i="57" s="1"/>
  <c r="F427" i="34" s="1"/>
  <c r="AP108" i="56"/>
  <c r="F40" i="34"/>
  <c r="AG112" i="56"/>
  <c r="F45" i="34"/>
  <c r="F14" i="34"/>
  <c r="F86" i="34"/>
  <c r="F42" i="34"/>
  <c r="F78" i="34"/>
  <c r="F73" i="34"/>
  <c r="K53" i="1"/>
  <c r="K54" i="1" s="1"/>
  <c r="AM185" i="56"/>
  <c r="AJ185" i="56"/>
  <c r="F74" i="34"/>
  <c r="F53" i="34"/>
  <c r="F43" i="34"/>
  <c r="F77" i="34"/>
  <c r="C129" i="52"/>
  <c r="A130" i="52"/>
  <c r="A14" i="52"/>
  <c r="C13" i="52"/>
  <c r="A410" i="52"/>
  <c r="C409" i="52"/>
  <c r="A370" i="52"/>
  <c r="C369" i="52"/>
  <c r="A156" i="52"/>
  <c r="C155" i="52"/>
  <c r="A302" i="52"/>
  <c r="C301" i="52"/>
  <c r="A456" i="52"/>
  <c r="C455" i="52"/>
  <c r="F11" i="34"/>
  <c r="N108" i="1"/>
  <c r="F38" i="34" s="1"/>
  <c r="W145" i="6"/>
  <c r="G57" i="41"/>
  <c r="F247" i="34" s="1"/>
  <c r="N185" i="1"/>
  <c r="N168" i="1"/>
  <c r="N170" i="1"/>
  <c r="N173" i="1"/>
  <c r="AB173" i="1" s="1"/>
  <c r="C204" i="1" s="1"/>
  <c r="A204" i="1" s="1"/>
  <c r="F85" i="34"/>
  <c r="N176" i="1"/>
  <c r="W112" i="1"/>
  <c r="AD92" i="56" l="1"/>
  <c r="K31" i="1"/>
  <c r="AJ50" i="57"/>
  <c r="F131" i="34"/>
  <c r="AL50" i="57"/>
  <c r="F400" i="34" s="1"/>
  <c r="K33" i="56"/>
  <c r="C63" i="56" s="1"/>
  <c r="A63" i="56" s="1"/>
  <c r="AB43" i="56" s="1"/>
  <c r="K31" i="41"/>
  <c r="AJ173" i="56"/>
  <c r="N179" i="56"/>
  <c r="AB179" i="56" s="1"/>
  <c r="N182" i="56"/>
  <c r="N168" i="56"/>
  <c r="AB168" i="56" s="1"/>
  <c r="C200" i="56" s="1"/>
  <c r="A200" i="56" s="1"/>
  <c r="N176" i="56"/>
  <c r="AB176" i="56" s="1"/>
  <c r="C206" i="56" s="1"/>
  <c r="A206" i="56" s="1"/>
  <c r="N170" i="56"/>
  <c r="AB170" i="56" s="1"/>
  <c r="C202" i="56" s="1"/>
  <c r="A202" i="56" s="1"/>
  <c r="A125" i="52"/>
  <c r="C125" i="52" s="1"/>
  <c r="C124" i="52"/>
  <c r="F237" i="34"/>
  <c r="AA38" i="58"/>
  <c r="AH38" i="58" s="1"/>
  <c r="F441" i="34" s="1"/>
  <c r="F3" i="34"/>
  <c r="C63" i="1"/>
  <c r="A63" i="1" s="1"/>
  <c r="AB43" i="1" s="1"/>
  <c r="AQ31" i="56"/>
  <c r="F356" i="34" s="1"/>
  <c r="F4" i="34"/>
  <c r="G31" i="41"/>
  <c r="F231" i="34" s="1"/>
  <c r="F223" i="34"/>
  <c r="AA18" i="58"/>
  <c r="F59" i="34"/>
  <c r="W181" i="6"/>
  <c r="W187" i="6" s="1"/>
  <c r="C187" i="6" s="1"/>
  <c r="O57" i="58"/>
  <c r="O18" i="41"/>
  <c r="F224" i="34" s="1"/>
  <c r="E41" i="24"/>
  <c r="AJ181" i="57"/>
  <c r="AL181" i="57" s="1"/>
  <c r="F435" i="34" s="1"/>
  <c r="U20" i="41"/>
  <c r="W18" i="58"/>
  <c r="U20" i="58"/>
  <c r="F221" i="34"/>
  <c r="O18" i="58"/>
  <c r="AQ92" i="56"/>
  <c r="F367" i="34" s="1"/>
  <c r="AM122" i="56"/>
  <c r="AG104" i="56"/>
  <c r="AQ104" i="56" s="1"/>
  <c r="F371" i="34" s="1"/>
  <c r="K122" i="1"/>
  <c r="AD122" i="56" s="1"/>
  <c r="AJ122" i="56"/>
  <c r="F60" i="34"/>
  <c r="AB173" i="56"/>
  <c r="C204" i="56" s="1"/>
  <c r="A204" i="56" s="1"/>
  <c r="AQ119" i="56"/>
  <c r="F378" i="34" s="1"/>
  <c r="K54" i="56"/>
  <c r="AB108" i="56"/>
  <c r="C142" i="56" s="1"/>
  <c r="A142" i="56" s="1"/>
  <c r="AJ168" i="56"/>
  <c r="AJ179" i="56"/>
  <c r="AB179" i="1"/>
  <c r="F88" i="34"/>
  <c r="F511" i="34"/>
  <c r="G25" i="24"/>
  <c r="H25" i="24" s="1"/>
  <c r="M25" i="24" s="1"/>
  <c r="Y25" i="24" s="1"/>
  <c r="F321" i="34" s="1"/>
  <c r="D26" i="24"/>
  <c r="B27" i="24"/>
  <c r="AB104" i="1"/>
  <c r="C138" i="1" s="1"/>
  <c r="A138" i="1" s="1"/>
  <c r="W57" i="58"/>
  <c r="Q108" i="1"/>
  <c r="F39" i="34" s="1"/>
  <c r="F12" i="34"/>
  <c r="F72" i="34"/>
  <c r="AP112" i="56"/>
  <c r="AQ112" i="56" s="1"/>
  <c r="F375" i="34" s="1"/>
  <c r="F46" i="34"/>
  <c r="AG185" i="56"/>
  <c r="AQ185" i="56" s="1"/>
  <c r="F388" i="34" s="1"/>
  <c r="AQ51" i="56"/>
  <c r="F364" i="34" s="1"/>
  <c r="F76" i="34"/>
  <c r="AB185" i="1"/>
  <c r="F96" i="34"/>
  <c r="A131" i="52"/>
  <c r="C130" i="52"/>
  <c r="A457" i="52"/>
  <c r="C456" i="52"/>
  <c r="A303" i="52"/>
  <c r="C302" i="52"/>
  <c r="A157" i="52"/>
  <c r="C156" i="52"/>
  <c r="C370" i="52"/>
  <c r="A371" i="52"/>
  <c r="A411" i="52"/>
  <c r="C410" i="52"/>
  <c r="C14" i="52"/>
  <c r="A15" i="52"/>
  <c r="AB170" i="1"/>
  <c r="C202" i="1" s="1"/>
  <c r="A202" i="1" s="1"/>
  <c r="O57" i="41"/>
  <c r="F248" i="34" s="1"/>
  <c r="G62" i="41"/>
  <c r="AB168" i="1"/>
  <c r="C200" i="1" s="1"/>
  <c r="A200" i="1" s="1"/>
  <c r="F80" i="34"/>
  <c r="AB112" i="1"/>
  <c r="C146" i="1" s="1"/>
  <c r="A146" i="1" s="1"/>
  <c r="F84" i="34"/>
  <c r="AB176" i="1"/>
  <c r="C206" i="1" s="1"/>
  <c r="A206" i="1" s="1"/>
  <c r="AQ33" i="56" l="1"/>
  <c r="F357" i="34" s="1"/>
  <c r="F251" i="34"/>
  <c r="G70" i="41"/>
  <c r="F255" i="34" s="1"/>
  <c r="AG179" i="56"/>
  <c r="AQ179" i="56" s="1"/>
  <c r="F386" i="34" s="1"/>
  <c r="U33" i="41"/>
  <c r="W31" i="58"/>
  <c r="U18" i="41"/>
  <c r="AE18" i="58"/>
  <c r="AH18" i="58" s="1"/>
  <c r="F436" i="34" s="1"/>
  <c r="O62" i="58"/>
  <c r="U18" i="58"/>
  <c r="U33" i="58"/>
  <c r="AB122" i="1"/>
  <c r="C148" i="1" s="1"/>
  <c r="A148" i="1" s="1"/>
  <c r="F58" i="34"/>
  <c r="AQ122" i="56"/>
  <c r="F379" i="34" s="1"/>
  <c r="AG173" i="56"/>
  <c r="AQ173" i="56" s="1"/>
  <c r="F384" i="34" s="1"/>
  <c r="AG176" i="56"/>
  <c r="AQ176" i="56" s="1"/>
  <c r="F385" i="34" s="1"/>
  <c r="AG168" i="56"/>
  <c r="AQ168" i="56" s="1"/>
  <c r="F382" i="34" s="1"/>
  <c r="AG170" i="56"/>
  <c r="AQ170" i="56" s="1"/>
  <c r="F383" i="34" s="1"/>
  <c r="B30" i="24"/>
  <c r="D27" i="24"/>
  <c r="G26" i="24"/>
  <c r="H26" i="24" s="1"/>
  <c r="F512" i="34"/>
  <c r="W62" i="58"/>
  <c r="AE57" i="58"/>
  <c r="AH57" i="58" s="1"/>
  <c r="F446" i="34" s="1"/>
  <c r="AB108" i="1"/>
  <c r="C142" i="1" s="1"/>
  <c r="A142" i="1" s="1"/>
  <c r="AJ108" i="56"/>
  <c r="AQ53" i="56"/>
  <c r="F365" i="34" s="1"/>
  <c r="AG108" i="56"/>
  <c r="C157" i="52"/>
  <c r="A158" i="52"/>
  <c r="A412" i="52"/>
  <c r="C411" i="52"/>
  <c r="A304" i="52"/>
  <c r="C303" i="52"/>
  <c r="A372" i="52"/>
  <c r="C371" i="52"/>
  <c r="C457" i="52"/>
  <c r="A458" i="52"/>
  <c r="A132" i="52"/>
  <c r="C131" i="52"/>
  <c r="A16" i="52"/>
  <c r="C15" i="52"/>
  <c r="O62" i="41"/>
  <c r="W114" i="56" s="1"/>
  <c r="N114" i="56" l="1"/>
  <c r="T114" i="56"/>
  <c r="Q114" i="56"/>
  <c r="F252" i="34"/>
  <c r="F513" i="34"/>
  <c r="G27" i="24"/>
  <c r="H27" i="24" s="1"/>
  <c r="M27" i="24" s="1"/>
  <c r="Y27" i="24" s="1"/>
  <c r="F323" i="34" s="1"/>
  <c r="M26" i="24"/>
  <c r="Y26" i="24" s="1"/>
  <c r="F322" i="34" s="1"/>
  <c r="D30" i="24"/>
  <c r="B31" i="24"/>
  <c r="AE62" i="58"/>
  <c r="AH62" i="58" s="1"/>
  <c r="F448" i="34" s="1"/>
  <c r="W70" i="58"/>
  <c r="AQ108" i="56"/>
  <c r="F373" i="34" s="1"/>
  <c r="W114" i="1"/>
  <c r="A373" i="52"/>
  <c r="C372" i="52"/>
  <c r="A17" i="52"/>
  <c r="C16" i="52"/>
  <c r="A133" i="52"/>
  <c r="C132" i="52"/>
  <c r="A159" i="52"/>
  <c r="C158" i="52"/>
  <c r="A413" i="52"/>
  <c r="C412" i="52"/>
  <c r="A459" i="52"/>
  <c r="C458" i="52"/>
  <c r="A305" i="52"/>
  <c r="C304" i="52"/>
  <c r="C133" i="52" l="1"/>
  <c r="A134" i="52"/>
  <c r="C134" i="52" s="1"/>
  <c r="F50" i="34"/>
  <c r="Q114" i="1"/>
  <c r="F93" i="34" s="1"/>
  <c r="T114" i="1"/>
  <c r="F94" i="34" s="1"/>
  <c r="N114" i="1"/>
  <c r="F47" i="34" s="1"/>
  <c r="G30" i="24"/>
  <c r="H30" i="24" s="1"/>
  <c r="M30" i="24" s="1"/>
  <c r="Y30" i="24" s="1"/>
  <c r="F324" i="34" s="1"/>
  <c r="F514" i="34"/>
  <c r="B32" i="24"/>
  <c r="D31" i="24"/>
  <c r="AP114" i="56"/>
  <c r="F95" i="34"/>
  <c r="A460" i="52"/>
  <c r="C459" i="52"/>
  <c r="A414" i="52"/>
  <c r="C413" i="52"/>
  <c r="A18" i="52"/>
  <c r="C17" i="52"/>
  <c r="A374" i="52"/>
  <c r="C373" i="52"/>
  <c r="A306" i="52"/>
  <c r="C305" i="52"/>
  <c r="A160" i="52"/>
  <c r="C159" i="52"/>
  <c r="F49" i="34" l="1"/>
  <c r="AB182" i="56"/>
  <c r="C208" i="56" s="1"/>
  <c r="A208" i="56" s="1"/>
  <c r="AB114" i="56"/>
  <c r="G31" i="24"/>
  <c r="H31" i="24" s="1"/>
  <c r="M31" i="24" s="1"/>
  <c r="Y31" i="24" s="1"/>
  <c r="F325" i="34" s="1"/>
  <c r="F515" i="34"/>
  <c r="D32" i="24"/>
  <c r="B33" i="24"/>
  <c r="AP182" i="56"/>
  <c r="AM114" i="56"/>
  <c r="F48" i="34"/>
  <c r="AJ114" i="56"/>
  <c r="AB114" i="1"/>
  <c r="F92" i="34"/>
  <c r="AG114" i="56"/>
  <c r="AM182" i="56"/>
  <c r="AJ182" i="56"/>
  <c r="A307" i="52"/>
  <c r="C306" i="52"/>
  <c r="C414" i="52"/>
  <c r="A415" i="52"/>
  <c r="A161" i="52"/>
  <c r="C160" i="52"/>
  <c r="C374" i="52"/>
  <c r="A375" i="52"/>
  <c r="A19" i="52"/>
  <c r="C18" i="52"/>
  <c r="A461" i="52"/>
  <c r="C460" i="52"/>
  <c r="D33" i="24" l="1"/>
  <c r="B34" i="24"/>
  <c r="F516" i="34"/>
  <c r="G32" i="24"/>
  <c r="H32" i="24" s="1"/>
  <c r="M32" i="24" s="1"/>
  <c r="Y32" i="24" s="1"/>
  <c r="F326" i="34" s="1"/>
  <c r="AQ114" i="56"/>
  <c r="F376" i="34" s="1"/>
  <c r="AG182" i="56"/>
  <c r="AQ182" i="56" s="1"/>
  <c r="F387" i="34" s="1"/>
  <c r="AB182" i="1"/>
  <c r="C208" i="1" s="1"/>
  <c r="A208" i="1" s="1"/>
  <c r="A376" i="52"/>
  <c r="C375" i="52"/>
  <c r="A416" i="52"/>
  <c r="C415" i="52"/>
  <c r="C461" i="52"/>
  <c r="A462" i="52"/>
  <c r="A20" i="52"/>
  <c r="C19" i="52"/>
  <c r="A162" i="52"/>
  <c r="C161" i="52"/>
  <c r="A308" i="52"/>
  <c r="C307" i="52"/>
  <c r="B35" i="24" l="1"/>
  <c r="D34" i="24"/>
  <c r="G33" i="24"/>
  <c r="H33" i="24" s="1"/>
  <c r="M33" i="24" s="1"/>
  <c r="Y33" i="24" s="1"/>
  <c r="F327" i="34" s="1"/>
  <c r="F517" i="34"/>
  <c r="A309" i="52"/>
  <c r="C308" i="52"/>
  <c r="A163" i="52"/>
  <c r="C162" i="52"/>
  <c r="A463" i="52"/>
  <c r="C462" i="52"/>
  <c r="A21" i="52"/>
  <c r="C20" i="52"/>
  <c r="A417" i="52"/>
  <c r="C416" i="52"/>
  <c r="A377" i="52"/>
  <c r="C376" i="52"/>
  <c r="F518" i="34" l="1"/>
  <c r="G34" i="24"/>
  <c r="H34" i="24" s="1"/>
  <c r="B36" i="24"/>
  <c r="D35" i="24"/>
  <c r="A378" i="52"/>
  <c r="C377" i="52"/>
  <c r="A418" i="52"/>
  <c r="C417" i="52"/>
  <c r="C21" i="52"/>
  <c r="A22" i="52"/>
  <c r="C463" i="52"/>
  <c r="A310" i="52"/>
  <c r="C309" i="52"/>
  <c r="A164" i="52"/>
  <c r="C163" i="52"/>
  <c r="C378" i="52" l="1"/>
  <c r="A379" i="52"/>
  <c r="B37" i="24"/>
  <c r="D36" i="24"/>
  <c r="G35" i="24"/>
  <c r="H35" i="24" s="1"/>
  <c r="M35" i="24" s="1"/>
  <c r="Y35" i="24" s="1"/>
  <c r="F329" i="34" s="1"/>
  <c r="F519" i="34"/>
  <c r="M34" i="24"/>
  <c r="Y34" i="24" s="1"/>
  <c r="F328" i="34" s="1"/>
  <c r="A311" i="52"/>
  <c r="C310" i="52"/>
  <c r="C22" i="52"/>
  <c r="A23" i="52"/>
  <c r="A165" i="52"/>
  <c r="C164" i="52"/>
  <c r="A419" i="52"/>
  <c r="C418" i="52"/>
  <c r="A380" i="52" l="1"/>
  <c r="C379" i="52"/>
  <c r="F520" i="34"/>
  <c r="G36" i="24"/>
  <c r="H36" i="24" s="1"/>
  <c r="M36" i="24" s="1"/>
  <c r="Y36" i="24" s="1"/>
  <c r="F330" i="34" s="1"/>
  <c r="D37" i="24"/>
  <c r="B38" i="24"/>
  <c r="A24" i="52"/>
  <c r="C23" i="52"/>
  <c r="C165" i="52"/>
  <c r="A166" i="52"/>
  <c r="A312" i="52"/>
  <c r="C311" i="52"/>
  <c r="A420" i="52"/>
  <c r="C419" i="52"/>
  <c r="A381" i="52" l="1"/>
  <c r="C380" i="52"/>
  <c r="B39" i="24"/>
  <c r="D38" i="24"/>
  <c r="G37" i="24"/>
  <c r="H37" i="24" s="1"/>
  <c r="F521" i="34"/>
  <c r="A167" i="52"/>
  <c r="C166" i="52"/>
  <c r="A421" i="52"/>
  <c r="C420" i="52"/>
  <c r="A313" i="52"/>
  <c r="C312" i="52"/>
  <c r="A25" i="52"/>
  <c r="C24" i="52"/>
  <c r="C381" i="52" l="1"/>
  <c r="A382" i="52"/>
  <c r="G38" i="24"/>
  <c r="H38" i="24" s="1"/>
  <c r="F522" i="34"/>
  <c r="M37" i="24"/>
  <c r="Y37" i="24" s="1"/>
  <c r="F331" i="34" s="1"/>
  <c r="D39" i="24"/>
  <c r="B41" i="24"/>
  <c r="A314" i="52"/>
  <c r="C313" i="52"/>
  <c r="A422" i="52"/>
  <c r="C421" i="52"/>
  <c r="A26" i="52"/>
  <c r="C25" i="52"/>
  <c r="A168" i="52"/>
  <c r="C167" i="52"/>
  <c r="A383" i="52" l="1"/>
  <c r="C382" i="52"/>
  <c r="M38" i="24"/>
  <c r="Y38" i="24" s="1"/>
  <c r="F332" i="34" s="1"/>
  <c r="D41" i="24"/>
  <c r="B44" i="24"/>
  <c r="G39" i="24"/>
  <c r="H39" i="24" s="1"/>
  <c r="M39" i="24" s="1"/>
  <c r="Y39" i="24" s="1"/>
  <c r="F333" i="34" s="1"/>
  <c r="F523" i="34"/>
  <c r="C422" i="52"/>
  <c r="A423" i="52"/>
  <c r="A315" i="52"/>
  <c r="C314" i="52"/>
  <c r="A169" i="52"/>
  <c r="C168" i="52"/>
  <c r="A27" i="52"/>
  <c r="C26" i="52"/>
  <c r="A384" i="52" l="1"/>
  <c r="C383" i="52"/>
  <c r="B45" i="24"/>
  <c r="D44" i="24"/>
  <c r="G41" i="24"/>
  <c r="H41" i="24" s="1"/>
  <c r="M41" i="24" s="1"/>
  <c r="F524" i="34"/>
  <c r="C169" i="52"/>
  <c r="A170" i="52"/>
  <c r="A424" i="52"/>
  <c r="C423" i="52"/>
  <c r="A28" i="52"/>
  <c r="C27" i="52"/>
  <c r="A316" i="52"/>
  <c r="C315" i="52"/>
  <c r="A385" i="52" l="1"/>
  <c r="C384" i="52"/>
  <c r="F525" i="34"/>
  <c r="G44" i="24"/>
  <c r="H44" i="24" s="1"/>
  <c r="M44" i="24" s="1"/>
  <c r="Y44" i="24" s="1"/>
  <c r="F335" i="34" s="1"/>
  <c r="Y41" i="24"/>
  <c r="F334" i="34" s="1"/>
  <c r="A171" i="52"/>
  <c r="C170" i="52"/>
  <c r="A317" i="52"/>
  <c r="C316" i="52"/>
  <c r="A29" i="52"/>
  <c r="C28" i="52"/>
  <c r="A425" i="52"/>
  <c r="C424" i="52"/>
  <c r="A386" i="52" l="1"/>
  <c r="C386" i="52" s="1"/>
  <c r="C385" i="52"/>
  <c r="M48" i="24"/>
  <c r="A426" i="52"/>
  <c r="C425" i="52"/>
  <c r="C29" i="52"/>
  <c r="A30" i="52"/>
  <c r="A318" i="52"/>
  <c r="C317" i="52"/>
  <c r="A172" i="52"/>
  <c r="C171" i="52"/>
  <c r="A7" i="58" l="1"/>
  <c r="A7" i="59"/>
  <c r="A9" i="1"/>
  <c r="C215" i="1"/>
  <c r="A7" i="23"/>
  <c r="A7" i="41"/>
  <c r="A7" i="6"/>
  <c r="A319" i="52"/>
  <c r="C318" i="52"/>
  <c r="C30" i="52"/>
  <c r="A31" i="52"/>
  <c r="A173" i="52"/>
  <c r="C172" i="52"/>
  <c r="A427" i="52"/>
  <c r="C426" i="52"/>
  <c r="A32" i="52" l="1"/>
  <c r="C31" i="52"/>
  <c r="A428" i="52"/>
  <c r="C427" i="52"/>
  <c r="A174" i="52"/>
  <c r="C174" i="52" s="1"/>
  <c r="C173" i="52"/>
  <c r="A320" i="52"/>
  <c r="C319" i="52"/>
  <c r="A321" i="52" l="1"/>
  <c r="C320" i="52"/>
  <c r="A33" i="52"/>
  <c r="C32" i="52"/>
  <c r="A429" i="52"/>
  <c r="C428" i="52"/>
  <c r="C429" i="52" l="1"/>
  <c r="A430" i="52"/>
  <c r="A322" i="52"/>
  <c r="C321" i="52"/>
  <c r="A34" i="52"/>
  <c r="C33" i="52"/>
  <c r="A431" i="52" l="1"/>
  <c r="C430" i="52"/>
  <c r="A35" i="52"/>
  <c r="C34" i="52"/>
  <c r="A323" i="52"/>
  <c r="C322" i="52"/>
  <c r="A324" i="52" l="1"/>
  <c r="C323" i="52"/>
  <c r="A36" i="52"/>
  <c r="C35" i="52"/>
  <c r="A432" i="52"/>
  <c r="C431" i="52"/>
  <c r="A433" i="52" l="1"/>
  <c r="C432" i="52"/>
  <c r="A37" i="52"/>
  <c r="C36" i="52"/>
  <c r="A325" i="52"/>
  <c r="C324" i="52"/>
  <c r="C37" i="52" l="1"/>
  <c r="A38" i="52"/>
  <c r="C433" i="52"/>
  <c r="A434" i="52"/>
  <c r="A326" i="52"/>
  <c r="C325" i="52"/>
  <c r="A435" i="52" l="1"/>
  <c r="C434" i="52"/>
  <c r="A327" i="52"/>
  <c r="C326" i="52"/>
  <c r="C38" i="52"/>
  <c r="A39" i="52"/>
  <c r="A328" i="52" l="1"/>
  <c r="C327" i="52"/>
  <c r="A40" i="52"/>
  <c r="C39" i="52"/>
  <c r="A436" i="52"/>
  <c r="C435" i="52"/>
  <c r="A437" i="52" l="1"/>
  <c r="C436" i="52"/>
  <c r="A41" i="52"/>
  <c r="C40" i="52"/>
  <c r="A329" i="52"/>
  <c r="C328" i="52"/>
  <c r="A330" i="52" l="1"/>
  <c r="C329" i="52"/>
  <c r="A42" i="52"/>
  <c r="C41" i="52"/>
  <c r="C437" i="52"/>
  <c r="A438" i="52"/>
  <c r="A439" i="52" l="1"/>
  <c r="C438" i="52"/>
  <c r="A43" i="52"/>
  <c r="C42" i="52"/>
  <c r="A331" i="52"/>
  <c r="C330" i="52"/>
  <c r="A332" i="52" l="1"/>
  <c r="C331" i="52"/>
  <c r="A44" i="52"/>
  <c r="C43" i="52"/>
  <c r="A440" i="52"/>
  <c r="C439" i="52"/>
  <c r="A441" i="52" l="1"/>
  <c r="C440" i="52"/>
  <c r="A45" i="52"/>
  <c r="C44" i="52"/>
  <c r="A333" i="52"/>
  <c r="C332" i="52"/>
  <c r="A334" i="52" l="1"/>
  <c r="C333" i="52"/>
  <c r="A46" i="52"/>
  <c r="C45" i="52"/>
  <c r="C441" i="52"/>
  <c r="A442" i="52"/>
  <c r="C442" i="52" s="1"/>
  <c r="C46" i="52" l="1"/>
  <c r="A47" i="52"/>
  <c r="A335" i="52"/>
  <c r="C334" i="52"/>
  <c r="A48" i="52" l="1"/>
  <c r="C47" i="52"/>
  <c r="A336" i="52"/>
  <c r="C335" i="52"/>
  <c r="A49" i="52" l="1"/>
  <c r="C48" i="52"/>
  <c r="A337" i="52"/>
  <c r="C336" i="52"/>
  <c r="A338" i="52" l="1"/>
  <c r="C337" i="52"/>
  <c r="A50" i="52"/>
  <c r="C49" i="52"/>
  <c r="A51" i="52" l="1"/>
  <c r="C50" i="52"/>
  <c r="A339" i="52"/>
  <c r="C338" i="52"/>
  <c r="A52" i="52" l="1"/>
  <c r="C51" i="52"/>
  <c r="A340" i="52"/>
  <c r="C339" i="52"/>
  <c r="A341" i="52" l="1"/>
  <c r="C340" i="52"/>
  <c r="A53" i="52"/>
  <c r="C52" i="52"/>
  <c r="A342" i="52" l="1"/>
  <c r="C341" i="52"/>
  <c r="C53" i="52"/>
  <c r="A54" i="52"/>
  <c r="C54" i="52" l="1"/>
  <c r="A55" i="52"/>
  <c r="A343" i="52"/>
  <c r="C342" i="52"/>
  <c r="A344" i="52" l="1"/>
  <c r="C343" i="52"/>
  <c r="A56" i="52"/>
  <c r="C55" i="52"/>
  <c r="A57" i="52" l="1"/>
  <c r="C56" i="52"/>
  <c r="A345" i="52"/>
  <c r="C344" i="52"/>
  <c r="A346" i="52" l="1"/>
  <c r="C345" i="52"/>
  <c r="A58" i="52"/>
  <c r="C57" i="52"/>
  <c r="A347" i="52" l="1"/>
  <c r="C346" i="52"/>
  <c r="A59" i="52"/>
  <c r="C58" i="52"/>
  <c r="A348" i="52" l="1"/>
  <c r="C347" i="52"/>
  <c r="A60" i="52"/>
  <c r="C59" i="52"/>
  <c r="A61" i="52" l="1"/>
  <c r="C60" i="52"/>
  <c r="A349" i="52"/>
  <c r="C348" i="52"/>
  <c r="C61" i="52" l="1"/>
  <c r="A62" i="52"/>
  <c r="A350" i="52"/>
  <c r="C349" i="52"/>
  <c r="C62" i="52" l="1"/>
  <c r="A63" i="52"/>
  <c r="A351" i="52"/>
  <c r="C350" i="52"/>
  <c r="A64" i="52" l="1"/>
  <c r="C63" i="52"/>
  <c r="A352" i="52"/>
  <c r="C351" i="52"/>
  <c r="A353" i="52" l="1"/>
  <c r="C352" i="52"/>
  <c r="A65" i="52"/>
  <c r="C64" i="52"/>
  <c r="A66" i="52" l="1"/>
  <c r="C65" i="52"/>
  <c r="A354" i="52"/>
  <c r="C353" i="52"/>
  <c r="A67" i="52" l="1"/>
  <c r="C66" i="52"/>
  <c r="A355" i="52"/>
  <c r="C354" i="52"/>
  <c r="A356" i="52" l="1"/>
  <c r="C355" i="52"/>
  <c r="A68" i="52"/>
  <c r="C68" i="52" s="1"/>
  <c r="C67" i="52"/>
  <c r="A357" i="52" l="1"/>
  <c r="C356" i="52"/>
  <c r="A358" i="52" l="1"/>
  <c r="C357" i="52"/>
  <c r="A359" i="52" l="1"/>
  <c r="C358" i="52"/>
  <c r="A360" i="52" l="1"/>
  <c r="C359" i="52"/>
  <c r="A361" i="52" l="1"/>
  <c r="C360" i="52"/>
  <c r="C361" i="52" l="1"/>
  <c r="A362" i="52"/>
  <c r="A363" i="52" l="1"/>
  <c r="C362" i="52"/>
  <c r="L18" i="61"/>
  <c r="L36" i="61"/>
  <c r="L2" i="61"/>
  <c r="L3" i="61"/>
  <c r="L26" i="61"/>
  <c r="L27" i="61"/>
  <c r="L8" i="61"/>
  <c r="L32" i="61"/>
  <c r="L20" i="61"/>
  <c r="L41" i="61"/>
  <c r="L31" i="61"/>
  <c r="L7" i="61"/>
  <c r="L10" i="61"/>
  <c r="L34" i="61"/>
  <c r="L16" i="61"/>
  <c r="L29" i="61"/>
  <c r="L4" i="61"/>
  <c r="L13" i="61"/>
  <c r="L37" i="61"/>
  <c r="L28" i="61"/>
  <c r="L35" i="61"/>
  <c r="L19" i="61"/>
  <c r="L33" i="61"/>
  <c r="L24" i="61"/>
  <c r="L22" i="61"/>
  <c r="L42" i="61"/>
  <c r="L6" i="61"/>
  <c r="L30" i="61"/>
  <c r="L15" i="61"/>
  <c r="L14" i="61"/>
  <c r="L12" i="61"/>
  <c r="A364" i="52" l="1"/>
  <c r="C363" i="52"/>
  <c r="AQ22" i="63"/>
  <c r="AQ53" i="63"/>
  <c r="AQ48" i="63"/>
  <c r="AQ45" i="63"/>
  <c r="AQ43" i="63"/>
  <c r="AQ47" i="63"/>
  <c r="AQ36" i="63"/>
  <c r="AQ25" i="63"/>
  <c r="AQ26" i="63"/>
  <c r="AQ41" i="63"/>
  <c r="AQ50" i="63"/>
  <c r="AQ33" i="63"/>
  <c r="AQ28" i="63"/>
  <c r="AQ30" i="63"/>
  <c r="AQ39" i="63"/>
  <c r="AQ52" i="63"/>
  <c r="AQ15" i="63"/>
  <c r="AQ27" i="63"/>
  <c r="AQ21" i="63"/>
  <c r="AQ42" i="63"/>
  <c r="AQ31" i="63"/>
  <c r="AQ32" i="63"/>
  <c r="AQ38" i="63"/>
  <c r="AQ14" i="63"/>
  <c r="AQ51" i="63"/>
  <c r="AQ20" i="63"/>
  <c r="AQ16" i="63"/>
  <c r="AQ17" i="63"/>
  <c r="AQ44" i="63"/>
  <c r="AQ40" i="63"/>
  <c r="AQ49" i="63"/>
  <c r="AQ23" i="63"/>
  <c r="AQ34" i="63"/>
  <c r="AQ35" i="63"/>
  <c r="AQ46" i="63"/>
  <c r="AQ24" i="63"/>
  <c r="AQ18" i="63"/>
  <c r="AQ19" i="63"/>
  <c r="AQ37" i="63"/>
  <c r="AQ29" i="63"/>
  <c r="L17" i="61"/>
  <c r="L5" i="61"/>
  <c r="L21" i="61"/>
  <c r="L9" i="61"/>
  <c r="L23" i="61"/>
  <c r="L39" i="61"/>
  <c r="L38" i="61"/>
  <c r="L25" i="61"/>
  <c r="L11" i="61"/>
  <c r="L40" i="61"/>
  <c r="Q6" i="51"/>
  <c r="K40" i="58" s="1"/>
  <c r="C46" i="51" l="1"/>
  <c r="A365" i="52"/>
  <c r="C365" i="52" s="1"/>
  <c r="C364" i="52"/>
  <c r="C21" i="51" s="1"/>
  <c r="AQ13" i="63"/>
  <c r="Q6" i="63"/>
  <c r="AQ6" i="63" s="1"/>
  <c r="O54" i="41"/>
  <c r="W110" i="56" s="1"/>
  <c r="N110" i="56" s="1"/>
  <c r="K40" i="41"/>
  <c r="Y21" i="51" l="1"/>
  <c r="P10" i="61" s="1"/>
  <c r="C21" i="63"/>
  <c r="W21" i="51"/>
  <c r="O10" i="61" s="1"/>
  <c r="K21" i="51"/>
  <c r="I10" i="61" s="1"/>
  <c r="E10" i="61"/>
  <c r="S21" i="51"/>
  <c r="M10" i="61" s="1"/>
  <c r="C15" i="51"/>
  <c r="C34" i="51"/>
  <c r="C17" i="51"/>
  <c r="C36" i="51"/>
  <c r="C48" i="51"/>
  <c r="C28" i="51"/>
  <c r="C31" i="51"/>
  <c r="C45" i="51"/>
  <c r="C53" i="51"/>
  <c r="C19" i="51"/>
  <c r="C47" i="51"/>
  <c r="C27" i="51"/>
  <c r="C33" i="51"/>
  <c r="C14" i="51"/>
  <c r="C23" i="51"/>
  <c r="C26" i="51"/>
  <c r="C44" i="51"/>
  <c r="C24" i="51"/>
  <c r="C30" i="51"/>
  <c r="C25" i="51"/>
  <c r="Y46" i="51"/>
  <c r="P35" i="61" s="1"/>
  <c r="C46" i="63"/>
  <c r="W46" i="51"/>
  <c r="O35" i="61" s="1"/>
  <c r="E35" i="61"/>
  <c r="K46" i="51"/>
  <c r="I35" i="61" s="1"/>
  <c r="S46" i="51"/>
  <c r="M35" i="61" s="1"/>
  <c r="C22" i="51"/>
  <c r="C20" i="51"/>
  <c r="C32" i="51"/>
  <c r="C18" i="51"/>
  <c r="C50" i="51"/>
  <c r="C16" i="51"/>
  <c r="C41" i="51"/>
  <c r="C42" i="51"/>
  <c r="C52" i="51"/>
  <c r="C13" i="51"/>
  <c r="C37" i="51"/>
  <c r="C49" i="51"/>
  <c r="C29" i="51"/>
  <c r="C39" i="51"/>
  <c r="C40" i="51"/>
  <c r="C38" i="51"/>
  <c r="C51" i="51"/>
  <c r="C43" i="51"/>
  <c r="C35" i="51"/>
  <c r="F246" i="34"/>
  <c r="W110" i="1"/>
  <c r="AA40" i="58"/>
  <c r="AH40" i="58" s="1"/>
  <c r="F442" i="34" s="1"/>
  <c r="AA54" i="58"/>
  <c r="F238" i="34"/>
  <c r="F245" i="34"/>
  <c r="K70" i="41"/>
  <c r="F256" i="34" s="1"/>
  <c r="AA31" i="58"/>
  <c r="F232" i="34"/>
  <c r="O31" i="41"/>
  <c r="O31" i="58"/>
  <c r="U31" i="58" s="1"/>
  <c r="O54" i="58"/>
  <c r="U54" i="41"/>
  <c r="C38" i="63" l="1"/>
  <c r="K38" i="51"/>
  <c r="I27" i="61" s="1"/>
  <c r="Y38" i="51"/>
  <c r="P27" i="61" s="1"/>
  <c r="W38" i="51"/>
  <c r="O27" i="61" s="1"/>
  <c r="E27" i="61"/>
  <c r="S38" i="51"/>
  <c r="M27" i="61" s="1"/>
  <c r="Y49" i="51"/>
  <c r="P38" i="61" s="1"/>
  <c r="E38" i="61"/>
  <c r="C49" i="63"/>
  <c r="W49" i="51"/>
  <c r="O38" i="61" s="1"/>
  <c r="K49" i="51"/>
  <c r="I38" i="61" s="1"/>
  <c r="S49" i="51"/>
  <c r="M38" i="61" s="1"/>
  <c r="Y42" i="51"/>
  <c r="P31" i="61" s="1"/>
  <c r="C42" i="63"/>
  <c r="K42" i="51"/>
  <c r="I31" i="61" s="1"/>
  <c r="W42" i="51"/>
  <c r="O31" i="61" s="1"/>
  <c r="E31" i="61"/>
  <c r="S42" i="51"/>
  <c r="M31" i="61" s="1"/>
  <c r="Y18" i="51"/>
  <c r="P7" i="61" s="1"/>
  <c r="C18" i="63"/>
  <c r="E7" i="61"/>
  <c r="K18" i="51"/>
  <c r="I7" i="61" s="1"/>
  <c r="W18" i="51"/>
  <c r="O7" i="61" s="1"/>
  <c r="S18" i="51"/>
  <c r="M7" i="61" s="1"/>
  <c r="Y46" i="63"/>
  <c r="AY46" i="63" s="1"/>
  <c r="AC46" i="63"/>
  <c r="W46" i="63"/>
  <c r="AW46" i="63" s="1"/>
  <c r="K46" i="63"/>
  <c r="AK46" i="63" s="1"/>
  <c r="S46" i="63"/>
  <c r="AS46" i="63" s="1"/>
  <c r="C24" i="63"/>
  <c r="E13" i="61"/>
  <c r="Y24" i="51"/>
  <c r="P13" i="61" s="1"/>
  <c r="K24" i="51"/>
  <c r="I13" i="61" s="1"/>
  <c r="W24" i="51"/>
  <c r="O13" i="61" s="1"/>
  <c r="S24" i="51"/>
  <c r="M13" i="61" s="1"/>
  <c r="C14" i="63"/>
  <c r="K14" i="51"/>
  <c r="I3" i="61" s="1"/>
  <c r="Y14" i="51"/>
  <c r="P3" i="61" s="1"/>
  <c r="W14" i="51"/>
  <c r="O3" i="61" s="1"/>
  <c r="E3" i="61"/>
  <c r="S14" i="51"/>
  <c r="M3" i="61" s="1"/>
  <c r="Y19" i="51"/>
  <c r="P8" i="61" s="1"/>
  <c r="C19" i="63"/>
  <c r="W19" i="51"/>
  <c r="O8" i="61" s="1"/>
  <c r="E8" i="61"/>
  <c r="K19" i="51"/>
  <c r="I8" i="61" s="1"/>
  <c r="S19" i="51"/>
  <c r="M8" i="61" s="1"/>
  <c r="C28" i="63"/>
  <c r="Y28" i="51"/>
  <c r="P17" i="61" s="1"/>
  <c r="K28" i="51"/>
  <c r="I17" i="61" s="1"/>
  <c r="E17" i="61"/>
  <c r="W28" i="51"/>
  <c r="O17" i="61" s="1"/>
  <c r="S28" i="51"/>
  <c r="M17" i="61" s="1"/>
  <c r="Y34" i="51"/>
  <c r="P23" i="61" s="1"/>
  <c r="W34" i="51"/>
  <c r="O23" i="61" s="1"/>
  <c r="E23" i="61"/>
  <c r="C34" i="63"/>
  <c r="K34" i="51"/>
  <c r="I23" i="61" s="1"/>
  <c r="S34" i="51"/>
  <c r="M23" i="61" s="1"/>
  <c r="Y35" i="51"/>
  <c r="P24" i="61" s="1"/>
  <c r="C35" i="63"/>
  <c r="W35" i="51"/>
  <c r="O24" i="61" s="1"/>
  <c r="E24" i="61"/>
  <c r="K35" i="51"/>
  <c r="I24" i="61" s="1"/>
  <c r="S35" i="51"/>
  <c r="M24" i="61" s="1"/>
  <c r="Y40" i="51"/>
  <c r="P29" i="61" s="1"/>
  <c r="C40" i="63"/>
  <c r="W40" i="51"/>
  <c r="O29" i="61" s="1"/>
  <c r="E29" i="61"/>
  <c r="K40" i="51"/>
  <c r="I29" i="61" s="1"/>
  <c r="S40" i="51"/>
  <c r="M29" i="61" s="1"/>
  <c r="Y37" i="51"/>
  <c r="P26" i="61" s="1"/>
  <c r="W37" i="51"/>
  <c r="O26" i="61" s="1"/>
  <c r="E26" i="61"/>
  <c r="C37" i="63"/>
  <c r="K37" i="51"/>
  <c r="I26" i="61" s="1"/>
  <c r="S37" i="51"/>
  <c r="M26" i="61" s="1"/>
  <c r="C41" i="63"/>
  <c r="K41" i="51"/>
  <c r="I30" i="61" s="1"/>
  <c r="Y41" i="51"/>
  <c r="P30" i="61" s="1"/>
  <c r="E30" i="61"/>
  <c r="W41" i="51"/>
  <c r="O30" i="61" s="1"/>
  <c r="S41" i="51"/>
  <c r="M30" i="61" s="1"/>
  <c r="C32" i="63"/>
  <c r="K32" i="51"/>
  <c r="I21" i="61" s="1"/>
  <c r="Y32" i="51"/>
  <c r="P21" i="61" s="1"/>
  <c r="E21" i="61"/>
  <c r="W32" i="51"/>
  <c r="O21" i="61" s="1"/>
  <c r="S32" i="51"/>
  <c r="M21" i="61" s="1"/>
  <c r="Y44" i="51"/>
  <c r="P33" i="61" s="1"/>
  <c r="K44" i="51"/>
  <c r="I33" i="61" s="1"/>
  <c r="W44" i="51"/>
  <c r="O33" i="61" s="1"/>
  <c r="E33" i="61"/>
  <c r="C44" i="63"/>
  <c r="S44" i="51"/>
  <c r="M33" i="61" s="1"/>
  <c r="C33" i="63"/>
  <c r="K33" i="51"/>
  <c r="I22" i="61" s="1"/>
  <c r="Y33" i="51"/>
  <c r="P22" i="61" s="1"/>
  <c r="E22" i="61"/>
  <c r="W33" i="51"/>
  <c r="O22" i="61" s="1"/>
  <c r="S33" i="51"/>
  <c r="M22" i="61" s="1"/>
  <c r="Y53" i="51"/>
  <c r="P42" i="61" s="1"/>
  <c r="W53" i="51"/>
  <c r="O42" i="61" s="1"/>
  <c r="E42" i="61"/>
  <c r="C53" i="63"/>
  <c r="K53" i="51"/>
  <c r="I42" i="61" s="1"/>
  <c r="S53" i="51"/>
  <c r="M42" i="61" s="1"/>
  <c r="K48" i="51"/>
  <c r="I37" i="61" s="1"/>
  <c r="Y48" i="51"/>
  <c r="P37" i="61" s="1"/>
  <c r="E37" i="61"/>
  <c r="C48" i="63"/>
  <c r="W48" i="51"/>
  <c r="O37" i="61" s="1"/>
  <c r="S48" i="51"/>
  <c r="M37" i="61" s="1"/>
  <c r="Y15" i="51"/>
  <c r="P4" i="61" s="1"/>
  <c r="C15" i="63"/>
  <c r="W15" i="51"/>
  <c r="O4" i="61" s="1"/>
  <c r="K15" i="51"/>
  <c r="I4" i="61" s="1"/>
  <c r="E4" i="61"/>
  <c r="S15" i="51"/>
  <c r="M4" i="61" s="1"/>
  <c r="Y43" i="51"/>
  <c r="P32" i="61" s="1"/>
  <c r="W43" i="51"/>
  <c r="O32" i="61" s="1"/>
  <c r="E32" i="61"/>
  <c r="K43" i="51"/>
  <c r="I32" i="61" s="1"/>
  <c r="C43" i="63"/>
  <c r="S43" i="51"/>
  <c r="M32" i="61" s="1"/>
  <c r="Y39" i="51"/>
  <c r="P28" i="61" s="1"/>
  <c r="C39" i="63"/>
  <c r="K39" i="51"/>
  <c r="I28" i="61" s="1"/>
  <c r="W39" i="51"/>
  <c r="O28" i="61" s="1"/>
  <c r="E28" i="61"/>
  <c r="S39" i="51"/>
  <c r="M28" i="61" s="1"/>
  <c r="Y13" i="51"/>
  <c r="W13" i="51"/>
  <c r="C13" i="63"/>
  <c r="E2" i="61"/>
  <c r="K13" i="51"/>
  <c r="S13" i="51" s="1"/>
  <c r="Y16" i="51"/>
  <c r="P5" i="61" s="1"/>
  <c r="W16" i="51"/>
  <c r="O5" i="61" s="1"/>
  <c r="E5" i="61"/>
  <c r="K16" i="51"/>
  <c r="I5" i="61" s="1"/>
  <c r="C16" i="63"/>
  <c r="C20" i="63"/>
  <c r="W20" i="51"/>
  <c r="O9" i="61" s="1"/>
  <c r="K20" i="51"/>
  <c r="I9" i="61" s="1"/>
  <c r="Y20" i="51"/>
  <c r="P9" i="61" s="1"/>
  <c r="E9" i="61"/>
  <c r="S20" i="51"/>
  <c r="M9" i="61" s="1"/>
  <c r="C25" i="63"/>
  <c r="Y25" i="51"/>
  <c r="P14" i="61" s="1"/>
  <c r="W25" i="51"/>
  <c r="O14" i="61" s="1"/>
  <c r="E14" i="61"/>
  <c r="K25" i="51"/>
  <c r="I14" i="61" s="1"/>
  <c r="S25" i="51"/>
  <c r="M14" i="61" s="1"/>
  <c r="C26" i="63"/>
  <c r="Y26" i="51"/>
  <c r="P15" i="61" s="1"/>
  <c r="W26" i="51"/>
  <c r="O15" i="61" s="1"/>
  <c r="K26" i="51"/>
  <c r="I15" i="61" s="1"/>
  <c r="E15" i="61"/>
  <c r="S26" i="51"/>
  <c r="M15" i="61" s="1"/>
  <c r="Y27" i="51"/>
  <c r="P16" i="61" s="1"/>
  <c r="C27" i="63"/>
  <c r="K27" i="51"/>
  <c r="I16" i="61" s="1"/>
  <c r="W27" i="51"/>
  <c r="O16" i="61" s="1"/>
  <c r="E16" i="61"/>
  <c r="S27" i="51"/>
  <c r="M16" i="61" s="1"/>
  <c r="W45" i="51"/>
  <c r="O34" i="61" s="1"/>
  <c r="E34" i="61"/>
  <c r="Y45" i="51"/>
  <c r="P34" i="61" s="1"/>
  <c r="C45" i="63"/>
  <c r="K45" i="51"/>
  <c r="I34" i="61" s="1"/>
  <c r="S45" i="51"/>
  <c r="M34" i="61" s="1"/>
  <c r="C36" i="63"/>
  <c r="Y36" i="51"/>
  <c r="P25" i="61" s="1"/>
  <c r="K36" i="51"/>
  <c r="I25" i="61" s="1"/>
  <c r="W36" i="51"/>
  <c r="O25" i="61" s="1"/>
  <c r="E25" i="61"/>
  <c r="S36" i="51"/>
  <c r="M25" i="61" s="1"/>
  <c r="Y21" i="63"/>
  <c r="AY21" i="63" s="1"/>
  <c r="K21" i="63"/>
  <c r="AK21" i="63" s="1"/>
  <c r="AC21" i="63"/>
  <c r="W21" i="63"/>
  <c r="AW21" i="63" s="1"/>
  <c r="S21" i="63"/>
  <c r="AS21" i="63" s="1"/>
  <c r="Y51" i="51"/>
  <c r="P40" i="61" s="1"/>
  <c r="C51" i="63"/>
  <c r="K51" i="51"/>
  <c r="I40" i="61" s="1"/>
  <c r="W51" i="51"/>
  <c r="O40" i="61" s="1"/>
  <c r="E40" i="61"/>
  <c r="S51" i="51"/>
  <c r="M40" i="61" s="1"/>
  <c r="Y29" i="51"/>
  <c r="P18" i="61" s="1"/>
  <c r="K29" i="51"/>
  <c r="I18" i="61" s="1"/>
  <c r="C29" i="63"/>
  <c r="W29" i="51"/>
  <c r="O18" i="61" s="1"/>
  <c r="E18" i="61"/>
  <c r="S29" i="51"/>
  <c r="M18" i="61" s="1"/>
  <c r="Y52" i="51"/>
  <c r="P41" i="61" s="1"/>
  <c r="C52" i="63"/>
  <c r="W52" i="51"/>
  <c r="O41" i="61" s="1"/>
  <c r="K52" i="51"/>
  <c r="I41" i="61" s="1"/>
  <c r="E41" i="61"/>
  <c r="S52" i="51"/>
  <c r="M41" i="61" s="1"/>
  <c r="C50" i="63"/>
  <c r="Y50" i="51"/>
  <c r="P39" i="61" s="1"/>
  <c r="K50" i="51"/>
  <c r="I39" i="61" s="1"/>
  <c r="W50" i="51"/>
  <c r="O39" i="61" s="1"/>
  <c r="E39" i="61"/>
  <c r="S50" i="51"/>
  <c r="M39" i="61" s="1"/>
  <c r="Y22" i="51"/>
  <c r="P11" i="61" s="1"/>
  <c r="K22" i="51"/>
  <c r="I11" i="61" s="1"/>
  <c r="C22" i="63"/>
  <c r="W22" i="51"/>
  <c r="O11" i="61" s="1"/>
  <c r="E11" i="61"/>
  <c r="S22" i="51"/>
  <c r="M11" i="61" s="1"/>
  <c r="C30" i="63"/>
  <c r="W30" i="51"/>
  <c r="O19" i="61" s="1"/>
  <c r="Y30" i="51"/>
  <c r="P19" i="61" s="1"/>
  <c r="K30" i="51"/>
  <c r="I19" i="61" s="1"/>
  <c r="E19" i="61"/>
  <c r="S30" i="51"/>
  <c r="M19" i="61" s="1"/>
  <c r="Y23" i="51"/>
  <c r="P12" i="61" s="1"/>
  <c r="C23" i="63"/>
  <c r="K23" i="51"/>
  <c r="I12" i="61" s="1"/>
  <c r="W23" i="51"/>
  <c r="O12" i="61" s="1"/>
  <c r="E12" i="61"/>
  <c r="S23" i="51"/>
  <c r="M12" i="61" s="1"/>
  <c r="E36" i="61"/>
  <c r="Y47" i="51"/>
  <c r="P36" i="61" s="1"/>
  <c r="C47" i="63"/>
  <c r="K47" i="51"/>
  <c r="I36" i="61" s="1"/>
  <c r="W47" i="51"/>
  <c r="O36" i="61" s="1"/>
  <c r="S47" i="51"/>
  <c r="M36" i="61" s="1"/>
  <c r="C31" i="63"/>
  <c r="W31" i="51"/>
  <c r="O20" i="61" s="1"/>
  <c r="Y31" i="51"/>
  <c r="P20" i="61" s="1"/>
  <c r="E20" i="61"/>
  <c r="K31" i="51"/>
  <c r="I20" i="61" s="1"/>
  <c r="S31" i="51"/>
  <c r="M20" i="61" s="1"/>
  <c r="Y17" i="51"/>
  <c r="P6" i="61" s="1"/>
  <c r="C17" i="63"/>
  <c r="W17" i="51"/>
  <c r="O6" i="61" s="1"/>
  <c r="E6" i="61"/>
  <c r="K17" i="51"/>
  <c r="I6" i="61" s="1"/>
  <c r="S17" i="51"/>
  <c r="M6" i="61" s="1"/>
  <c r="K25" i="1"/>
  <c r="F2" i="34" s="1"/>
  <c r="K25" i="56"/>
  <c r="U31" i="41"/>
  <c r="AA70" i="58"/>
  <c r="O70" i="41"/>
  <c r="K99" i="56" s="1"/>
  <c r="W99" i="56" s="1"/>
  <c r="F233" i="34"/>
  <c r="U34" i="41"/>
  <c r="U54" i="58"/>
  <c r="AE54" i="58"/>
  <c r="AH54" i="58" s="1"/>
  <c r="F445" i="34" s="1"/>
  <c r="U34" i="58"/>
  <c r="AE31" i="58"/>
  <c r="AH31" i="58" s="1"/>
  <c r="F439" i="34" s="1"/>
  <c r="O70" i="58"/>
  <c r="S16" i="51" l="1"/>
  <c r="M5" i="61" s="1"/>
  <c r="Y17" i="63"/>
  <c r="AY17" i="63" s="1"/>
  <c r="AC17" i="63"/>
  <c r="W17" i="63"/>
  <c r="AW17" i="63" s="1"/>
  <c r="K17" i="63"/>
  <c r="AK17" i="63" s="1"/>
  <c r="S17" i="63"/>
  <c r="AS17" i="63" s="1"/>
  <c r="Y26" i="63"/>
  <c r="AY26" i="63" s="1"/>
  <c r="K26" i="63"/>
  <c r="AK26" i="63" s="1"/>
  <c r="W26" i="63"/>
  <c r="AW26" i="63" s="1"/>
  <c r="AC26" i="63"/>
  <c r="S26" i="63"/>
  <c r="AS26" i="63" s="1"/>
  <c r="K20" i="63"/>
  <c r="AK20" i="63" s="1"/>
  <c r="Y20" i="63"/>
  <c r="AY20" i="63" s="1"/>
  <c r="AC20" i="63"/>
  <c r="W20" i="63"/>
  <c r="AW20" i="63" s="1"/>
  <c r="S20" i="63"/>
  <c r="AS20" i="63" s="1"/>
  <c r="I2" i="61"/>
  <c r="K6" i="51"/>
  <c r="P2" i="61"/>
  <c r="Y6" i="51"/>
  <c r="Y43" i="63"/>
  <c r="AY43" i="63" s="1"/>
  <c r="AC43" i="63"/>
  <c r="W43" i="63"/>
  <c r="AW43" i="63" s="1"/>
  <c r="K43" i="63"/>
  <c r="AK43" i="63" s="1"/>
  <c r="S43" i="63"/>
  <c r="AS43" i="63" s="1"/>
  <c r="AC33" i="63"/>
  <c r="Y33" i="63"/>
  <c r="AY33" i="63" s="1"/>
  <c r="K33" i="63"/>
  <c r="AK33" i="63" s="1"/>
  <c r="W33" i="63"/>
  <c r="AW33" i="63" s="1"/>
  <c r="S33" i="63"/>
  <c r="AS33" i="63" s="1"/>
  <c r="Y32" i="63"/>
  <c r="AY32" i="63" s="1"/>
  <c r="AC32" i="63"/>
  <c r="K32" i="63"/>
  <c r="AK32" i="63" s="1"/>
  <c r="W32" i="63"/>
  <c r="AW32" i="63" s="1"/>
  <c r="S32" i="63"/>
  <c r="AS32" i="63" s="1"/>
  <c r="Y28" i="63"/>
  <c r="AY28" i="63" s="1"/>
  <c r="AC28" i="63"/>
  <c r="K28" i="63"/>
  <c r="AK28" i="63" s="1"/>
  <c r="W28" i="63"/>
  <c r="AW28" i="63" s="1"/>
  <c r="S28" i="63"/>
  <c r="AS28" i="63" s="1"/>
  <c r="Y14" i="63"/>
  <c r="AY14" i="63" s="1"/>
  <c r="W14" i="63"/>
  <c r="AW14" i="63" s="1"/>
  <c r="AC14" i="63"/>
  <c r="K14" i="63"/>
  <c r="AK14" i="63" s="1"/>
  <c r="Y18" i="63"/>
  <c r="AY18" i="63" s="1"/>
  <c r="AC18" i="63"/>
  <c r="K18" i="63"/>
  <c r="AK18" i="63" s="1"/>
  <c r="W18" i="63"/>
  <c r="AW18" i="63" s="1"/>
  <c r="S18" i="63"/>
  <c r="AS18" i="63" s="1"/>
  <c r="AC30" i="63"/>
  <c r="Y30" i="63"/>
  <c r="AY30" i="63" s="1"/>
  <c r="K30" i="63"/>
  <c r="AK30" i="63" s="1"/>
  <c r="W30" i="63"/>
  <c r="AW30" i="63" s="1"/>
  <c r="S30" i="63"/>
  <c r="AS30" i="63" s="1"/>
  <c r="Y22" i="63"/>
  <c r="AY22" i="63" s="1"/>
  <c r="K22" i="63"/>
  <c r="AK22" i="63" s="1"/>
  <c r="AC22" i="63"/>
  <c r="W22" i="63"/>
  <c r="AW22" i="63" s="1"/>
  <c r="S22" i="63"/>
  <c r="AS22" i="63" s="1"/>
  <c r="Y50" i="63"/>
  <c r="AY50" i="63" s="1"/>
  <c r="K50" i="63"/>
  <c r="AK50" i="63" s="1"/>
  <c r="AC50" i="63"/>
  <c r="W50" i="63"/>
  <c r="AW50" i="63" s="1"/>
  <c r="S50" i="63"/>
  <c r="AS50" i="63" s="1"/>
  <c r="K45" i="63"/>
  <c r="AK45" i="63" s="1"/>
  <c r="Y45" i="63"/>
  <c r="AY45" i="63" s="1"/>
  <c r="W45" i="63"/>
  <c r="AW45" i="63" s="1"/>
  <c r="AC45" i="63"/>
  <c r="S45" i="63"/>
  <c r="AS45" i="63" s="1"/>
  <c r="K27" i="63"/>
  <c r="AK27" i="63" s="1"/>
  <c r="Y27" i="63"/>
  <c r="AY27" i="63" s="1"/>
  <c r="AC27" i="63"/>
  <c r="W27" i="63"/>
  <c r="AW27" i="63" s="1"/>
  <c r="S27" i="63"/>
  <c r="AS27" i="63" s="1"/>
  <c r="Y39" i="63"/>
  <c r="AY39" i="63" s="1"/>
  <c r="K39" i="63"/>
  <c r="AK39" i="63" s="1"/>
  <c r="AC39" i="63"/>
  <c r="W39" i="63"/>
  <c r="AW39" i="63" s="1"/>
  <c r="S39" i="63"/>
  <c r="AS39" i="63" s="1"/>
  <c r="Y15" i="63"/>
  <c r="AY15" i="63" s="1"/>
  <c r="K15" i="63"/>
  <c r="AK15" i="63" s="1"/>
  <c r="W15" i="63"/>
  <c r="AW15" i="63" s="1"/>
  <c r="AC15" i="63"/>
  <c r="Y48" i="63"/>
  <c r="AY48" i="63" s="1"/>
  <c r="AC48" i="63"/>
  <c r="K48" i="63"/>
  <c r="AK48" i="63" s="1"/>
  <c r="W48" i="63"/>
  <c r="AW48" i="63" s="1"/>
  <c r="S48" i="63"/>
  <c r="AS48" i="63" s="1"/>
  <c r="Y37" i="63"/>
  <c r="AY37" i="63" s="1"/>
  <c r="K37" i="63"/>
  <c r="AK37" i="63" s="1"/>
  <c r="W37" i="63"/>
  <c r="AW37" i="63" s="1"/>
  <c r="AC37" i="63"/>
  <c r="S37" i="63"/>
  <c r="AS37" i="63" s="1"/>
  <c r="Y40" i="63"/>
  <c r="AY40" i="63" s="1"/>
  <c r="AC40" i="63"/>
  <c r="W40" i="63"/>
  <c r="AW40" i="63" s="1"/>
  <c r="K40" i="63"/>
  <c r="AK40" i="63" s="1"/>
  <c r="S40" i="63"/>
  <c r="AS40" i="63" s="1"/>
  <c r="Y19" i="63"/>
  <c r="AY19" i="63" s="1"/>
  <c r="AC19" i="63"/>
  <c r="W19" i="63"/>
  <c r="AW19" i="63" s="1"/>
  <c r="K19" i="63"/>
  <c r="AK19" i="63" s="1"/>
  <c r="S19" i="63"/>
  <c r="AS19" i="63" s="1"/>
  <c r="AC23" i="63"/>
  <c r="Y23" i="63"/>
  <c r="AY23" i="63" s="1"/>
  <c r="K23" i="63"/>
  <c r="AK23" i="63" s="1"/>
  <c r="W23" i="63"/>
  <c r="AW23" i="63" s="1"/>
  <c r="S23" i="63"/>
  <c r="AS23" i="63" s="1"/>
  <c r="Y52" i="63"/>
  <c r="AY52" i="63" s="1"/>
  <c r="W52" i="63"/>
  <c r="AW52" i="63" s="1"/>
  <c r="AC52" i="63"/>
  <c r="K52" i="63"/>
  <c r="AK52" i="63" s="1"/>
  <c r="S52" i="63"/>
  <c r="AS52" i="63" s="1"/>
  <c r="Y51" i="63"/>
  <c r="AY51" i="63" s="1"/>
  <c r="AC51" i="63"/>
  <c r="W51" i="63"/>
  <c r="AW51" i="63" s="1"/>
  <c r="K51" i="63"/>
  <c r="AK51" i="63" s="1"/>
  <c r="S51" i="63"/>
  <c r="AS51" i="63" s="1"/>
  <c r="Y36" i="63"/>
  <c r="AY36" i="63" s="1"/>
  <c r="AC36" i="63"/>
  <c r="K36" i="63"/>
  <c r="AK36" i="63" s="1"/>
  <c r="W36" i="63"/>
  <c r="AW36" i="63" s="1"/>
  <c r="S36" i="63"/>
  <c r="AS36" i="63" s="1"/>
  <c r="Y25" i="63"/>
  <c r="AY25" i="63" s="1"/>
  <c r="W25" i="63"/>
  <c r="AW25" i="63" s="1"/>
  <c r="K25" i="63"/>
  <c r="AK25" i="63" s="1"/>
  <c r="AC25" i="63"/>
  <c r="S25" i="63"/>
  <c r="AS25" i="63" s="1"/>
  <c r="K16" i="63"/>
  <c r="AK16" i="63" s="1"/>
  <c r="Y16" i="63"/>
  <c r="AY16" i="63" s="1"/>
  <c r="AC16" i="63"/>
  <c r="W16" i="63"/>
  <c r="AW16" i="63" s="1"/>
  <c r="S16" i="63"/>
  <c r="AS16" i="63" s="1"/>
  <c r="W13" i="63"/>
  <c r="AC13" i="63"/>
  <c r="Y13" i="63"/>
  <c r="K13" i="63"/>
  <c r="S13" i="63" s="1"/>
  <c r="Y44" i="63"/>
  <c r="AY44" i="63" s="1"/>
  <c r="AC44" i="63"/>
  <c r="K44" i="63"/>
  <c r="AK44" i="63" s="1"/>
  <c r="W44" i="63"/>
  <c r="AW44" i="63" s="1"/>
  <c r="S44" i="63"/>
  <c r="AS44" i="63" s="1"/>
  <c r="Y41" i="63"/>
  <c r="AY41" i="63" s="1"/>
  <c r="AC41" i="63"/>
  <c r="K41" i="63"/>
  <c r="AK41" i="63" s="1"/>
  <c r="W41" i="63"/>
  <c r="AW41" i="63" s="1"/>
  <c r="S41" i="63"/>
  <c r="AS41" i="63" s="1"/>
  <c r="Y24" i="63"/>
  <c r="AY24" i="63" s="1"/>
  <c r="W24" i="63"/>
  <c r="AW24" i="63" s="1"/>
  <c r="AC24" i="63"/>
  <c r="K24" i="63"/>
  <c r="AK24" i="63" s="1"/>
  <c r="S24" i="63"/>
  <c r="AS24" i="63" s="1"/>
  <c r="AC42" i="63"/>
  <c r="Y42" i="63"/>
  <c r="AY42" i="63" s="1"/>
  <c r="W42" i="63"/>
  <c r="AW42" i="63" s="1"/>
  <c r="K42" i="63"/>
  <c r="AK42" i="63" s="1"/>
  <c r="S42" i="63"/>
  <c r="AS42" i="63" s="1"/>
  <c r="Y31" i="63"/>
  <c r="AY31" i="63" s="1"/>
  <c r="K31" i="63"/>
  <c r="AK31" i="63" s="1"/>
  <c r="W31" i="63"/>
  <c r="AW31" i="63" s="1"/>
  <c r="AC31" i="63"/>
  <c r="S31" i="63"/>
  <c r="AS31" i="63" s="1"/>
  <c r="Y47" i="63"/>
  <c r="AY47" i="63" s="1"/>
  <c r="W47" i="63"/>
  <c r="AW47" i="63" s="1"/>
  <c r="K47" i="63"/>
  <c r="AK47" i="63" s="1"/>
  <c r="AC47" i="63"/>
  <c r="S47" i="63"/>
  <c r="AS47" i="63" s="1"/>
  <c r="K29" i="63"/>
  <c r="AK29" i="63" s="1"/>
  <c r="Y29" i="63"/>
  <c r="AY29" i="63" s="1"/>
  <c r="AC29" i="63"/>
  <c r="W29" i="63"/>
  <c r="AW29" i="63" s="1"/>
  <c r="S29" i="63"/>
  <c r="AS29" i="63" s="1"/>
  <c r="M2" i="61"/>
  <c r="S6" i="51"/>
  <c r="O2" i="61"/>
  <c r="W6" i="51"/>
  <c r="Y53" i="63"/>
  <c r="AY53" i="63" s="1"/>
  <c r="K53" i="63"/>
  <c r="AK53" i="63" s="1"/>
  <c r="W53" i="63"/>
  <c r="AW53" i="63" s="1"/>
  <c r="AC53" i="63"/>
  <c r="S53" i="63"/>
  <c r="AS53" i="63" s="1"/>
  <c r="Y35" i="63"/>
  <c r="AY35" i="63" s="1"/>
  <c r="W35" i="63"/>
  <c r="AW35" i="63" s="1"/>
  <c r="K35" i="63"/>
  <c r="AK35" i="63" s="1"/>
  <c r="AC35" i="63"/>
  <c r="S35" i="63"/>
  <c r="AS35" i="63" s="1"/>
  <c r="Y34" i="63"/>
  <c r="AY34" i="63" s="1"/>
  <c r="AC34" i="63"/>
  <c r="W34" i="63"/>
  <c r="AW34" i="63" s="1"/>
  <c r="K34" i="63"/>
  <c r="AK34" i="63" s="1"/>
  <c r="S34" i="63"/>
  <c r="AS34" i="63" s="1"/>
  <c r="Y49" i="63"/>
  <c r="AY49" i="63" s="1"/>
  <c r="W49" i="63"/>
  <c r="AW49" i="63" s="1"/>
  <c r="AC49" i="63"/>
  <c r="K49" i="63"/>
  <c r="AK49" i="63" s="1"/>
  <c r="S49" i="63"/>
  <c r="AS49" i="63" s="1"/>
  <c r="Y38" i="63"/>
  <c r="AY38" i="63" s="1"/>
  <c r="K38" i="63"/>
  <c r="AK38" i="63" s="1"/>
  <c r="AC38" i="63"/>
  <c r="W38" i="63"/>
  <c r="AW38" i="63" s="1"/>
  <c r="S38" i="63"/>
  <c r="AS38" i="63" s="1"/>
  <c r="C61" i="1"/>
  <c r="A61" i="1" s="1"/>
  <c r="AB41" i="1" s="1"/>
  <c r="C61" i="56"/>
  <c r="A61" i="56" s="1"/>
  <c r="F257" i="34"/>
  <c r="U70" i="41"/>
  <c r="K99" i="1"/>
  <c r="F44" i="34" s="1"/>
  <c r="AQ25" i="56"/>
  <c r="F355" i="34" s="1"/>
  <c r="U70" i="58"/>
  <c r="AE70" i="58"/>
  <c r="AH70" i="58" s="1"/>
  <c r="F450" i="34" s="1"/>
  <c r="S15" i="63" l="1"/>
  <c r="AS15" i="63" s="1"/>
  <c r="S14" i="63"/>
  <c r="AS14" i="63" s="1"/>
  <c r="BA21" i="63"/>
  <c r="F470" i="34" s="1"/>
  <c r="BA34" i="63"/>
  <c r="F483" i="34" s="1"/>
  <c r="BA53" i="63"/>
  <c r="F502" i="34" s="1"/>
  <c r="BA46" i="63"/>
  <c r="F495" i="34" s="1"/>
  <c r="BA51" i="63"/>
  <c r="F500" i="34" s="1"/>
  <c r="BA27" i="63"/>
  <c r="F476" i="34" s="1"/>
  <c r="BA45" i="63"/>
  <c r="F494" i="34" s="1"/>
  <c r="AS13" i="63"/>
  <c r="W6" i="63"/>
  <c r="AW6" i="63" s="1"/>
  <c r="AW13" i="63"/>
  <c r="BA52" i="63"/>
  <c r="F501" i="34" s="1"/>
  <c r="BA40" i="63"/>
  <c r="F489" i="34" s="1"/>
  <c r="BA28" i="63"/>
  <c r="F477" i="34" s="1"/>
  <c r="BA38" i="63"/>
  <c r="F487" i="34" s="1"/>
  <c r="BA41" i="63"/>
  <c r="F490" i="34" s="1"/>
  <c r="AK13" i="63"/>
  <c r="K6" i="63"/>
  <c r="AK6" i="63" s="1"/>
  <c r="BA15" i="63"/>
  <c r="F464" i="34" s="1"/>
  <c r="BA32" i="63"/>
  <c r="F481" i="34" s="1"/>
  <c r="BA49" i="63"/>
  <c r="F498" i="34" s="1"/>
  <c r="K44" i="58"/>
  <c r="K44" i="41"/>
  <c r="BA29" i="63"/>
  <c r="F478" i="34" s="1"/>
  <c r="BA47" i="63"/>
  <c r="F496" i="34" s="1"/>
  <c r="BA44" i="63"/>
  <c r="F493" i="34" s="1"/>
  <c r="AY13" i="63"/>
  <c r="Y6" i="63"/>
  <c r="AY6" i="63" s="1"/>
  <c r="BA36" i="63"/>
  <c r="F485" i="34" s="1"/>
  <c r="BA48" i="63"/>
  <c r="F497" i="34" s="1"/>
  <c r="BA50" i="63"/>
  <c r="F499" i="34" s="1"/>
  <c r="BA30" i="63"/>
  <c r="F479" i="34" s="1"/>
  <c r="BA18" i="63"/>
  <c r="F467" i="34" s="1"/>
  <c r="BA14" i="63"/>
  <c r="F463" i="34" s="1"/>
  <c r="BA17" i="63"/>
  <c r="F466" i="34" s="1"/>
  <c r="BA35" i="63"/>
  <c r="F484" i="34" s="1"/>
  <c r="BA31" i="63"/>
  <c r="F480" i="34" s="1"/>
  <c r="BA42" i="63"/>
  <c r="F491" i="34" s="1"/>
  <c r="BA24" i="63"/>
  <c r="F473" i="34" s="1"/>
  <c r="BA16" i="63"/>
  <c r="F465" i="34" s="1"/>
  <c r="BA25" i="63"/>
  <c r="F474" i="34" s="1"/>
  <c r="BA23" i="63"/>
  <c r="F472" i="34" s="1"/>
  <c r="BA19" i="63"/>
  <c r="F468" i="34" s="1"/>
  <c r="BA37" i="63"/>
  <c r="F486" i="34" s="1"/>
  <c r="BA39" i="63"/>
  <c r="F488" i="34" s="1"/>
  <c r="BA22" i="63"/>
  <c r="F471" i="34" s="1"/>
  <c r="BA33" i="63"/>
  <c r="F482" i="34" s="1"/>
  <c r="BA43" i="63"/>
  <c r="F492" i="34" s="1"/>
  <c r="BA20" i="63"/>
  <c r="F469" i="34" s="1"/>
  <c r="BA26" i="63"/>
  <c r="F475" i="34" s="1"/>
  <c r="AB110" i="56"/>
  <c r="C144" i="56" s="1"/>
  <c r="A144" i="56" s="1"/>
  <c r="AB41" i="56"/>
  <c r="N110" i="1"/>
  <c r="F41" i="34" s="1"/>
  <c r="F24" i="34"/>
  <c r="AD99" i="56"/>
  <c r="W99" i="1"/>
  <c r="F28" i="34" s="1"/>
  <c r="S6" i="63" l="1"/>
  <c r="AS6" i="63" s="1"/>
  <c r="BA13" i="63"/>
  <c r="F462" i="34" s="1"/>
  <c r="O44" i="58"/>
  <c r="U44" i="58" s="1"/>
  <c r="U74" i="58" s="1"/>
  <c r="B74" i="58" s="1"/>
  <c r="AA44" i="58"/>
  <c r="BA6" i="63"/>
  <c r="F461" i="34" s="1"/>
  <c r="K46" i="1"/>
  <c r="O44" i="41"/>
  <c r="U44" i="41" s="1"/>
  <c r="U74" i="41" s="1"/>
  <c r="B74" i="41" s="1"/>
  <c r="F239" i="34"/>
  <c r="AP110" i="56"/>
  <c r="AB110" i="1"/>
  <c r="C144" i="1" s="1"/>
  <c r="A144" i="1" s="1"/>
  <c r="AP99" i="56"/>
  <c r="AQ99" i="56" s="1"/>
  <c r="F369" i="34" s="1"/>
  <c r="K46" i="56" l="1"/>
  <c r="F240" i="34"/>
  <c r="F9" i="34"/>
  <c r="W106" i="1"/>
  <c r="C69" i="1"/>
  <c r="A69" i="1" s="1"/>
  <c r="AB49" i="1" s="1"/>
  <c r="K56" i="1"/>
  <c r="AE44" i="58"/>
  <c r="AH44" i="58" s="1"/>
  <c r="F443" i="34" s="1"/>
  <c r="AG110" i="56"/>
  <c r="AQ110" i="56" s="1"/>
  <c r="F374" i="34" s="1"/>
  <c r="Q96" i="1" l="1"/>
  <c r="W96" i="1"/>
  <c r="F13" i="34"/>
  <c r="N96" i="1"/>
  <c r="C73" i="1"/>
  <c r="A73" i="1" s="1"/>
  <c r="T96" i="1"/>
  <c r="F37" i="34"/>
  <c r="N106" i="1"/>
  <c r="W106" i="56"/>
  <c r="C69" i="56"/>
  <c r="A69" i="56" s="1"/>
  <c r="K56" i="56"/>
  <c r="AQ46" i="56"/>
  <c r="F362" i="34" s="1"/>
  <c r="AB126" i="1" l="1"/>
  <c r="K96" i="1"/>
  <c r="AB98" i="1" s="1"/>
  <c r="AB53" i="1"/>
  <c r="B74" i="1"/>
  <c r="C59" i="1" s="1"/>
  <c r="AB49" i="56"/>
  <c r="T96" i="56"/>
  <c r="Q96" i="56"/>
  <c r="AQ56" i="56"/>
  <c r="F366" i="34" s="1"/>
  <c r="W96" i="56"/>
  <c r="N96" i="56"/>
  <c r="F22" i="34"/>
  <c r="T101" i="1"/>
  <c r="T126" i="1" s="1"/>
  <c r="W101" i="1"/>
  <c r="W126" i="1" s="1"/>
  <c r="F23" i="34"/>
  <c r="AB96" i="1"/>
  <c r="C132" i="1" s="1"/>
  <c r="A132" i="1" s="1"/>
  <c r="C73" i="56"/>
  <c r="A73" i="56" s="1"/>
  <c r="AB53" i="56" s="1"/>
  <c r="N106" i="56"/>
  <c r="AP106" i="56"/>
  <c r="F36" i="34"/>
  <c r="AB106" i="1"/>
  <c r="C140" i="1" s="1"/>
  <c r="A140" i="1" s="1"/>
  <c r="N101" i="1"/>
  <c r="N126" i="1" s="1"/>
  <c r="F20" i="34"/>
  <c r="F21" i="34"/>
  <c r="Q101" i="1"/>
  <c r="Q126" i="1" s="1"/>
  <c r="AB126" i="56" l="1"/>
  <c r="K96" i="56"/>
  <c r="AB98" i="56" s="1"/>
  <c r="C134" i="56" s="1"/>
  <c r="A134" i="56" s="1"/>
  <c r="B74" i="56"/>
  <c r="C59" i="56" s="1"/>
  <c r="F30" i="34"/>
  <c r="F32" i="34"/>
  <c r="F31" i="34"/>
  <c r="Q101" i="56"/>
  <c r="Q126" i="56" s="1"/>
  <c r="AJ96" i="56"/>
  <c r="W101" i="56"/>
  <c r="W126" i="56" s="1"/>
  <c r="AP96" i="56"/>
  <c r="AB96" i="56"/>
  <c r="C132" i="56" s="1"/>
  <c r="A132" i="56" s="1"/>
  <c r="C134" i="1"/>
  <c r="A134" i="1" s="1"/>
  <c r="K101" i="1"/>
  <c r="AB102" i="1" s="1"/>
  <c r="F19" i="34"/>
  <c r="AB106" i="56"/>
  <c r="C140" i="56" s="1"/>
  <c r="A140" i="56" s="1"/>
  <c r="AG106" i="56"/>
  <c r="AQ106" i="56" s="1"/>
  <c r="F372" i="34" s="1"/>
  <c r="F33" i="34"/>
  <c r="F67" i="34"/>
  <c r="N101" i="56"/>
  <c r="N126" i="56" s="1"/>
  <c r="AG96" i="56"/>
  <c r="T101" i="56"/>
  <c r="T126" i="56" s="1"/>
  <c r="AM96" i="56"/>
  <c r="K101" i="56" l="1"/>
  <c r="K126" i="56" s="1"/>
  <c r="AD96" i="56"/>
  <c r="AQ96" i="56" s="1"/>
  <c r="F368" i="34" s="1"/>
  <c r="C136" i="1"/>
  <c r="A136" i="1" s="1"/>
  <c r="F29" i="34"/>
  <c r="K126" i="1"/>
  <c r="AP126" i="56"/>
  <c r="AP101" i="56"/>
  <c r="T165" i="1"/>
  <c r="F66" i="34"/>
  <c r="AG101" i="56"/>
  <c r="AJ101" i="56"/>
  <c r="AM101" i="56"/>
  <c r="Q165" i="1"/>
  <c r="F65" i="34"/>
  <c r="N165" i="1"/>
  <c r="F64" i="34"/>
  <c r="AB102" i="56" l="1"/>
  <c r="C136" i="56" s="1"/>
  <c r="A136" i="56" s="1"/>
  <c r="AD101" i="56"/>
  <c r="AQ101" i="56" s="1"/>
  <c r="F370" i="34" s="1"/>
  <c r="Q189" i="1"/>
  <c r="F101" i="34" s="1"/>
  <c r="F69" i="34"/>
  <c r="N165" i="56"/>
  <c r="AG126" i="56"/>
  <c r="Q165" i="56"/>
  <c r="AJ126" i="56"/>
  <c r="N189" i="1"/>
  <c r="W165" i="1"/>
  <c r="F68" i="34"/>
  <c r="T165" i="56"/>
  <c r="AM126" i="56"/>
  <c r="F63" i="34"/>
  <c r="C150" i="1"/>
  <c r="A150" i="1" s="1"/>
  <c r="B151" i="1" s="1"/>
  <c r="C130" i="1" s="1"/>
  <c r="C150" i="56"/>
  <c r="A150" i="56" s="1"/>
  <c r="AD126" i="56"/>
  <c r="T189" i="1"/>
  <c r="F102" i="34" s="1"/>
  <c r="F70" i="34"/>
  <c r="B151" i="56" l="1"/>
  <c r="C130" i="56" s="1"/>
  <c r="AQ126" i="56"/>
  <c r="F380" i="34" s="1"/>
  <c r="W189" i="1"/>
  <c r="F103" i="34" s="1"/>
  <c r="F71" i="34"/>
  <c r="AB165" i="1"/>
  <c r="C198" i="1" s="1"/>
  <c r="A198" i="1" s="1"/>
  <c r="F100" i="34"/>
  <c r="N189" i="56"/>
  <c r="W165" i="56"/>
  <c r="AB165" i="56" s="1"/>
  <c r="C198" i="56" s="1"/>
  <c r="A198" i="56" s="1"/>
  <c r="AG165" i="56"/>
  <c r="T189" i="56"/>
  <c r="AM189" i="56" s="1"/>
  <c r="AM165" i="56"/>
  <c r="Q189" i="56"/>
  <c r="AJ189" i="56" s="1"/>
  <c r="AJ165" i="56"/>
  <c r="AB189" i="1" l="1"/>
  <c r="C210" i="1" s="1"/>
  <c r="A210" i="1" s="1"/>
  <c r="B211" i="1" s="1"/>
  <c r="C196" i="1" s="1"/>
  <c r="W189" i="56"/>
  <c r="AP189" i="56" s="1"/>
  <c r="AP165" i="56"/>
  <c r="AQ165" i="56" s="1"/>
  <c r="F381" i="34" s="1"/>
  <c r="AG189" i="56"/>
  <c r="AB189" i="56" l="1"/>
  <c r="C210" i="56" s="1"/>
  <c r="A210" i="56" s="1"/>
  <c r="B211" i="56" s="1"/>
  <c r="C196" i="56" s="1"/>
  <c r="AQ189" i="56"/>
  <c r="F389" i="34" s="1"/>
</calcChain>
</file>

<file path=xl/sharedStrings.xml><?xml version="1.0" encoding="utf-8"?>
<sst xmlns="http://schemas.openxmlformats.org/spreadsheetml/2006/main" count="12457" uniqueCount="3100">
  <si>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</si>
  <si>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</si>
  <si>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</si>
  <si>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</si>
  <si>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</si>
  <si>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</si>
  <si>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</si>
  <si>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</si>
  <si>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</si>
  <si>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</si>
  <si>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</si>
  <si>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</si>
  <si>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</si>
  <si>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</si>
  <si>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</si>
  <si>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</si>
  <si>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</si>
  <si>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</si>
  <si>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</si>
  <si>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</si>
  <si>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1. Opening Balance (From Collection Fund Statement)</t>
  </si>
  <si>
    <t>E1932</t>
  </si>
  <si>
    <t>Darlington</t>
  </si>
  <si>
    <t>E1301</t>
  </si>
  <si>
    <t>Dartford</t>
  </si>
  <si>
    <t>E2233</t>
  </si>
  <si>
    <t>Daventry</t>
  </si>
  <si>
    <t>E2832</t>
  </si>
  <si>
    <t>Derby</t>
  </si>
  <si>
    <t>E1001</t>
  </si>
  <si>
    <t>Derbyshire Dales</t>
  </si>
  <si>
    <t>E1035</t>
  </si>
  <si>
    <t>Doncaster</t>
  </si>
  <si>
    <t>E4402</t>
  </si>
  <si>
    <t>Errors</t>
  </si>
  <si>
    <t>TOTAL
(All BA Area)</t>
  </si>
  <si>
    <t>PROVISIONAL NATIONAL NON-DOMESTIC RATES RETURN - NNDR1</t>
  </si>
  <si>
    <t xml:space="preserve">PART 1A: NON-DOMESTIC RATING INCOME </t>
  </si>
  <si>
    <t>COST OF COLLECTION (See Note A)</t>
  </si>
  <si>
    <t>PART 1C: SECTION 31 GRANT (See Note C)</t>
  </si>
  <si>
    <t>Central
Government</t>
  </si>
  <si>
    <t>Estimated Surplus/Deficit on Collection Fund</t>
  </si>
  <si>
    <t xml:space="preserve">of which: </t>
  </si>
  <si>
    <t>GLA - functions exc police</t>
  </si>
  <si>
    <t>Retained NNDR shares</t>
  </si>
  <si>
    <t>Ver 1.0</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</si>
  <si>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</si>
  <si>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</si>
  <si>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</si>
  <si>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</si>
  <si>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</si>
  <si>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</si>
  <si>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</si>
  <si>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</si>
  <si>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</si>
  <si>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</si>
  <si>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</si>
  <si>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</si>
  <si>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</si>
  <si>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</si>
  <si>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</si>
  <si>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</si>
  <si>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</si>
  <si>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</si>
  <si>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</si>
  <si>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</si>
  <si>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</si>
  <si>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</si>
  <si>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</si>
  <si>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</si>
  <si>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 xml:space="preserve">Error </t>
  </si>
  <si>
    <t>Checking</t>
  </si>
  <si>
    <t>Certificate of Chief Financial Officer / Section 151 Officer</t>
  </si>
  <si>
    <t>Error</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</si>
  <si>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</si>
  <si>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</si>
  <si>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</si>
  <si>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</si>
  <si>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</si>
  <si>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</si>
  <si>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</si>
  <si>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</si>
  <si>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</si>
  <si>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</si>
  <si>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</si>
  <si>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</si>
  <si>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</si>
  <si>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</si>
  <si>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</si>
  <si>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</si>
  <si>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</si>
  <si>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</si>
  <si>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</si>
  <si>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</si>
  <si>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</si>
  <si>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</si>
  <si>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</si>
  <si>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</si>
  <si>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</si>
  <si>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</si>
  <si>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</si>
  <si>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</si>
  <si>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</si>
  <si>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</si>
  <si>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</si>
  <si>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</si>
  <si>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</si>
  <si>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</si>
  <si>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</si>
  <si>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</si>
  <si>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</si>
  <si>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</si>
  <si>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</si>
  <si>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</si>
  <si>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</si>
  <si>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</si>
  <si>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</si>
  <si>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</si>
  <si>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</si>
  <si>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</si>
  <si>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</si>
  <si>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</si>
  <si>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</si>
  <si>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</si>
  <si>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</si>
  <si>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</si>
  <si>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</si>
  <si>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</si>
  <si>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</si>
  <si>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</si>
  <si>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</si>
  <si>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</si>
  <si>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</si>
  <si>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</si>
  <si>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</si>
  <si>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</si>
  <si>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</si>
  <si>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</si>
  <si>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</si>
  <si>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</si>
  <si>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</si>
  <si>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</si>
  <si>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</si>
  <si>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</si>
  <si>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</si>
  <si>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</si>
  <si>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</si>
  <si>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</si>
  <si>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</si>
  <si>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</si>
  <si>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</si>
  <si>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</si>
  <si>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</si>
  <si>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</si>
  <si>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</si>
  <si>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</si>
  <si>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</si>
  <si>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</si>
  <si>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</si>
  <si>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</si>
  <si>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</si>
  <si>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</si>
  <si>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</si>
  <si>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</si>
  <si>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</si>
  <si>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</si>
  <si>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</si>
  <si>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</si>
  <si>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</si>
  <si>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</si>
  <si>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</si>
  <si>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</si>
  <si>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</si>
  <si>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</si>
  <si>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</si>
  <si>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</si>
  <si>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</si>
  <si>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</si>
  <si>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</si>
  <si>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</si>
  <si>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</si>
  <si>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</si>
  <si>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</si>
  <si>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</si>
  <si>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</si>
  <si>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</si>
  <si>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</si>
  <si>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</si>
  <si>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</si>
  <si>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</si>
  <si>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</si>
  <si>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</si>
  <si>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</si>
  <si>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</si>
  <si>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</si>
  <si>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</si>
  <si>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</si>
  <si>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</si>
  <si>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</si>
  <si>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</si>
  <si>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</si>
  <si>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</si>
  <si>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</si>
  <si>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</si>
  <si>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</si>
  <si>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</si>
  <si>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</si>
  <si>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</si>
  <si>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</si>
  <si>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</si>
  <si>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</si>
  <si>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</si>
  <si>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</si>
  <si>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</si>
  <si>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</si>
  <si>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</si>
  <si>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</si>
  <si>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</si>
  <si>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</si>
  <si>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</si>
  <si>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</si>
  <si>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</si>
  <si>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</si>
  <si>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</si>
  <si>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</si>
  <si>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</si>
  <si>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</si>
  <si>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</si>
  <si>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</si>
  <si>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</si>
  <si>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</si>
  <si>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</si>
  <si>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</si>
  <si>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</si>
  <si>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</si>
  <si>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</si>
  <si>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</si>
  <si>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</si>
  <si>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</si>
  <si>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</si>
  <si>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</si>
  <si>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</si>
  <si>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</si>
  <si>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</si>
  <si>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</si>
  <si>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</si>
  <si>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</si>
  <si>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</si>
  <si>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</si>
  <si>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</si>
  <si>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</si>
  <si>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</si>
  <si>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</si>
  <si>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</si>
  <si>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</si>
  <si>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</si>
  <si>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</si>
  <si>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</si>
  <si>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</si>
  <si>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</si>
  <si>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</si>
  <si>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</si>
  <si>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</si>
  <si>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</si>
  <si>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</si>
  <si>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</si>
  <si>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</si>
  <si>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</si>
  <si>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</si>
  <si>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</si>
  <si>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5.  Renewable Energy</t>
  </si>
  <si>
    <t xml:space="preserve">6.  Transitional Protection Payment </t>
  </si>
  <si>
    <t xml:space="preserve">7.  Baseline </t>
  </si>
  <si>
    <t xml:space="preserve">OPENING BALANCE </t>
  </si>
  <si>
    <t>SUPPLEMENTARY INFORMATION ON HEREDITAMENTS BEING GRANTED RELIEF FROM
NATIONAL NON-DOMESTIC RATES AND THE AMOUNT OF RELIEF GRANTED</t>
  </si>
  <si>
    <t xml:space="preserve">Please complete the following questions on hereditaments that were being granted relief  from
national non-domestic rates and the amount of relief granted </t>
  </si>
  <si>
    <t>i. Relief to be given - industrial property above the exemption threshold</t>
  </si>
  <si>
    <t>ii. Relief to be given - listed building status</t>
  </si>
  <si>
    <t>iii. Relief to be given - Community Amateur Sports Clubs</t>
  </si>
  <si>
    <t>iv. Relief to be given - charities</t>
  </si>
  <si>
    <t>vi. Relief to be given - "non-industrial" above the exemption threshold</t>
  </si>
  <si>
    <t>PART 1B: PAYMENTS</t>
  </si>
  <si>
    <t>This sheet automatically highlights any validation queries and provides space for your explanations</t>
  </si>
  <si>
    <t>PART 2: NET RATES PAYABLE</t>
  </si>
  <si>
    <t>8. Total Disregarded Amounts</t>
  </si>
  <si>
    <t>%</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</si>
  <si>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</si>
  <si>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</si>
  <si>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</si>
  <si>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</si>
  <si>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</si>
  <si>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</si>
  <si>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</si>
  <si>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</si>
  <si>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</si>
  <si>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</si>
  <si>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</si>
  <si>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</si>
  <si>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</si>
  <si>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</si>
  <si>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</si>
  <si>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</si>
  <si>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</si>
  <si>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</si>
  <si>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</si>
  <si>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</si>
  <si>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</si>
  <si>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</si>
  <si>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</si>
  <si>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</si>
  <si>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</si>
  <si>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</si>
  <si>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</si>
  <si>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</si>
  <si>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</si>
  <si>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</si>
  <si>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</si>
  <si>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</si>
  <si>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</si>
  <si>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</si>
  <si>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</si>
  <si>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</si>
  <si>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</si>
  <si>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</si>
  <si>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</si>
  <si>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</si>
  <si>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</si>
  <si>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</si>
  <si>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</si>
  <si>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</si>
  <si>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</si>
  <si>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</si>
  <si>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</si>
  <si>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</si>
  <si>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</si>
  <si>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</si>
  <si>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</si>
  <si>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</si>
  <si>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</si>
  <si>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</si>
  <si>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</si>
  <si>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</si>
  <si>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</si>
  <si>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</si>
  <si>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</si>
  <si>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</si>
  <si>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</si>
  <si>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</si>
  <si>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</si>
  <si>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</si>
  <si>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</si>
  <si>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</si>
  <si>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</si>
  <si>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</si>
  <si>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</si>
  <si>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</si>
  <si>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</si>
  <si>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</si>
  <si>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</si>
  <si>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</si>
  <si>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</si>
  <si>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</si>
  <si>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</si>
  <si>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</si>
  <si>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</si>
  <si>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</si>
  <si>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</si>
  <si>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</si>
  <si>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</si>
  <si>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</si>
  <si>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</si>
  <si>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</si>
  <si>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</si>
  <si>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</si>
  <si>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</si>
  <si>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</si>
  <si>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</si>
  <si>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</si>
  <si>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</si>
  <si>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</si>
  <si>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</si>
  <si>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</si>
  <si>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</si>
  <si>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</si>
  <si>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</si>
  <si>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</si>
  <si>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</si>
  <si>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</si>
  <si>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</si>
  <si>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</si>
  <si>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</si>
  <si>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</si>
  <si>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</si>
  <si>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</si>
  <si>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</si>
  <si>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</si>
  <si>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</si>
  <si>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</si>
  <si>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</si>
  <si>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</si>
  <si>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</si>
  <si>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</si>
  <si>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</si>
  <si>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</si>
  <si>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</si>
  <si>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</si>
  <si>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</si>
  <si>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</si>
  <si>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</si>
  <si>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</si>
  <si>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</si>
  <si>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</si>
  <si>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</si>
  <si>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</si>
  <si>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</si>
  <si>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</si>
  <si>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</si>
  <si>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</si>
  <si>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</si>
  <si>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</si>
  <si>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</si>
  <si>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</si>
  <si>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</si>
  <si>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</si>
  <si>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</si>
  <si>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</si>
  <si>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</si>
  <si>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</si>
  <si>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</si>
  <si>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</si>
  <si>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</si>
  <si>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</si>
  <si>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</si>
  <si>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</si>
  <si>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</si>
  <si>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</si>
  <si>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</si>
  <si>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</si>
  <si>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</si>
  <si>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</si>
  <si>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</si>
  <si>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</si>
  <si>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</si>
  <si>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</si>
  <si>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</si>
  <si>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</si>
  <si>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</si>
  <si>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</si>
  <si>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</si>
  <si>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</si>
  <si>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</si>
  <si>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</si>
  <si>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</si>
  <si>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</si>
  <si>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</si>
  <si>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</si>
  <si>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</si>
  <si>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</si>
  <si>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</si>
  <si>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</si>
  <si>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</si>
  <si>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</si>
  <si>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</si>
  <si>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</si>
  <si>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</si>
  <si>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</si>
  <si>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</si>
  <si>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</si>
  <si>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</si>
  <si>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</si>
  <si>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</si>
  <si>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</si>
  <si>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</si>
  <si>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</si>
  <si>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</si>
  <si>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</si>
  <si>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</si>
  <si>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</si>
  <si>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</si>
  <si>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</si>
  <si>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</si>
  <si>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</si>
  <si>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</si>
  <si>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</si>
  <si>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</si>
  <si>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</si>
  <si>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</si>
  <si>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</si>
  <si>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</si>
  <si>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</si>
  <si>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</si>
  <si>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</si>
  <si>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</si>
  <si>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</si>
  <si>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</si>
  <si>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</si>
  <si>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</si>
  <si>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</si>
  <si>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</si>
  <si>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</si>
  <si>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</si>
  <si>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</si>
  <si>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</si>
  <si>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</si>
  <si>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</si>
  <si>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</si>
  <si>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</si>
  <si>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</si>
  <si>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</si>
  <si>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</si>
  <si>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</si>
  <si>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</si>
  <si>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</si>
  <si>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</si>
  <si>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</si>
  <si>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</si>
  <si>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</si>
  <si>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</si>
  <si>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</si>
  <si>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</si>
  <si>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</si>
  <si>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</si>
  <si>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</si>
  <si>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</si>
  <si>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</si>
  <si>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</si>
  <si>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</si>
  <si>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</si>
  <si>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</si>
  <si>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</si>
  <si>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</si>
  <si>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</si>
  <si>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</si>
  <si>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</si>
  <si>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</si>
  <si>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</si>
  <si>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</si>
  <si>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</si>
  <si>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</si>
  <si>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</si>
  <si>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</si>
  <si>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</si>
  <si>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</si>
  <si>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</si>
  <si>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</si>
  <si>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</si>
  <si>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</si>
  <si>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</si>
  <si>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</si>
  <si>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</si>
  <si>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</si>
  <si>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</si>
  <si>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</si>
  <si>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</si>
  <si>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</si>
  <si>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</si>
  <si>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</si>
  <si>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</si>
  <si>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</si>
  <si>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</si>
  <si>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</si>
  <si>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</si>
  <si>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</si>
  <si>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</si>
  <si>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ZZZZ</t>
  </si>
  <si>
    <t>EZZZZ</t>
  </si>
  <si>
    <t xml:space="preserve">Select your local authority's name from this list: </t>
  </si>
  <si>
    <t>Please enter your details after checking that you have selected the correct authority name</t>
  </si>
  <si>
    <t>Signing the Form</t>
  </si>
  <si>
    <t>EMPTY PROPERTY RELIEF</t>
  </si>
  <si>
    <t>b. The cost of small business rate relief for properties within the billing authority area</t>
  </si>
  <si>
    <t>Contact name</t>
  </si>
  <si>
    <t>Contact number</t>
  </si>
  <si>
    <t>Contact e-mail</t>
  </si>
  <si>
    <t>Dennis Herbert by email to nndr.statistics@communities.gsi.gov.uk</t>
  </si>
  <si>
    <t>DATE OF LATEST INFORMATION</t>
  </si>
  <si>
    <t>Date of latest information taken into account when calculating the figures on the supplementary form</t>
  </si>
  <si>
    <t>Completing the form</t>
  </si>
  <si>
    <t>2. There are three different type of input cells:</t>
  </si>
  <si>
    <t>Checking the Validation Sheet</t>
  </si>
  <si>
    <t>If you have any queries on completing the form please contact</t>
  </si>
  <si>
    <t>MANDATORY RELIEF</t>
  </si>
  <si>
    <t>i. those that are classed as "industrial property" above the exemption threshold</t>
  </si>
  <si>
    <t>ii. those that have "listed building status"</t>
  </si>
  <si>
    <t>iii. those that are "Community Amateur Sports Clubs"</t>
  </si>
  <si>
    <t>iv. those that are "charities"</t>
  </si>
  <si>
    <t>vi. those that are classed as "non-industrial" above the exemption threshold</t>
  </si>
  <si>
    <t>DISCRETIONARY RELIEF</t>
  </si>
  <si>
    <t>SMALL BUSINESS RATE RELIEF</t>
  </si>
  <si>
    <t>Partially occupied hereditaments</t>
  </si>
  <si>
    <t>Empty premises</t>
  </si>
  <si>
    <t>"New Empty" properties</t>
  </si>
  <si>
    <t>"Long term empty" properties</t>
  </si>
  <si>
    <t>"New Empty" Property Relief</t>
  </si>
  <si>
    <t>"Long Term Empty" Property Relief</t>
  </si>
  <si>
    <t>Notes :</t>
  </si>
  <si>
    <t>Billing authority</t>
  </si>
  <si>
    <t>Upper tier</t>
  </si>
  <si>
    <t>Fire</t>
  </si>
  <si>
    <t>Bath &amp; North East Somerset UA</t>
  </si>
  <si>
    <t>NA</t>
  </si>
  <si>
    <t>UA</t>
  </si>
  <si>
    <t>E6101</t>
  </si>
  <si>
    <t>Avon Fire Authority</t>
  </si>
  <si>
    <t>Bristol UA</t>
  </si>
  <si>
    <t>South Gloucestershire UA</t>
  </si>
  <si>
    <t>North Somerset UA</t>
  </si>
  <si>
    <t>Luton UA</t>
  </si>
  <si>
    <t>E6102</t>
  </si>
  <si>
    <t>Bedfordshire Fire Authority</t>
  </si>
  <si>
    <t>Bracknell Forest UA</t>
  </si>
  <si>
    <t>E6103</t>
  </si>
  <si>
    <t>Berkshire Fire Authority</t>
  </si>
  <si>
    <t>West Berkshire UA</t>
  </si>
  <si>
    <t>Reading UA</t>
  </si>
  <si>
    <t>Slough UA</t>
  </si>
  <si>
    <t>Windsor &amp; Maidenhead UA</t>
  </si>
  <si>
    <t>Wokingham UA</t>
  </si>
  <si>
    <t>Milton Keynes UA</t>
  </si>
  <si>
    <t>E6104</t>
  </si>
  <si>
    <t>Buckinghamshire Fire Authority</t>
  </si>
  <si>
    <t>E0421</t>
  </si>
  <si>
    <t>Buckinghamshire</t>
  </si>
  <si>
    <t>Peterborough UA</t>
  </si>
  <si>
    <t>E6105</t>
  </si>
  <si>
    <t>Cambridgeshire Fire Authority</t>
  </si>
  <si>
    <t>E0521</t>
  </si>
  <si>
    <t>Cambridgeshire</t>
  </si>
  <si>
    <t>Halton UA</t>
  </si>
  <si>
    <t>E6106</t>
  </si>
  <si>
    <t>Cheshire Fire Authority</t>
  </si>
  <si>
    <t>Warrington UA</t>
  </si>
  <si>
    <t>Cheshire West and Chester UA</t>
  </si>
  <si>
    <t>Hartlepool UA</t>
  </si>
  <si>
    <t>E6107</t>
  </si>
  <si>
    <t>Cleveland Fire Authority</t>
  </si>
  <si>
    <t>Middlesbrough UA</t>
  </si>
  <si>
    <t>Redcar &amp; Cleveland UA</t>
  </si>
  <si>
    <t>Stockton-on-Tees UA</t>
  </si>
  <si>
    <t>County</t>
  </si>
  <si>
    <t>E0920</t>
  </si>
  <si>
    <t>Cumbria</t>
  </si>
  <si>
    <t>Derby UA</t>
  </si>
  <si>
    <t>E6110</t>
  </si>
  <si>
    <t>Derbyshire Fire Authority</t>
  </si>
  <si>
    <t>E1021</t>
  </si>
  <si>
    <t>Derbyshire</t>
  </si>
  <si>
    <t xml:space="preserve">COLLECTABLE RATES </t>
  </si>
  <si>
    <t>Plymouth UA</t>
  </si>
  <si>
    <t>E6161</t>
  </si>
  <si>
    <t>Devon and Somerset Fire Authority</t>
  </si>
  <si>
    <t>Torbay UA</t>
  </si>
  <si>
    <t>E1121</t>
  </si>
  <si>
    <t>Devon</t>
  </si>
  <si>
    <t>Poole UA</t>
  </si>
  <si>
    <t>E6112</t>
  </si>
  <si>
    <t>Dorset Fire Authority</t>
  </si>
  <si>
    <t>Bournemouth UA</t>
  </si>
  <si>
    <t>E1221</t>
  </si>
  <si>
    <t>Dorset</t>
  </si>
  <si>
    <t>Weymouth &amp; Portland</t>
  </si>
  <si>
    <t>Darlington UA</t>
  </si>
  <si>
    <t>E6113</t>
  </si>
  <si>
    <t>Durham Fire Authority</t>
  </si>
  <si>
    <t>Brighton &amp; Hove UA</t>
  </si>
  <si>
    <t>E6114</t>
  </si>
  <si>
    <t>East Sussex Fire Authority</t>
  </si>
  <si>
    <t>E1421</t>
  </si>
  <si>
    <t>East Sussex</t>
  </si>
  <si>
    <t>Southend-on-Sea UA</t>
  </si>
  <si>
    <t>E6115</t>
  </si>
  <si>
    <t>Essex Fire Authority</t>
  </si>
  <si>
    <t>Thurrock UA</t>
  </si>
  <si>
    <t>E1521</t>
  </si>
  <si>
    <t>Essex</t>
  </si>
  <si>
    <t>E1620</t>
  </si>
  <si>
    <t>Name of Chief Financial Officer</t>
  </si>
  <si>
    <t xml:space="preserve">Date : </t>
  </si>
  <si>
    <t xml:space="preserve">or Section 151 Officer : </t>
  </si>
  <si>
    <t>Signature :</t>
  </si>
  <si>
    <t>Gloucestershire</t>
  </si>
  <si>
    <t>Portsmouth UA</t>
  </si>
  <si>
    <t>E6117</t>
  </si>
  <si>
    <t>Hampshire Fire Authority</t>
  </si>
  <si>
    <t>Southampton UA</t>
  </si>
  <si>
    <t>E1721</t>
  </si>
  <si>
    <t>Hampshire</t>
  </si>
  <si>
    <t>Herefordshire UA</t>
  </si>
  <si>
    <t>E6118</t>
  </si>
  <si>
    <t>Hereford and Worcester Fire Authority</t>
  </si>
  <si>
    <t>E1821</t>
  </si>
  <si>
    <t>Worcestershire</t>
  </si>
  <si>
    <t>E1920</t>
  </si>
  <si>
    <t>Hertfordshire</t>
  </si>
  <si>
    <t>East Riding of Yorkshire UA</t>
  </si>
  <si>
    <t>E6120</t>
  </si>
  <si>
    <t>Humberside Fire Authority</t>
  </si>
  <si>
    <t>Kingston-upon-Hull UA</t>
  </si>
  <si>
    <t>North East Lincolnshire UA</t>
  </si>
  <si>
    <t>North Lincolnshire UA</t>
  </si>
  <si>
    <t>Isle of Wight Council UA</t>
  </si>
  <si>
    <t>Medway UA</t>
  </si>
  <si>
    <t>E6122</t>
  </si>
  <si>
    <t>Kent Fire Authority</t>
  </si>
  <si>
    <t>E2221</t>
  </si>
  <si>
    <t>Kent</t>
  </si>
  <si>
    <t>Tonbridge &amp; Malling</t>
  </si>
  <si>
    <t>Blackburn with Darwen UA</t>
  </si>
  <si>
    <t>E6123</t>
  </si>
  <si>
    <t>Lancashire Fire Authority</t>
  </si>
  <si>
    <t>Blackpool UA</t>
  </si>
  <si>
    <t>E2321</t>
  </si>
  <si>
    <t>Lancashire</t>
  </si>
  <si>
    <t>Leicester UA</t>
  </si>
  <si>
    <t>E6124</t>
  </si>
  <si>
    <t>Leicestershire Fire Authority</t>
  </si>
  <si>
    <t>Rutland UA</t>
  </si>
  <si>
    <t>E2421</t>
  </si>
  <si>
    <t>Leicestershire</t>
  </si>
  <si>
    <t>Hinckley &amp; Bosworth</t>
  </si>
  <si>
    <t>Oadby &amp; Wigston</t>
  </si>
  <si>
    <t>E2520</t>
  </si>
  <si>
    <t>Lincolnshire</t>
  </si>
  <si>
    <t>E2620</t>
  </si>
  <si>
    <t>Norfolk</t>
  </si>
  <si>
    <t>King's Lynn &amp; West Norfolk</t>
  </si>
  <si>
    <t>York UA</t>
  </si>
  <si>
    <t>E6127</t>
  </si>
  <si>
    <t>North Yorkshire Fire Authority</t>
  </si>
  <si>
    <t>E2721</t>
  </si>
  <si>
    <t>North Yorkshire</t>
  </si>
  <si>
    <t>E2820</t>
  </si>
  <si>
    <t>Northamptonshire</t>
  </si>
  <si>
    <t>Nottingham UA</t>
  </si>
  <si>
    <t>E6130</t>
  </si>
  <si>
    <t>Nottinghamshire Fire Authority</t>
  </si>
  <si>
    <t>E3021</t>
  </si>
  <si>
    <t>Nottinghamshire</t>
  </si>
  <si>
    <t>Newark &amp; Sherwood</t>
  </si>
  <si>
    <t>E3120</t>
  </si>
  <si>
    <t>Oxfordshire</t>
  </si>
  <si>
    <t>Telford &amp; Wrekin UA</t>
  </si>
  <si>
    <t>E6132</t>
  </si>
  <si>
    <t>Shropshire Fire Authority</t>
  </si>
  <si>
    <t>E3320</t>
  </si>
  <si>
    <t>Somerset</t>
  </si>
  <si>
    <t>Stoke-on-Trent UA</t>
  </si>
  <si>
    <t>E6134</t>
  </si>
  <si>
    <t>Staffordshire Fire Authority</t>
  </si>
  <si>
    <t>E3421</t>
  </si>
  <si>
    <t>Staffordshire</t>
  </si>
  <si>
    <t>E3520</t>
  </si>
  <si>
    <t>Suffolk</t>
  </si>
  <si>
    <t>E3620</t>
  </si>
  <si>
    <t>Surrey</t>
  </si>
  <si>
    <t>Reigate &amp; Banstead</t>
  </si>
  <si>
    <t>E3720</t>
  </si>
  <si>
    <t>Warwickshire</t>
  </si>
  <si>
    <t xml:space="preserve">I confirm that the entries in this form are the best I can make on the information available to me and amounts are calculated in accordance with regulations made under Schedule 7B to the Local Government Act 1988. I also confirm that the authority has acted diligently in relation to the collection of non-domestic rates.
</t>
  </si>
  <si>
    <t>Nuneaton &amp; Bedworth</t>
  </si>
  <si>
    <t>E3820</t>
  </si>
  <si>
    <t>West Sussex</t>
  </si>
  <si>
    <t>Swindon UA</t>
  </si>
  <si>
    <t>E6139</t>
  </si>
  <si>
    <t>Wiltshire Fire Authority</t>
  </si>
  <si>
    <t>MD</t>
  </si>
  <si>
    <t>E6142</t>
  </si>
  <si>
    <t>Greater Manchester Fire</t>
  </si>
  <si>
    <t>E6143</t>
  </si>
  <si>
    <t>Merseyside Fire</t>
  </si>
  <si>
    <t>E6144</t>
  </si>
  <si>
    <t>South Yorkshire Fire</t>
  </si>
  <si>
    <t>E6145</t>
  </si>
  <si>
    <t>Tyne and Wear Fire</t>
  </si>
  <si>
    <t>E6146</t>
  </si>
  <si>
    <t>West Midlands Fire</t>
  </si>
  <si>
    <t>E6147</t>
  </si>
  <si>
    <t>West Yorkshire Fire</t>
  </si>
  <si>
    <t>E51np</t>
  </si>
  <si>
    <t>E5100</t>
  </si>
  <si>
    <t>Greater London Authority</t>
  </si>
  <si>
    <t>Hammersmith &amp; Fulham</t>
  </si>
  <si>
    <t>Kensington &amp; Chelsea</t>
  </si>
  <si>
    <t>Barking &amp; Dagenham</t>
  </si>
  <si>
    <t>Kingston-upon-Thames</t>
  </si>
  <si>
    <t>Richmond-upon-Thames</t>
  </si>
  <si>
    <t>£</t>
  </si>
  <si>
    <t>2.  Sums due to the authority</t>
  </si>
  <si>
    <t xml:space="preserve">3.  Sums due from the authority </t>
  </si>
  <si>
    <t>Authority Name</t>
  </si>
  <si>
    <t>E-code</t>
  </si>
  <si>
    <t>Local authority contact name</t>
  </si>
  <si>
    <t>Local authority contact number</t>
  </si>
  <si>
    <t>Local authority e-mail address</t>
  </si>
  <si>
    <t>Column 1</t>
  </si>
  <si>
    <t>Column 2</t>
  </si>
  <si>
    <t>Column 3</t>
  </si>
  <si>
    <t>Column 4</t>
  </si>
  <si>
    <t>Small Business Rate Relief</t>
  </si>
  <si>
    <t>Community Amateur Sports Clubs (CASCs)</t>
  </si>
  <si>
    <t>Non-profit making bodies</t>
  </si>
  <si>
    <t>Small rural businesses</t>
  </si>
  <si>
    <t>i)   the Secretary of State in accordance with Regulation 4 of the Non-Domestic Rating (Rates Retention) Regulations 2013;</t>
  </si>
  <si>
    <t>ii)  major precepting authorities in accordance with Regulations 5, 6 and 7; and to be</t>
  </si>
  <si>
    <t xml:space="preserve">iii) transferred by the billing authority from its Collection Fund to its General Fund, </t>
  </si>
  <si>
    <t>are set out below</t>
  </si>
  <si>
    <t>Total</t>
  </si>
  <si>
    <t xml:space="preserve"> </t>
  </si>
  <si>
    <t>TOTAL FOR THE YEAR</t>
  </si>
  <si>
    <t xml:space="preserve">NET RATES PAYABLE </t>
  </si>
  <si>
    <t>5.  Legal costs</t>
  </si>
  <si>
    <t>6.  Allowance for cost of collection</t>
  </si>
  <si>
    <t>4. Cost of collection formula</t>
  </si>
  <si>
    <t>SPECIAL AUTHORITY DEDUCTIONS</t>
  </si>
  <si>
    <t>Column 5</t>
  </si>
  <si>
    <t>4.  Estimated growth/decline in gross rates</t>
  </si>
  <si>
    <t>Charitable occupation</t>
  </si>
  <si>
    <t>Rural shops etc</t>
  </si>
  <si>
    <t>Rural rate relief</t>
  </si>
  <si>
    <t>Other ratepayers</t>
  </si>
  <si>
    <t>NATIONAL NON-DOMESTIC RATES RETURN - NNDR1</t>
  </si>
  <si>
    <t>of which:</t>
  </si>
  <si>
    <t>13. of which: relief on existing properties where a 2nd property is occupied</t>
  </si>
  <si>
    <t>1. Rateable Value at</t>
  </si>
  <si>
    <t>(LESS) LOSSES</t>
  </si>
  <si>
    <t xml:space="preserve">PART 4: ESTIMATED COLLECTION FUND BALANCE </t>
  </si>
  <si>
    <t xml:space="preserve">COLLECTIBLE RATES </t>
  </si>
  <si>
    <t xml:space="preserve">TRANSITIONAL PROTECTION PAYMENTS </t>
  </si>
  <si>
    <t xml:space="preserve">NON-DOMESTIC RATING INCOME </t>
  </si>
  <si>
    <t xml:space="preserve">DISREGARDED AMOUNTS </t>
  </si>
  <si>
    <t>4.  Net Rates payable less losses</t>
  </si>
  <si>
    <t>8.  Net cost of transitional arrangements</t>
  </si>
  <si>
    <t>10. Forecast net cost of transitional arrangements</t>
  </si>
  <si>
    <t>11. Sum due to/(from) authority</t>
  </si>
  <si>
    <t xml:space="preserve">1.  Net amount receivable from rate payers after taking account of transitional adjustments, empty property rate, mandatory and discretionary reliefs and accounting adjustments </t>
  </si>
  <si>
    <t xml:space="preserve">v. Relief to be given where the hereditament is empty and is not included in categories i to iv </t>
  </si>
  <si>
    <t>v. those where the hereditament is empty and not included in categories i to iv</t>
  </si>
  <si>
    <t xml:space="preserve">TOTAL:  </t>
  </si>
  <si>
    <t>1.  Sum payable by rate payers after taking account of transitional adjustments, empty property rate, mandatory and discretionary reliefs</t>
  </si>
  <si>
    <t>No.</t>
  </si>
  <si>
    <t>Local Authority</t>
  </si>
  <si>
    <t>Ecodes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</si>
  <si>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</si>
  <si>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</si>
  <si>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</si>
  <si>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</si>
  <si>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</si>
  <si>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</si>
  <si>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</si>
  <si>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</si>
  <si>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</si>
  <si>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</si>
  <si>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</si>
  <si>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</si>
  <si>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</si>
  <si>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</si>
  <si>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</si>
  <si>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</si>
  <si>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</si>
  <si>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</si>
  <si>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</si>
  <si>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</si>
  <si>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</si>
  <si>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</si>
  <si>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</si>
  <si>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</si>
  <si>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</si>
  <si>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</si>
  <si>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</si>
  <si>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</si>
  <si>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</si>
  <si>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</si>
  <si>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</si>
  <si>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</si>
  <si>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</si>
  <si>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</si>
  <si>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</si>
  <si>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</si>
  <si>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</si>
  <si>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</si>
  <si>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</si>
  <si>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</si>
  <si>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</si>
  <si>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</si>
  <si>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</si>
  <si>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</si>
  <si>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</si>
  <si>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</si>
  <si>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</si>
  <si>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</si>
  <si>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</si>
  <si>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</si>
  <si>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</si>
  <si>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</si>
  <si>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</si>
  <si>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</si>
  <si>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</si>
  <si>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</si>
  <si>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</si>
  <si>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</si>
  <si>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</si>
  <si>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</si>
  <si>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</si>
  <si>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</si>
  <si>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</si>
  <si>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</si>
  <si>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</si>
  <si>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</si>
  <si>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</si>
  <si>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</si>
  <si>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</si>
  <si>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</si>
  <si>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</si>
  <si>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</si>
  <si>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</si>
  <si>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</si>
  <si>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</si>
  <si>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</si>
  <si>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</si>
  <si>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</si>
  <si>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</si>
  <si>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</si>
  <si>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</si>
  <si>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</si>
  <si>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</si>
  <si>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</si>
  <si>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</si>
  <si>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</si>
  <si>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</si>
  <si>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</si>
  <si>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</si>
  <si>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</si>
  <si>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</si>
  <si>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</si>
  <si>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</si>
  <si>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</si>
  <si>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</si>
  <si>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</si>
  <si>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</si>
  <si>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</si>
  <si>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</si>
  <si>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</si>
  <si>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</si>
  <si>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</si>
  <si>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</si>
  <si>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</si>
  <si>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</si>
  <si>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</si>
  <si>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</si>
  <si>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</si>
  <si>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</si>
  <si>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</si>
  <si>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</si>
  <si>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</si>
  <si>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</si>
  <si>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</si>
  <si>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</si>
  <si>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</si>
  <si>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</si>
  <si>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</si>
  <si>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</si>
  <si>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</si>
  <si>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</si>
  <si>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2015-16 Multiplier Cap</t>
  </si>
  <si>
    <t>BA Area (exc. Designated areas)</t>
  </si>
  <si>
    <t>Error checking</t>
  </si>
  <si>
    <t>Designated
areas</t>
  </si>
  <si>
    <t>Data</t>
  </si>
  <si>
    <t>Parameters</t>
  </si>
  <si>
    <t>Change</t>
  </si>
  <si>
    <t>Complete this column</t>
  </si>
  <si>
    <t>Do not complete this column</t>
  </si>
  <si>
    <t>Sheffield City region</t>
  </si>
  <si>
    <t>Enterprise Area</t>
  </si>
  <si>
    <t>West of England</t>
  </si>
  <si>
    <t>Notts Broxtowe</t>
  </si>
  <si>
    <t>Sheffield City Region</t>
  </si>
  <si>
    <t>NewQuay Aerohub</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</si>
  <si>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</si>
  <si>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</si>
  <si>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</si>
  <si>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</si>
  <si>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</si>
  <si>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</si>
  <si>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</si>
  <si>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</si>
  <si>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</si>
  <si>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</si>
  <si>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</si>
  <si>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</si>
  <si>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</si>
  <si>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</si>
  <si>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Manchester Airport City</t>
  </si>
  <si>
    <t>NE Newcastle</t>
  </si>
  <si>
    <t>Royal Docks</t>
  </si>
  <si>
    <t>North East</t>
  </si>
  <si>
    <t>Waterside</t>
  </si>
  <si>
    <t xml:space="preserve">North East </t>
  </si>
  <si>
    <t>Nottingham City</t>
  </si>
  <si>
    <t>Development  Area</t>
  </si>
  <si>
    <t>Black Country</t>
  </si>
  <si>
    <t>Science Vale UK</t>
  </si>
  <si>
    <t>10. sums retained by billing authority</t>
  </si>
  <si>
    <t>11. sums retained by major precepting authority</t>
  </si>
  <si>
    <t>12.  Line 1 plus line 2, minus lines 3 and 6 - 9</t>
  </si>
  <si>
    <t>Yes</t>
  </si>
  <si>
    <t>Names of Designated Areas</t>
  </si>
  <si>
    <t>Check total RV</t>
  </si>
  <si>
    <t>Actual</t>
  </si>
  <si>
    <t>Test</t>
  </si>
  <si>
    <t>Cost of CASC Relief</t>
  </si>
  <si>
    <t>Mandatory Reliefs</t>
  </si>
  <si>
    <t>Discretionary Reliefs</t>
  </si>
  <si>
    <t>Cost of non-profit bodies' relief</t>
  </si>
  <si>
    <t>Cost of rural shop relief</t>
  </si>
  <si>
    <t>Cost of other rural relief</t>
  </si>
  <si>
    <t>Cost of other discretionary relief</t>
  </si>
  <si>
    <t>Cost of Charity relief</t>
  </si>
  <si>
    <t>Cost of CASC relief</t>
  </si>
  <si>
    <t>Cost of Rural relief</t>
  </si>
  <si>
    <t>Cost of Partly Occupied relief</t>
  </si>
  <si>
    <t>Cost of Empty property relief</t>
  </si>
  <si>
    <t>Validation Checks</t>
  </si>
  <si>
    <t>PART 1: NUMBERS OF HEREDITAMENTS GRANTED RELIEF AS AT 31 December 2014*</t>
  </si>
  <si>
    <t xml:space="preserve">     (+ = increase, - = decrease)</t>
  </si>
  <si>
    <t>6.  Revenue foregone because increases in rates have been deferred (Show as -ve)</t>
  </si>
  <si>
    <t>25.  Changes as a result of estimated growth/decline in unoccupied property 'relief'
(+ = decline, - = increase)</t>
  </si>
  <si>
    <t>14. Additional yield from the small business supplement (Show as +ve)</t>
  </si>
  <si>
    <t>33. Relief given to Case A hereditaments</t>
  </si>
  <si>
    <t>34. Relief given to Case B hereditaments</t>
  </si>
  <si>
    <t>36.  Changes as a result of estimated growth/decline in discretionary relief
(+ = decline, - = increase)</t>
  </si>
  <si>
    <t>This page is for information only; please do not amend any of the figures</t>
  </si>
  <si>
    <t>Birmingham City Centre</t>
  </si>
  <si>
    <t>9.  Amounts retained in respect of Renewable Energy Schemes
(See Note B)</t>
  </si>
  <si>
    <t>Error
checking</t>
  </si>
  <si>
    <t>New empty properties</t>
  </si>
  <si>
    <t>Long term empties</t>
  </si>
  <si>
    <t>n/a</t>
  </si>
  <si>
    <t>Other checks</t>
  </si>
  <si>
    <t>7.  Additional income received because reductions in rates have been deferred
(Show as +ve)</t>
  </si>
  <si>
    <t>20. Changes as a result of estimated growth/decline in mandatory relief
(+ = decline, - = increase)</t>
  </si>
  <si>
    <t>Entering data</t>
  </si>
  <si>
    <t>Energy (Pt 1)</t>
  </si>
  <si>
    <t>Relief given to Case A hereditaments</t>
  </si>
  <si>
    <t>Relief given to Case B hereditaments</t>
  </si>
  <si>
    <t>Cost SBR relief</t>
  </si>
  <si>
    <t>Class A hereditaments</t>
  </si>
  <si>
    <t>Class B hereditaments</t>
  </si>
  <si>
    <t>Net rates payable</t>
  </si>
  <si>
    <t>Charity relief</t>
  </si>
  <si>
    <t>CASC relief</t>
  </si>
  <si>
    <t>Rural shop relief</t>
  </si>
  <si>
    <t>Partly Occupied relief</t>
  </si>
  <si>
    <t>Empty relief</t>
  </si>
  <si>
    <t>Non-profit bodies' relief</t>
  </si>
  <si>
    <t>CASC Relief</t>
  </si>
  <si>
    <t>Other rural relief</t>
  </si>
  <si>
    <t>Enterprise granted relief</t>
  </si>
  <si>
    <t>Local discount relief</t>
  </si>
  <si>
    <t>DISCRETIONARY RELIEF FUNDED THROUGH SECTION 31 GRANT</t>
  </si>
  <si>
    <t>Supplementary data - validation checks</t>
  </si>
  <si>
    <t>SBBR - getting a discount</t>
  </si>
  <si>
    <t>SBBR - just lower multiplier</t>
  </si>
  <si>
    <t>Number of hereditaments</t>
  </si>
  <si>
    <t>SBBR - contributing</t>
  </si>
  <si>
    <t>Number hereditaments in tests 13, 14 &amp; 17 above compared to total number of hereditaments</t>
  </si>
  <si>
    <t>Total
Hereds</t>
  </si>
  <si>
    <t>Hereds included in lines
13, 14 &amp; 17 above</t>
  </si>
  <si>
    <t>Please provide any further comments below</t>
  </si>
  <si>
    <t>PART 3: COLLECTABLE RATES AND DISREGARDED AMOUNTS</t>
  </si>
  <si>
    <t>All figures must be entered in whole £</t>
  </si>
  <si>
    <r>
      <t>9</t>
    </r>
    <r>
      <rPr>
        <sz val="12"/>
        <color indexed="10"/>
        <rFont val="Arial"/>
        <family val="2"/>
      </rPr>
      <t xml:space="preserve">. </t>
    </r>
    <r>
      <rPr>
        <sz val="12"/>
        <rFont val="Arial"/>
        <family val="2"/>
      </rPr>
      <t>Changes as a result of estimated growth / decline in cost of transitional arrangements 
(+ = decline, - = increase)</t>
    </r>
  </si>
  <si>
    <t>MANDATORY RELIEFS (See Note G) (All data should be entered as -ve unless specified otherwise)</t>
  </si>
  <si>
    <t>GROSS RATES PAYABLE
(All data should be entered as +ve unless specified otherwise)</t>
  </si>
  <si>
    <t>UNOCCUPIED PROPERTY (See Note H) (All data should be entered as -ve unless specified otherwise)</t>
  </si>
  <si>
    <t>DISCRETIONARY RELIEFS (See Note J) (All data should be entered as -ve unless specified otherwise)</t>
  </si>
  <si>
    <t>DISCRETIONARY RELIEFS FUNDED THROUGH SECTION 31 GRANT
(See Note K) (All data should be entered as -ve unless specified otherwise)</t>
  </si>
  <si>
    <t xml:space="preserve">Checked by Chief Financial / Section 151 Officer : </t>
  </si>
  <si>
    <t>Baseline figures for Designated Areas</t>
  </si>
  <si>
    <t>Upper tier = UA, MD or GLA</t>
  </si>
  <si>
    <t>Manchester City Airport</t>
  </si>
  <si>
    <t>Infinity Park</t>
  </si>
  <si>
    <t>Please comment below where required</t>
  </si>
  <si>
    <t>2016-17</t>
  </si>
  <si>
    <t>BUSINESS RATES CREDITS AND CHARGES</t>
  </si>
  <si>
    <t xml:space="preserve">OTHER RATES RETENTION SCHEME CHARGES </t>
  </si>
  <si>
    <t>DA?</t>
  </si>
  <si>
    <t>The note NNDR1 Validation Checks 2016-17  provides further details on the validations we carry out.   Please consult this when completing this validation sheet</t>
  </si>
  <si>
    <t xml:space="preserve">4.  Where possible, you will be prevented from entering data with the wrong sign (+ve when it should be -ve or vice versa). </t>
  </si>
  <si>
    <t xml:space="preserve">   </t>
  </si>
  <si>
    <t>Hide this column</t>
  </si>
  <si>
    <t xml:space="preserve">OTHER RATES RETENTION SCHEME CREDITS </t>
  </si>
  <si>
    <t>Linking billing authorities with their precepting authorities and their proportional shares</t>
  </si>
  <si>
    <t>Has a Designated Area?</t>
  </si>
  <si>
    <t>Testing</t>
  </si>
  <si>
    <t>nndr.statistics@communities.gsi.gov.uk</t>
  </si>
  <si>
    <r>
      <t xml:space="preserve">The signed copy should be forwarded as a pdf document by </t>
    </r>
    <r>
      <rPr>
        <b/>
        <u/>
        <sz val="14"/>
        <rFont val="Arial"/>
        <family val="2"/>
      </rPr>
      <t>emai</t>
    </r>
    <r>
      <rPr>
        <b/>
        <sz val="14"/>
        <rFont val="Arial"/>
        <family val="2"/>
      </rPr>
      <t xml:space="preserve">l to Dennis Herbert at the Department for Communities and Local Government using the email address above. NB We require just </t>
    </r>
    <r>
      <rPr>
        <b/>
        <u/>
        <sz val="14"/>
        <rFont val="Arial"/>
        <family val="2"/>
      </rPr>
      <t>one</t>
    </r>
    <r>
      <rPr>
        <b/>
        <sz val="14"/>
        <rFont val="Arial"/>
        <family val="2"/>
      </rPr>
      <t xml:space="preserve"> copy of a signed form.</t>
    </r>
  </si>
  <si>
    <t>Updates</t>
  </si>
  <si>
    <t>In addition areas of the form are greyed out - especially for those authorities that do not have designated areas.  Please do not enter data in these areas as this will cause delay as we will have to ask you to complete a revised form.</t>
  </si>
  <si>
    <t>The Total column is greened out - there is no need to enter data in any of these cells.</t>
  </si>
  <si>
    <t>* White background, green border - These cells are information cells and have the appropriate formula in them.</t>
  </si>
  <si>
    <t>1. The form can be set up for each individual local authority by selecting the appropriate authority name from the list. The example shows the local authority ZZZZ.  Once a local authority name is selected the spreadsheet will automatically complete the data for the white cells with a blue border.</t>
  </si>
  <si>
    <t>These instructions highlight the special features of the form and should be read in conjunction with the
Guidance Notes and Validation notes.</t>
  </si>
  <si>
    <t xml:space="preserve">Please remember that a copy of this form, signed by your Chief Financial Officer / Section 151 officer should also be sent to your relevant Precepting Authorities, and Pool Leads (if applicable). </t>
  </si>
  <si>
    <t>All figures should be entered in whole £</t>
  </si>
  <si>
    <t>Please e-mail to : nndr.statistics@communities.gsi.gov.uk</t>
  </si>
  <si>
    <t>NATIONAL NON-DOMESTIC RATES RETURN</t>
  </si>
  <si>
    <t>We will use this area to list any updates to the form in the future if required</t>
  </si>
  <si>
    <r>
      <t xml:space="preserve">3.  </t>
    </r>
    <r>
      <rPr>
        <u/>
        <sz val="14"/>
        <rFont val="Arial"/>
        <family val="2"/>
      </rPr>
      <t>All</t>
    </r>
    <r>
      <rPr>
        <sz val="14"/>
        <rFont val="Arial"/>
        <family val="2"/>
      </rPr>
      <t xml:space="preserve"> values in the form should be entered in whole £.  Except for part 1 of the form, </t>
    </r>
    <r>
      <rPr>
        <b/>
        <sz val="14"/>
        <rFont val="Arial"/>
        <family val="2"/>
      </rPr>
      <t>receipts</t>
    </r>
    <r>
      <rPr>
        <sz val="14"/>
        <rFont val="Arial"/>
        <family val="2"/>
      </rPr>
      <t xml:space="preserve"> (eg sums due to the billing authority from ratepayers, or central government) should always be entered as </t>
    </r>
    <r>
      <rPr>
        <b/>
        <sz val="14"/>
        <rFont val="Arial"/>
        <family val="2"/>
      </rPr>
      <t>positive numbers</t>
    </r>
    <r>
      <rPr>
        <sz val="14"/>
        <rFont val="Arial"/>
        <family val="2"/>
      </rPr>
      <t xml:space="preserve">.  </t>
    </r>
    <r>
      <rPr>
        <b/>
        <sz val="14"/>
        <rFont val="Arial"/>
        <family val="2"/>
      </rPr>
      <t>Payments from the authority, or amounts foregone</t>
    </r>
    <r>
      <rPr>
        <sz val="14"/>
        <rFont val="Arial"/>
        <family val="2"/>
      </rPr>
      <t xml:space="preserve"> (eg reliefs given to ratepayers) should always be entered as </t>
    </r>
    <r>
      <rPr>
        <b/>
        <sz val="14"/>
        <rFont val="Arial"/>
        <family val="2"/>
      </rPr>
      <t>negative numbers</t>
    </r>
    <r>
      <rPr>
        <sz val="14"/>
        <rFont val="Arial"/>
        <family val="2"/>
      </rPr>
      <t>.</t>
    </r>
  </si>
  <si>
    <r>
      <t>6.  When the data have been checked and verified please email the complete file to</t>
    </r>
    <r>
      <rPr>
        <sz val="14"/>
        <color indexed="12"/>
        <rFont val="Arial"/>
        <family val="2"/>
      </rPr>
      <t xml:space="preserve"> nndr.statistics@communities.gsi.gov.uk </t>
    </r>
  </si>
  <si>
    <t>7. Print a copy of the form for signing by your Chief Financial / Section 151 Officer.  The form can be printed by using the defined print area.</t>
  </si>
  <si>
    <t>8.  A copy of the form should also be sent to your NNDR contact at all your major precepting authorities.</t>
  </si>
  <si>
    <t xml:space="preserve">9.  If you experience any problems using the form please email </t>
  </si>
  <si>
    <t>LA_Code</t>
  </si>
  <si>
    <t>Fin_Year</t>
  </si>
  <si>
    <t>Row_No</t>
  </si>
  <si>
    <t>Col_No</t>
  </si>
  <si>
    <t>Amount</t>
  </si>
  <si>
    <t>Notes</t>
  </si>
  <si>
    <t>Allowance for cost of
collection for 2016-17</t>
  </si>
  <si>
    <t>Aggregate rateable value on rating list on September 2015</t>
  </si>
  <si>
    <t>Number of hereditaments - as at 30 September 2015</t>
  </si>
  <si>
    <t>Data taken from NNDR1 2015-16</t>
  </si>
  <si>
    <t>Data taken from NNDR1(Supplementary) 2015-16</t>
  </si>
  <si>
    <t>VOA data</t>
  </si>
  <si>
    <t>Estimated sums due from Government via Section 31 grant, to compensate authorities for the cost of changes to the business rates system announced 
in the 2013, 2014 &amp; 2015 Autumn Statements</t>
  </si>
  <si>
    <t>3. Sums written off in excess of the allowance for non-collection</t>
  </si>
  <si>
    <t>4. Changes to the allowance for non-collection</t>
  </si>
  <si>
    <t xml:space="preserve">5. Amounts charged against the provision for appeals following RV list changes </t>
  </si>
  <si>
    <t>6. Changes to the provision for appeals</t>
  </si>
  <si>
    <t>7. Total business rates credits and charges (Total lines 2 to 6)</t>
  </si>
  <si>
    <t xml:space="preserve">9.  Transfers/payments to the Collection Fund for end-year reconciliations </t>
  </si>
  <si>
    <r>
      <t xml:space="preserve">11.  Total Other Credits </t>
    </r>
    <r>
      <rPr>
        <sz val="12"/>
        <rFont val="Arial"/>
        <family val="2"/>
      </rPr>
      <t>(Total lines 8 to 10)</t>
    </r>
  </si>
  <si>
    <t xml:space="preserve">14  Payments made, or to be made to, major precepting authorities in respect of business </t>
  </si>
  <si>
    <t xml:space="preserve">15. Transfers made, or to be made, to the billing authority's General Fund in respect of business rates income in 2015-16 </t>
  </si>
  <si>
    <t xml:space="preserve">16.  Transfers made, or to be made, to the billing authority's General Fund; and payments made, </t>
  </si>
  <si>
    <t>17. Transfers/payments from the Collection Fund for end-year reconciliations</t>
  </si>
  <si>
    <r>
      <t xml:space="preserve">19.  Total Other Charges </t>
    </r>
    <r>
      <rPr>
        <sz val="12"/>
        <rFont val="Arial"/>
        <family val="2"/>
      </rPr>
      <t>(Total lines 12 to 18)</t>
    </r>
  </si>
  <si>
    <t>15. Net cost of small business rate relief (line 12 + line 14)</t>
  </si>
  <si>
    <t>Additional yield to finance SBRR</t>
  </si>
  <si>
    <t>Net cost of SBRR</t>
  </si>
  <si>
    <t>Forecast gross rates payable in 2015-16</t>
  </si>
  <si>
    <t>Forecast of relief to be provided in 2015-16 (SBR)</t>
  </si>
  <si>
    <t>Additional yield from the small business supplement</t>
  </si>
  <si>
    <t>Net cost of small business rate relief (line 12-line 14)</t>
  </si>
  <si>
    <t>Forecast of net rates payable by rate payers after taking account of transitional adjustments</t>
  </si>
  <si>
    <t xml:space="preserve">Estimated repayments in respect of 2015-16 rates payable </t>
  </si>
  <si>
    <t>Mandatory Relief for community amateur sports clubs 31-12-14</t>
  </si>
  <si>
    <t>Mandatory Relief for rural general stores etc 31-12-14</t>
  </si>
  <si>
    <t>Mandatory Relief for partly occupied premises 31-12-14</t>
  </si>
  <si>
    <t>Mandatory Relief for empty premises 31-12-14</t>
  </si>
  <si>
    <t>Discretionary Relief for charitable occupation 31-12-14</t>
  </si>
  <si>
    <t>Discretionary Relief for non profit making bodies 31-12-14</t>
  </si>
  <si>
    <t>Discretionary Relief for community amateur sports clubs 31-12-14</t>
  </si>
  <si>
    <t>Discretionary Relief for rural shops 31-12-14</t>
  </si>
  <si>
    <t>Discretionary Relief for other small rural businesses 31-12-14</t>
  </si>
  <si>
    <t>Discretionary Relief for Enterprise Zones granted discounts 31-12-14</t>
  </si>
  <si>
    <t>Discretionary Relief Subject to S47 local discount 31-12-14</t>
  </si>
  <si>
    <t>SBR  relief scheme by paying the additional supplement as at 31-12-14</t>
  </si>
  <si>
    <t>Discount from  SBR relief as at  31-12-14</t>
  </si>
  <si>
    <t>i. RV between £0 and £6000 that will receive the 50% discount</t>
  </si>
  <si>
    <t>ii. RV between £6001 and £12000 receive the discount on a sliding scale</t>
  </si>
  <si>
    <t>New Anglia Enterprise Zone</t>
  </si>
  <si>
    <t>Carlisle Kingsmoor Park EZ</t>
  </si>
  <si>
    <t xml:space="preserve">Cheshire Science Corridor EZ </t>
  </si>
  <si>
    <t>Aerohub+</t>
  </si>
  <si>
    <t>Tees Valley EZ Growth Extension</t>
  </si>
  <si>
    <t xml:space="preserve">Humber EZ application </t>
  </si>
  <si>
    <t>Luton Airport Enterprise Zone</t>
  </si>
  <si>
    <t>Greater Manchester Life Science</t>
  </si>
  <si>
    <t>Ceramics Valley</t>
  </si>
  <si>
    <t>Didcot Growth Accelerator Enterprise Zone</t>
  </si>
  <si>
    <r>
      <t xml:space="preserve">* White, Black Border - these are blank for new data - Please ensure </t>
    </r>
    <r>
      <rPr>
        <i/>
        <u/>
        <sz val="14"/>
        <rFont val="Arial"/>
        <family val="2"/>
      </rPr>
      <t>all</t>
    </r>
    <r>
      <rPr>
        <i/>
        <sz val="14"/>
        <rFont val="Arial"/>
        <family val="2"/>
      </rPr>
      <t xml:space="preserve"> white cells are filled before submitting the form including entering zeroes where appropriate.</t>
    </r>
  </si>
  <si>
    <r>
      <t>NB</t>
    </r>
    <r>
      <rPr>
        <sz val="12"/>
        <rFont val="Arial"/>
        <family val="2"/>
      </rPr>
      <t xml:space="preserve"> To determine the amount of S31 grant due to it, the authority will have to add / deduct from the amount shown in line 32, a sum to reflect the adjustment to tariffs / top-ups in respect of the multiplier cap (See notes for Line 32)</t>
    </r>
  </si>
  <si>
    <t>Forecast of relief to be provided in 2015-16
(Small rural businesses)</t>
  </si>
  <si>
    <t>Forecast of relief to be provided in 2015-16
(Other ratepayers)</t>
  </si>
  <si>
    <t>Forecast of relief to be provided in 2015-16
(New Empty properties)</t>
  </si>
  <si>
    <t>Forecast of relief to be provided in 2015-16
(Long term empty properties)</t>
  </si>
  <si>
    <t>Forecast of relief to be provided in 2015-16
(Retail relief)</t>
  </si>
  <si>
    <t>Forecast of relief to be provided in 2015-16
(Rural shops)</t>
  </si>
  <si>
    <t>Forecast of relief to be provided in 2015-16
(CASCs)</t>
  </si>
  <si>
    <t>Forecast of relief to be provided in 2015-16 
(Non-profit making bodies)</t>
  </si>
  <si>
    <t>Forecast of relief to be provided in 2015-16
(Charitable occupation)</t>
  </si>
  <si>
    <t>Forecast of relief to be provided in 2015-16
(Empty premises)</t>
  </si>
  <si>
    <t>Forecast of relief to be provided in 2015-16
(Partially occupied)</t>
  </si>
  <si>
    <t>Forecast of relief to be provided in 2015-16
(Rural rate)</t>
  </si>
  <si>
    <t>Paying SBR multiplier and not estimated to receive a discount
31-12-14</t>
  </si>
  <si>
    <t>Mandatory Relief for charitable occupation
31-12-14</t>
  </si>
  <si>
    <t>Cambridge Compass</t>
  </si>
  <si>
    <t>Hillhouse Chemicals and Energy Enterprise Zone</t>
  </si>
  <si>
    <t>Supplementary_Information</t>
  </si>
  <si>
    <t>Part_1</t>
  </si>
  <si>
    <t>Part_2</t>
  </si>
  <si>
    <t>Part_3</t>
  </si>
  <si>
    <t>Part_4</t>
  </si>
  <si>
    <t>Ver</t>
  </si>
  <si>
    <t xml:space="preserve">Ver </t>
  </si>
  <si>
    <t xml:space="preserve"> * White background, blue border - actual data entered by the Department for Communities and Local Government into these cells. </t>
  </si>
  <si>
    <t>Notes_1</t>
  </si>
  <si>
    <t>Val_Contact_Name</t>
  </si>
  <si>
    <t>Val_Contact_Email</t>
  </si>
  <si>
    <t>Val_Contact_Number</t>
  </si>
  <si>
    <t>Table_Name</t>
  </si>
  <si>
    <t>New Designated Areas</t>
  </si>
  <si>
    <t>MIRA extension</t>
  </si>
  <si>
    <t>Humber EZ Application</t>
  </si>
  <si>
    <t>No</t>
  </si>
  <si>
    <t>Birmingham EZ Extension</t>
  </si>
  <si>
    <t>Infinity Park Extension</t>
  </si>
  <si>
    <t>Didcot Growth Accelerator</t>
  </si>
  <si>
    <t>LA_Name</t>
  </si>
  <si>
    <t>Email_1</t>
  </si>
  <si>
    <t>Contact_Name</t>
  </si>
  <si>
    <t>Email_2</t>
  </si>
  <si>
    <t>Contact_2</t>
  </si>
  <si>
    <t>sarah.sears@centralsussex.gov.uk</t>
  </si>
  <si>
    <t>Sarah Sears</t>
  </si>
  <si>
    <t xml:space="preserve">louisec@carlisle.gov.uk </t>
  </si>
  <si>
    <t>Louise Cuthbert</t>
  </si>
  <si>
    <t>neil.bradbury@ambervalley.gov.uk</t>
  </si>
  <si>
    <t>Neil Bradbury</t>
  </si>
  <si>
    <t>iain.bell@arun.gov.uk</t>
  </si>
  <si>
    <t>Iain Bell</t>
  </si>
  <si>
    <t>revenuessupport@ashfield-dc.gov.uk</t>
  </si>
  <si>
    <t>Mrs S Scoffield</t>
  </si>
  <si>
    <t>revenues@ashford.gov.uk</t>
  </si>
  <si>
    <t>Benita Harvey</t>
  </si>
  <si>
    <t>b.harvey@ashford.gov.uk</t>
  </si>
  <si>
    <t>gwright@aylesburyvaledc.gov.uk</t>
  </si>
  <si>
    <t>Gary Wright</t>
  </si>
  <si>
    <t>andrew.wilcock@ipswich.gov.uk</t>
  </si>
  <si>
    <t>Andrew Wilcock</t>
  </si>
  <si>
    <t>Peter.Cosgrove@ElevateEastLondon.co.uk</t>
  </si>
  <si>
    <t>Mark Wilson</t>
  </si>
  <si>
    <t>jonathan.wooldridge@barnet.gov.uk</t>
  </si>
  <si>
    <t>Jonathan Wooldridge</t>
  </si>
  <si>
    <t>DebbieCooper@barnsley.gov.uk</t>
  </si>
  <si>
    <t>Debbie Cooper</t>
  </si>
  <si>
    <t>karintomlinson@liberata.com</t>
  </si>
  <si>
    <t>Mrs Karin Tomlinson</t>
  </si>
  <si>
    <t>RevenuesSupportServices@Basildon.gov.uk</t>
  </si>
  <si>
    <t>Systems &amp; Technical Team</t>
  </si>
  <si>
    <t xml:space="preserve">businessrates@basildon.gov.uk </t>
  </si>
  <si>
    <t>paul.carver@basingstoke.gov.uk</t>
  </si>
  <si>
    <t>Paul Carver</t>
  </si>
  <si>
    <t>andrew.bayliss@bassetlaw.gov.uk</t>
  </si>
  <si>
    <t>Andrew Bayliss</t>
  </si>
  <si>
    <t>kerry.wheatley@bassetlaw.gov.uk</t>
  </si>
  <si>
    <t>Kerry Wheatley</t>
  </si>
  <si>
    <t>01909 535592</t>
  </si>
  <si>
    <t>ian_savigar@bathnes.gov.uk</t>
  </si>
  <si>
    <t>Ian Savigar</t>
  </si>
  <si>
    <t>Mark_Angus@BATHNES.GOV.UK</t>
  </si>
  <si>
    <t>Mark Angus</t>
  </si>
  <si>
    <t>Gary Adams</t>
  </si>
  <si>
    <t>gary_adams@bathnes.gov.uk</t>
  </si>
  <si>
    <t>Bedford</t>
  </si>
  <si>
    <t>Debbie.Collins@bedford.gov.uk</t>
  </si>
  <si>
    <t>Debbie Collins</t>
  </si>
  <si>
    <t>kevin.yerrill@bedford.gov.uk</t>
  </si>
  <si>
    <t>Kevin Yerrill</t>
  </si>
  <si>
    <t>lesley.pine@bexley.gov.uk</t>
  </si>
  <si>
    <t>Lesley Pine</t>
  </si>
  <si>
    <t>Ian.Harris@birmingham.gov.uk</t>
  </si>
  <si>
    <t>Ian Harris</t>
  </si>
  <si>
    <t>skk@blaby.gov.uk</t>
  </si>
  <si>
    <t>Mrs Sarabjit K Khangura</t>
  </si>
  <si>
    <t>Sarabjit Khangura</t>
  </si>
  <si>
    <t>0116 272 7646</t>
  </si>
  <si>
    <t>Sarabjit.Khangura@blaby.gov.uk</t>
  </si>
  <si>
    <t>joanne.scott-kenyon@blackburn.gov.uk</t>
  </si>
  <si>
    <t>Joanne Scott-Kenyon</t>
  </si>
  <si>
    <t>jackie.walsh@blackburn.gov.uk</t>
  </si>
  <si>
    <t>Jackie Walsh</t>
  </si>
  <si>
    <t>Karen Moore</t>
  </si>
  <si>
    <t>karen.moore@blackburn.gov.uk</t>
  </si>
  <si>
    <t>Andrew.turpin@blackpool.gov.uk</t>
  </si>
  <si>
    <t>Andrew Turpin</t>
  </si>
  <si>
    <t>graeme.ruse@blackpool.gov.uk</t>
  </si>
  <si>
    <t>Graeme Ruse</t>
  </si>
  <si>
    <t>jane.lapins@bolsover.gov.uk</t>
  </si>
  <si>
    <t>Jane Lapins</t>
  </si>
  <si>
    <t>tony.glennon@bolton.gov.uk</t>
  </si>
  <si>
    <t>Tony Glennon</t>
  </si>
  <si>
    <t>David.Wingfield@bolton.gov.uk</t>
  </si>
  <si>
    <t>David Wingfield</t>
  </si>
  <si>
    <t>graham.cooper@boston.gov.uk</t>
  </si>
  <si>
    <t>Graham Cooper</t>
  </si>
  <si>
    <t>Kelly.clarke@boston.gov.uk</t>
  </si>
  <si>
    <t>Kelly Clarke</t>
  </si>
  <si>
    <t>01205 314323</t>
  </si>
  <si>
    <t>kelly.clarke@boston.gov.uk</t>
  </si>
  <si>
    <t>martin.andrews@bournemouth.gov.uk</t>
  </si>
  <si>
    <t>martin andrews</t>
  </si>
  <si>
    <t>revenue.services@bracknell-forest.gov.uk</t>
  </si>
  <si>
    <t>Brian Blackmun</t>
  </si>
  <si>
    <t>elizabeth.lavan@bradford.gov.uk</t>
  </si>
  <si>
    <t>Elizabeth Lavan</t>
  </si>
  <si>
    <t>nicri@braintree.gov.uk</t>
  </si>
  <si>
    <t>Nicola Ridgewell</t>
  </si>
  <si>
    <t>01376 551414 x 2961</t>
  </si>
  <si>
    <t>brian.cunningham@angliarevenues.gov.uk</t>
  </si>
  <si>
    <t>Brian Cunningham</t>
  </si>
  <si>
    <t>david.huberman@brent.gov.uk</t>
  </si>
  <si>
    <t>David Huberman</t>
  </si>
  <si>
    <t>rick.steels@brentwood.gov.uk</t>
  </si>
  <si>
    <t>Rick Steels</t>
  </si>
  <si>
    <t>christopher.leslie@brentwood.gov.uk</t>
  </si>
  <si>
    <t>Christopher Leslie</t>
  </si>
  <si>
    <t>Steve Leslie</t>
  </si>
  <si>
    <t>steve.leslie@brentwood.gov.uk</t>
  </si>
  <si>
    <t>heather.bentley@brighton-hove.gov.uk</t>
  </si>
  <si>
    <t>Heather Bentley</t>
  </si>
  <si>
    <t>01273 291244</t>
  </si>
  <si>
    <t>tony.whitlock@bristol.gov.uk</t>
  </si>
  <si>
    <t>Tony Whitlock</t>
  </si>
  <si>
    <t>simon.quilter@broadland.gov.uk</t>
  </si>
  <si>
    <t>Simon Quilter</t>
  </si>
  <si>
    <t>01603 430439</t>
  </si>
  <si>
    <t>pinny.borg@bromley.gov.uk</t>
  </si>
  <si>
    <t>Pinny Borg</t>
  </si>
  <si>
    <t>david.riley@redditchbc.gov.uk</t>
  </si>
  <si>
    <t>David Riley</t>
  </si>
  <si>
    <t>rebecca.keene@broxbourne.gov.uk</t>
  </si>
  <si>
    <t>Rebecca Keene</t>
  </si>
  <si>
    <t>anne.gradwell@broxtowe.gov.uk</t>
  </si>
  <si>
    <t>Anne Gradwell</t>
  </si>
  <si>
    <t>rob.westwood@broxtowe.gov.uk</t>
  </si>
  <si>
    <t>Rob Westwood</t>
  </si>
  <si>
    <t>0115 9173316</t>
  </si>
  <si>
    <t>phaywood@burnley.gov.uk</t>
  </si>
  <si>
    <t>Peter Haywood</t>
  </si>
  <si>
    <t>Nick Hardwick</t>
  </si>
  <si>
    <t>01282 477154</t>
  </si>
  <si>
    <t>nhardwick@burnley.gov.uk</t>
  </si>
  <si>
    <t>Claire.Jenkins@bury.gov.uk</t>
  </si>
  <si>
    <t>Claire Jenkins</t>
  </si>
  <si>
    <t>C.Smith@bury.gov.uk</t>
  </si>
  <si>
    <t>Cameron Smith</t>
  </si>
  <si>
    <t>tony.longworth@calderdale.gov.uk</t>
  </si>
  <si>
    <t>Tony Longworth</t>
  </si>
  <si>
    <t>kevin.jay@cambridge.gov.uk</t>
  </si>
  <si>
    <t>Julia Minns</t>
  </si>
  <si>
    <t>alison.cole@cambridge.gov.uk</t>
  </si>
  <si>
    <t>Alison Cole</t>
  </si>
  <si>
    <t>mark.tate@camden.gov.uk</t>
  </si>
  <si>
    <t>Mark Tate</t>
  </si>
  <si>
    <t>JCotterill@staffordbc.gov.uk</t>
  </si>
  <si>
    <t>Jane Cotterill</t>
  </si>
  <si>
    <t>lisa.fillery@canterbury.gov.uk</t>
  </si>
  <si>
    <t>Lisa Fillery</t>
  </si>
  <si>
    <t>louisec@carlisle.gov.uk</t>
  </si>
  <si>
    <t>gburns@castlepoint.gov.uk</t>
  </si>
  <si>
    <t>Gary Burns</t>
  </si>
  <si>
    <t>01268 882230</t>
  </si>
  <si>
    <t>gary.muskett@centralbedfordshire.gov.uk</t>
  </si>
  <si>
    <t>Gary Muskett</t>
  </si>
  <si>
    <t>peter.davies2@capita.co.uk</t>
  </si>
  <si>
    <t>Peter Davies</t>
  </si>
  <si>
    <t>Robert.Hawes@chelmsford.gov.uk</t>
  </si>
  <si>
    <t>Robert Hawes</t>
  </si>
  <si>
    <t>Paul.McMorris@chelmsford.gov.uk</t>
  </si>
  <si>
    <t>Paul McMorris</t>
  </si>
  <si>
    <t>Rob Hawes</t>
  </si>
  <si>
    <t>robert.hawes@chelmsford.gov.uk</t>
  </si>
  <si>
    <t>jayne.gilpin@cheltenham.gov.uk</t>
  </si>
  <si>
    <t>Jayne Gilpin</t>
  </si>
  <si>
    <t>Denise.Taylor@cherwell-dc.gov.uk</t>
  </si>
  <si>
    <t xml:space="preserve">Denise Taylor </t>
  </si>
  <si>
    <t>Cheshire East</t>
  </si>
  <si>
    <t>paul.manning@cheshireeast.gov.uk</t>
  </si>
  <si>
    <t>Paul Manning</t>
  </si>
  <si>
    <t>Natalie Richards</t>
  </si>
  <si>
    <t>Natalie.Richards@cheshireeast.gov.uk</t>
  </si>
  <si>
    <t>Cheshire West and Chester</t>
  </si>
  <si>
    <t>nick.joinson@cheshirewestandchester.gov.uk</t>
  </si>
  <si>
    <t>Nick Joinson</t>
  </si>
  <si>
    <t>Pam.Baranowski@cheshirewestandchester.gov.uk</t>
  </si>
  <si>
    <t>Pam Baranowski</t>
  </si>
  <si>
    <t>carolyn.szadura@chesterfield.gov.uk</t>
  </si>
  <si>
    <t>Carolyn Szadura</t>
  </si>
  <si>
    <t>cchristie@chichester.gov.uk</t>
  </si>
  <si>
    <t>Mrs Christine Christie</t>
  </si>
  <si>
    <t>ebowen@chiltern.gov.uk</t>
  </si>
  <si>
    <t>Edwin Bowen</t>
  </si>
  <si>
    <t>Mr Ed Bowen</t>
  </si>
  <si>
    <t>01494 732253</t>
  </si>
  <si>
    <t>glennis.brotherton@chorley.gov.uk</t>
  </si>
  <si>
    <t>Mrs Glennis Brotherton</t>
  </si>
  <si>
    <t>Julie.Riding@chorley.gov.uk</t>
  </si>
  <si>
    <t>Julie Riding</t>
  </si>
  <si>
    <t>ctowler@stourvalleypartnership.gcsx.gov.uk</t>
  </si>
  <si>
    <t>Chris Towler</t>
  </si>
  <si>
    <t>carla-maria.heath@cityoflondon.gov.uk</t>
  </si>
  <si>
    <t>Carla-Maria Heath</t>
  </si>
  <si>
    <t>samantha.preston@colchester.gov.uk</t>
  </si>
  <si>
    <t>Samantha Preston</t>
  </si>
  <si>
    <t>chris.malby@colchester.gov.uk</t>
  </si>
  <si>
    <t>Chris Malby</t>
  </si>
  <si>
    <t>aspedding@copeland.gov.uk</t>
  </si>
  <si>
    <t>Anne Spedding</t>
  </si>
  <si>
    <t>samantha.dickinson@corby.gov.uk</t>
  </si>
  <si>
    <t>Samantha Dickinson</t>
  </si>
  <si>
    <t>Cornwall</t>
  </si>
  <si>
    <t xml:space="preserve">mcaden@cornwall.gov.uk; </t>
  </si>
  <si>
    <t>Mcaden</t>
  </si>
  <si>
    <t>Chris.Hannaford@cornwall.gov.uk</t>
  </si>
  <si>
    <t>Chris Hannaford</t>
  </si>
  <si>
    <t>chris.kent@cotswold.gov.uk</t>
  </si>
  <si>
    <t>Chris Kent</t>
  </si>
  <si>
    <t>kath.leonard@westoxon.gov.uk</t>
  </si>
  <si>
    <t>Kath Leonard</t>
  </si>
  <si>
    <t>lindsey.hughes@coventry.gov.uk</t>
  </si>
  <si>
    <t>Lindsey Hughes</t>
  </si>
  <si>
    <t>mallack@cravendc.gov.uk</t>
  </si>
  <si>
    <t>vpaley@cravendc.gov.uk</t>
  </si>
  <si>
    <t>rates@crawley.gov.uk</t>
  </si>
  <si>
    <t>Malcolm Crane</t>
  </si>
  <si>
    <t>MR STUART KEAST</t>
  </si>
  <si>
    <t>01293 438615</t>
  </si>
  <si>
    <t>nigelmorse@croydon.gov.uk</t>
  </si>
  <si>
    <t>Nigel Morse</t>
  </si>
  <si>
    <t>katie.byles@croydon.gov.uk</t>
  </si>
  <si>
    <t>Katie Byles</t>
  </si>
  <si>
    <t>jake.seabourne@dacorum.gov.uk</t>
  </si>
  <si>
    <t>Jake Seabourne</t>
  </si>
  <si>
    <t>Anthony.Sandys@darlington.gov.uk</t>
  </si>
  <si>
    <t>Antony Sandys</t>
  </si>
  <si>
    <t>liz.dobinson@dartford.gov.uk</t>
  </si>
  <si>
    <t>Liz Dobinson</t>
  </si>
  <si>
    <t>Sarah.Page@sevenoaks.gov.uk</t>
  </si>
  <si>
    <t>Sarah Page</t>
  </si>
  <si>
    <t>rates@daventrydc.gov.uk</t>
  </si>
  <si>
    <t>Leon Spence</t>
  </si>
  <si>
    <t>PWheeler@daventrydc.gov.uk</t>
  </si>
  <si>
    <t>Pam Wheeler</t>
  </si>
  <si>
    <t>john.massey@derby.gcsx.gov.uk</t>
  </si>
  <si>
    <t>John Massey</t>
  </si>
  <si>
    <t>Steven.King@derbyshiredales.gov.uk</t>
  </si>
  <si>
    <t>Steven King</t>
  </si>
  <si>
    <t>Lisa.Rawson@doncaster.gcsx.gov.uk</t>
  </si>
  <si>
    <t>Lisa Rawson</t>
  </si>
  <si>
    <t>mandie.kerry@dover.gov.uk</t>
  </si>
  <si>
    <t>Mandie Kerry</t>
  </si>
  <si>
    <t>ian.wollaston@dudley.gov.uk</t>
  </si>
  <si>
    <t>Ian Wollaston</t>
  </si>
  <si>
    <t>james.croft@dudley.gov.uk</t>
  </si>
  <si>
    <t>James Croft</t>
  </si>
  <si>
    <t>Jeanette Guttridge</t>
  </si>
  <si>
    <t>Jeanette.Guttridge@dudley.gov.uk</t>
  </si>
  <si>
    <t>Durham</t>
  </si>
  <si>
    <t>brenda.rowell@durham.gov.uk</t>
  </si>
  <si>
    <t>Brenda Rowell</t>
  </si>
  <si>
    <t>michelle.waters@durham.gov.uk</t>
  </si>
  <si>
    <t>Michelle Waters</t>
  </si>
  <si>
    <t>Carol Taylor</t>
  </si>
  <si>
    <t>Carol.Taylor@durham.gov.uk</t>
  </si>
  <si>
    <t>GatesR@ealing.gov.uk</t>
  </si>
  <si>
    <t>Rowena Gates</t>
  </si>
  <si>
    <t>ljarrett@eastdevon.gov.uk</t>
  </si>
  <si>
    <t>Libby Jarrett</t>
  </si>
  <si>
    <t>revenue.services@eastdorset.gov.uk;</t>
  </si>
  <si>
    <t>J Hind</t>
  </si>
  <si>
    <t>brian.wood@easthants.gov.uk</t>
  </si>
  <si>
    <t>Brian Wood</t>
  </si>
  <si>
    <t>mike.ball@easthants.gov.uk</t>
  </si>
  <si>
    <t>Mike Ball</t>
  </si>
  <si>
    <t>Louise Bicknell</t>
  </si>
  <si>
    <t>01730 234146</t>
  </si>
  <si>
    <t>louise.bicknell@easthants.gov.uk</t>
  </si>
  <si>
    <t>su.tarran@hertspartnership-ala.gov.uk</t>
  </si>
  <si>
    <t>Su Tarran</t>
  </si>
  <si>
    <t>andy.hall@e-lindsey.gov.uk; ahall@sholland.gov.uk</t>
  </si>
  <si>
    <t>Andy Hall</t>
  </si>
  <si>
    <t>Sharon.Hammond@cpbs.com</t>
  </si>
  <si>
    <t>Sharon Hammond</t>
  </si>
  <si>
    <t>swadlow@east-northamptonshire.gov.uk</t>
  </si>
  <si>
    <t>Sue Wadlow</t>
  </si>
  <si>
    <t>sarah.sunderland@eastriding.gov.uk</t>
  </si>
  <si>
    <t>Sarah Sunderland</t>
  </si>
  <si>
    <t>sarah.richardson@eaststaffsbc.gov.uk</t>
  </si>
  <si>
    <t>Sarah Richardson</t>
  </si>
  <si>
    <t>Nick.Ducatel@eastbourne.gcsx.gov.uk</t>
  </si>
  <si>
    <t>Nick Ducatel</t>
  </si>
  <si>
    <t>loraine.radford@eastleigh.gov.uk</t>
  </si>
  <si>
    <t>Loraine Radford</t>
  </si>
  <si>
    <t>02380 688035</t>
  </si>
  <si>
    <t>ian.mallinson@eden.gov.uk</t>
  </si>
  <si>
    <t>Ian Mallinson</t>
  </si>
  <si>
    <t>tbatchelor@elmbridge.gov.uk</t>
  </si>
  <si>
    <t>Terry Batchelor</t>
  </si>
  <si>
    <t>kevin.hickford@enfield.gov.uk</t>
  </si>
  <si>
    <t>Kevin Hickford</t>
  </si>
  <si>
    <t>rpavey@eppingforestdc.gov.uk</t>
  </si>
  <si>
    <t>Rob Pavey</t>
  </si>
  <si>
    <t>jdoney@epsom-ewell.gov.uk</t>
  </si>
  <si>
    <t>Judith Doney</t>
  </si>
  <si>
    <t>Andy King</t>
  </si>
  <si>
    <t>01372 732243</t>
  </si>
  <si>
    <t>AKing@epsom-ewell.gov.uk</t>
  </si>
  <si>
    <t>simon.hamilton@erewash.gov.uk</t>
  </si>
  <si>
    <t>Simon Hamilton</t>
  </si>
  <si>
    <t>kevin.hughes@exeter.gov.uk</t>
  </si>
  <si>
    <t>Kevin Hughes</t>
  </si>
  <si>
    <t>acollier@fareham.gov.uk</t>
  </si>
  <si>
    <t>Adrian Collier</t>
  </si>
  <si>
    <t xml:space="preserve">djenkins@fareham.gov.uk </t>
  </si>
  <si>
    <t>D Jenkins</t>
  </si>
  <si>
    <t>L Wilcox</t>
  </si>
  <si>
    <t>lwilcox@fareham.gov.uk </t>
  </si>
  <si>
    <t>gkent@fenland.gov.uk</t>
  </si>
  <si>
    <t>Geoff Kent</t>
  </si>
  <si>
    <t>01842 756465</t>
  </si>
  <si>
    <t>ann.hyde@fdean.gov.uk</t>
  </si>
  <si>
    <t>Ann Hyde</t>
  </si>
  <si>
    <t>patrickscullion@gateshead.gov.uk</t>
  </si>
  <si>
    <t>Patrick Scullion</t>
  </si>
  <si>
    <t>duncan.adamson@gedling.gov.uk</t>
  </si>
  <si>
    <t>Duncan Adamson</t>
  </si>
  <si>
    <t>paulinew@gloucester.gov.uk</t>
  </si>
  <si>
    <t>Pauline Winters</t>
  </si>
  <si>
    <t>margaret.gibbins@gosport.gov.uk</t>
  </si>
  <si>
    <t>Margaret Gibbins</t>
  </si>
  <si>
    <t>localtaxation-supervisors@gosport.gov.uk</t>
  </si>
  <si>
    <t>hardip.dhaliwal@gravesham.gov.uk</t>
  </si>
  <si>
    <t>Hardip Dhaliwal</t>
  </si>
  <si>
    <t>seb@great-yarmouth.gov.uk</t>
  </si>
  <si>
    <t>Stuart Brabben</t>
  </si>
  <si>
    <t>richard.pulfer@royalgreenwich.gov.uk</t>
  </si>
  <si>
    <t>Richard Pulfer</t>
  </si>
  <si>
    <t>Trevor.Holt@royalgreenwich.gov.uk</t>
  </si>
  <si>
    <t>Trevor Holt</t>
  </si>
  <si>
    <t>belinda.hayden@guildford.gov.uk</t>
  </si>
  <si>
    <t>Belinda Hayden</t>
  </si>
  <si>
    <t>01483 444867</t>
  </si>
  <si>
    <t>kirstie.cameron@hackney.gov.uk</t>
  </si>
  <si>
    <t>Kirstie Cameron</t>
  </si>
  <si>
    <t>Eugene.Baptiste@Hackney.gov.uk</t>
  </si>
  <si>
    <t>Eugene Baptiste</t>
  </si>
  <si>
    <t>peter.mccann@halton.gov.uk</t>
  </si>
  <si>
    <t>Peter McCann</t>
  </si>
  <si>
    <t>ian.godfrey@hambleton.gov.uk</t>
  </si>
  <si>
    <t>Ian Godfrey</t>
  </si>
  <si>
    <t>steve.barrett@lbhf.gov.uk</t>
  </si>
  <si>
    <t>Steve Barrett</t>
  </si>
  <si>
    <t>leigh.butler@hinckley-bosworth.gov.uk</t>
  </si>
  <si>
    <t>Leigh Butler</t>
  </si>
  <si>
    <t>Jacqui.McIntosh@haringey.gov.uk</t>
  </si>
  <si>
    <t>Jacqui McIntosh</t>
  </si>
  <si>
    <t>donna.mason@harlow.gov.uk</t>
  </si>
  <si>
    <t>Donna Mason</t>
  </si>
  <si>
    <t>donna.beechener@harlow.gcsx.gov.uk</t>
  </si>
  <si>
    <t>Donna Beechener</t>
  </si>
  <si>
    <t>jane.wood@harrogate.gov.uk</t>
  </si>
  <si>
    <t>Jane Wood</t>
  </si>
  <si>
    <t>Paul Foster</t>
  </si>
  <si>
    <t>01423 500600 (ext 56101)</t>
  </si>
  <si>
    <t>paul.foster@harrogate.gov.uk</t>
  </si>
  <si>
    <t>Fern.silverio@harrow.gov.uk</t>
  </si>
  <si>
    <t>Fernando Silverio</t>
  </si>
  <si>
    <t>Fern Silverio</t>
  </si>
  <si>
    <t>0208 736 6818</t>
  </si>
  <si>
    <t>fern.silverio@harrow.gov.uk</t>
  </si>
  <si>
    <t>liz.squires@hart.gov.uk</t>
  </si>
  <si>
    <t>Liz Squires</t>
  </si>
  <si>
    <t>john.morton@hartlepool.gov.uk</t>
  </si>
  <si>
    <t>John Morton</t>
  </si>
  <si>
    <t>amitchell@hastings.gov.uk</t>
  </si>
  <si>
    <t>Alan Mitchell</t>
  </si>
  <si>
    <t>accountancy@hastings.gov.uk</t>
  </si>
  <si>
    <t>mike.ball@havant.gov.uk</t>
  </si>
  <si>
    <t>Debbie.wheatley@havering.gov.uk</t>
  </si>
  <si>
    <t>Debbie Wheatley</t>
  </si>
  <si>
    <t>Anne.Bradbury@hoopleltd.co.uk</t>
  </si>
  <si>
    <t>Anne Bradbury</t>
  </si>
  <si>
    <t xml:space="preserve">abradbury@herefordshire.gov.uk  </t>
  </si>
  <si>
    <t>Julia Denslow</t>
  </si>
  <si>
    <t>01432 383736</t>
  </si>
  <si>
    <t>julia.denslow@hoopleLtd.co.uk</t>
  </si>
  <si>
    <t>dev.gopal@hertsmere.gcsx.gov.uk</t>
  </si>
  <si>
    <t>Dev Gopal</t>
  </si>
  <si>
    <t>Stephen.smith@hertsmere.gcsx.gov.uk</t>
  </si>
  <si>
    <t>Stephen Smith</t>
  </si>
  <si>
    <t>robert.jones@highpeak.gov.uk</t>
  </si>
  <si>
    <t>Rob Jones</t>
  </si>
  <si>
    <t>mpemberton@hillingdon.gov.uk</t>
  </si>
  <si>
    <t>m pemberton</t>
  </si>
  <si>
    <t>storme.coop@hinckley-bosworth.gov.uk</t>
  </si>
  <si>
    <t>Storme Coop</t>
  </si>
  <si>
    <t>nick.rowe@hounslow.gov.uk</t>
  </si>
  <si>
    <t>Nick Rowe</t>
  </si>
  <si>
    <t>Ian.Sims@huntingdonshire.gov.uk</t>
  </si>
  <si>
    <t>Ian Sims</t>
  </si>
  <si>
    <t>council.tax@huntsdc.gov.uk</t>
  </si>
  <si>
    <t>Pauline.Duckworth@hyndburnbc.gov.uk</t>
  </si>
  <si>
    <t>Pauline Duckworth</t>
  </si>
  <si>
    <t>01254 380 200</t>
  </si>
  <si>
    <t>pauline.duckworth@hyndburnbc.gov.uk</t>
  </si>
  <si>
    <t>revenues@iow.gov.uk</t>
  </si>
  <si>
    <t>Vickie Guildford</t>
  </si>
  <si>
    <t>apritchard@scilly.gov.uk</t>
  </si>
  <si>
    <t>Adele Pritchard</t>
  </si>
  <si>
    <t>SHoyle@scilly.gov.uk</t>
  </si>
  <si>
    <t>Sara Hoyle</t>
  </si>
  <si>
    <t>bmq@scilly.gov.uk</t>
  </si>
  <si>
    <t>Khogen.Sutradhar@islington.gov.uk</t>
  </si>
  <si>
    <t>Khogen Sutradhar</t>
  </si>
  <si>
    <t>Inderjit.Bharj@islington.gov.uk</t>
  </si>
  <si>
    <t>Inderjit Bharj</t>
  </si>
  <si>
    <t>elcid.pereira@rbkc.gov.uk</t>
  </si>
  <si>
    <t>Elcid Pereira</t>
  </si>
  <si>
    <t>Jess.laing@rbkc.gov.uk</t>
  </si>
  <si>
    <t>Jess Laing</t>
  </si>
  <si>
    <t>derrywilson@kettering.gov.uk</t>
  </si>
  <si>
    <t>Derry Wilson</t>
  </si>
  <si>
    <t>joanne.stanton@west-norfolk.gcsx.gov.uk</t>
  </si>
  <si>
    <t>Jo Stanton</t>
  </si>
  <si>
    <t>andy.sims@hullcc.gov.uk</t>
  </si>
  <si>
    <t>Andy Sims</t>
  </si>
  <si>
    <t>dean.sharpe@hullcc.gov.uk</t>
  </si>
  <si>
    <t>Dean Sharpe</t>
  </si>
  <si>
    <t>Howard Dye</t>
  </si>
  <si>
    <t>Howard.Dye@hullcc.gov.uk</t>
  </si>
  <si>
    <t>Philip.Grocott@rbk.kingston.gov.uk</t>
  </si>
  <si>
    <t>Philip Grocott</t>
  </si>
  <si>
    <t>nndr@rbk.kingston.gov.uk</t>
  </si>
  <si>
    <t>anne.cummins@kirklees.gov.uk</t>
  </si>
  <si>
    <t>Anne Cummins</t>
  </si>
  <si>
    <t>01484 221000 (73059)</t>
  </si>
  <si>
    <t>dave.naylor@knowsley.gov.uk</t>
  </si>
  <si>
    <t>Dave Naylor</t>
  </si>
  <si>
    <t>mmsmith@lambeth.gov.uk</t>
  </si>
  <si>
    <t>Mrs Maureen Smith</t>
  </si>
  <si>
    <t>GSinclair@lambeth.gov.uk</t>
  </si>
  <si>
    <t>Greg Sinclair</t>
  </si>
  <si>
    <t>Ryan Reino</t>
  </si>
  <si>
    <t>020 7926 9484</t>
  </si>
  <si>
    <t>rreino@lambeth.gov.uk</t>
  </si>
  <si>
    <t>AClarke@lancaster.gov.uk</t>
  </si>
  <si>
    <t>Andrew Clarke</t>
  </si>
  <si>
    <t>mark.amson@leeds.gov.uk</t>
  </si>
  <si>
    <t>Mark Amson</t>
  </si>
  <si>
    <t>ashok.thakrar@leicester.gov.uk</t>
  </si>
  <si>
    <t>Ashok Thakrar</t>
  </si>
  <si>
    <t>ian.morris@lewes.gov.uk</t>
  </si>
  <si>
    <t>Ian Morris</t>
  </si>
  <si>
    <t>lorraine.richards@lewisham.gov.uk</t>
  </si>
  <si>
    <t>Lorraine Richards</t>
  </si>
  <si>
    <t>Keith.Anderson@lichfielddc.gov.uk</t>
  </si>
  <si>
    <t>Keith.Anderson</t>
  </si>
  <si>
    <t>Pat.Leybourne@lichfielddc.gov.uk</t>
  </si>
  <si>
    <t>Pat.Leybourne</t>
  </si>
  <si>
    <t>revenues@lichfielddc.gov.uk</t>
  </si>
  <si>
    <t>claire.moses@lincoln.gov.uk</t>
  </si>
  <si>
    <t>Claire Moses</t>
  </si>
  <si>
    <t>frank.lamb@liverpooldirectlimited.co.uk</t>
  </si>
  <si>
    <t>Frank Lamb</t>
  </si>
  <si>
    <t>Matt.murphy@liverpooldirectlimited.co.uk</t>
  </si>
  <si>
    <t>Matt Murphy</t>
  </si>
  <si>
    <t>Steve Wilkinson</t>
  </si>
  <si>
    <t>steve.wilkinson@liverpooldirectlimited.co.uk</t>
  </si>
  <si>
    <t>su.gill@luton.gov.uk</t>
  </si>
  <si>
    <t>Suchiter Gill</t>
  </si>
  <si>
    <t>sheilacoburn@maidstone.gov.uk</t>
  </si>
  <si>
    <t>Shielia Coburne</t>
  </si>
  <si>
    <t xml:space="preserve">lisa.carter@maldon.gcsx.gov.uk </t>
  </si>
  <si>
    <t>Lisa Carter</t>
  </si>
  <si>
    <t>rob.appleby@southworcestershirerevenues.gov.uk</t>
  </si>
  <si>
    <t>Rob Appleby</t>
  </si>
  <si>
    <t>m.shaw4@manchester.gov.uk</t>
  </si>
  <si>
    <t>M Shaw</t>
  </si>
  <si>
    <t>p.byrne@manchester.gov.uk</t>
  </si>
  <si>
    <t>Paul Byrne</t>
  </si>
  <si>
    <t>smosley@mansfield.gov.uk</t>
  </si>
  <si>
    <t>Steve Mosley</t>
  </si>
  <si>
    <t>jon.poulson@medway.gov.uk</t>
  </si>
  <si>
    <t>Jon Poulson</t>
  </si>
  <si>
    <t>mshields@melton.gov.uk</t>
  </si>
  <si>
    <t>Mark Shields</t>
  </si>
  <si>
    <t>MBowen@melton.gov.uk</t>
  </si>
  <si>
    <t>Martyn Bowen</t>
  </si>
  <si>
    <t>01664 502462</t>
  </si>
  <si>
    <t>mbowen@melton.gov.uk</t>
  </si>
  <si>
    <t>customerservices@mendip.gov.uk</t>
  </si>
  <si>
    <t>Sue Jones</t>
  </si>
  <si>
    <t>richard.mason@merton.gov.uk</t>
  </si>
  <si>
    <t>Richard Mason</t>
  </si>
  <si>
    <t>jchumble@middevon.gov.uk</t>
  </si>
  <si>
    <t>J Chumbley</t>
  </si>
  <si>
    <t>Shirley.Eveleigh@centralsussex.gcsx.gov.uk</t>
  </si>
  <si>
    <t>Shirley Eveleigh</t>
  </si>
  <si>
    <t>janet_bond@middlesbrough.gov.uk</t>
  </si>
  <si>
    <t>Janet Bond</t>
  </si>
  <si>
    <t>richard_cross@middlesbrough.gov.uk</t>
  </si>
  <si>
    <t>Richard Cross</t>
  </si>
  <si>
    <t>kay.pettit@milton-keynes.gov.uk</t>
  </si>
  <si>
    <t>Kay Pettit</t>
  </si>
  <si>
    <t>dave.price@molevalley.gov.uk</t>
  </si>
  <si>
    <t>Dave Price</t>
  </si>
  <si>
    <t>Ricahrd Burrows</t>
  </si>
  <si>
    <t>01306 879156</t>
  </si>
  <si>
    <t>richard.burrows@molevalley.gov.uk</t>
  </si>
  <si>
    <t>martin.cole@nfdc.gov.uk</t>
  </si>
  <si>
    <t>Martin Cole</t>
  </si>
  <si>
    <t>Phil.Ward@newark-sherwooddc.gov.uk</t>
  </si>
  <si>
    <t>Phil Ward</t>
  </si>
  <si>
    <t>phil ward</t>
  </si>
  <si>
    <t xml:space="preserve">01636 655347 </t>
  </si>
  <si>
    <t>phil.ward@nsdc.info</t>
  </si>
  <si>
    <t>Newcastle upon Tyne</t>
  </si>
  <si>
    <t>catherine.swaddle@newcastle.gov.uk</t>
  </si>
  <si>
    <t>Catherine Swaddle</t>
  </si>
  <si>
    <t>Alan.Leach@newcastle-staffs.gov.uk</t>
  </si>
  <si>
    <t>Leach, Alan</t>
  </si>
  <si>
    <t>Karen Hollinshead</t>
  </si>
  <si>
    <t>01782 742132</t>
  </si>
  <si>
    <t>karen.hollinshead@newcastle-staffs.gov.uk</t>
  </si>
  <si>
    <t>taz.haque@newham.gov.uk </t>
  </si>
  <si>
    <t>Taz Haque</t>
  </si>
  <si>
    <t>angela.mccoy@northdevon.gov.uk</t>
  </si>
  <si>
    <t>Angela McCoy</t>
  </si>
  <si>
    <t>jhind@stourvalleypartnership.gcsx.gov.uk</t>
  </si>
  <si>
    <t>Juilea Hind</t>
  </si>
  <si>
    <t>ian.spencer@ne-derbyshire.gov.uk</t>
  </si>
  <si>
    <t>Ian Spencer</t>
  </si>
  <si>
    <t>geoff.twidale@northlincs.gov.uk</t>
  </si>
  <si>
    <t>Geoff Twidale</t>
  </si>
  <si>
    <t>mark.scanes@north-herts.gov.uk</t>
  </si>
  <si>
    <t>Mark Scanes</t>
  </si>
  <si>
    <t>chris.cooper@northlincs.gov.uk</t>
  </si>
  <si>
    <t>Chris Cooper</t>
  </si>
  <si>
    <t>Sean.Knight@north-norfolk.gov.uk</t>
  </si>
  <si>
    <t>Sean Knight</t>
  </si>
  <si>
    <t>lisa.harrington@n-somerset.gov.uk</t>
  </si>
  <si>
    <t>Lisa Harrington</t>
  </si>
  <si>
    <t>andrew.scott@northtyneside.gov.uk</t>
  </si>
  <si>
    <t xml:space="preserve">Andrew Scott </t>
  </si>
  <si>
    <t>mikeshaw@northwarks.gov.uk</t>
  </si>
  <si>
    <t>Mike Shaw</t>
  </si>
  <si>
    <t>revenues@nwleicestershire.gov.uk</t>
  </si>
  <si>
    <t>Robin Watkin</t>
  </si>
  <si>
    <t>rwatson@wellingborough.gov.uk</t>
  </si>
  <si>
    <t>Richard Watson</t>
  </si>
  <si>
    <t>Northumberland</t>
  </si>
  <si>
    <t>Susan.Mounsey@northumberland.gov.uk</t>
  </si>
  <si>
    <t>Susan Mounsey</t>
  </si>
  <si>
    <t>JulieGowling@norwich.gov.uk</t>
  </si>
  <si>
    <t>Julie Gowling</t>
  </si>
  <si>
    <t>JanFerguson@norwich.gov.uk</t>
  </si>
  <si>
    <t>Jan Ferguson</t>
  </si>
  <si>
    <t>Ian.Mitchell@nottinghamcity.gov.uk</t>
  </si>
  <si>
    <t>Ian Mitchell</t>
  </si>
  <si>
    <t>antony.snape@nottinghamcity.gov.uk</t>
  </si>
  <si>
    <t>Antony Snape</t>
  </si>
  <si>
    <t>corinne.brown@nuneatonandbedworth.gov.uk</t>
  </si>
  <si>
    <t>Corinne Brown</t>
  </si>
  <si>
    <t>cf.support@nuneatonandbedworth.gov.uk</t>
  </si>
  <si>
    <t xml:space="preserve">Sue Trahern </t>
  </si>
  <si>
    <t>02476 376146</t>
  </si>
  <si>
    <t>sue.trahern@nuneatonandbedworth.gov.uk</t>
  </si>
  <si>
    <t>david.coe@oadby-wigston.gov.uk</t>
  </si>
  <si>
    <t>David Coe</t>
  </si>
  <si>
    <t>elaine.mitchell@unitypartnership.com</t>
  </si>
  <si>
    <t>Elaine Mitchell</t>
  </si>
  <si>
    <t>awood@oxford.gov.uk</t>
  </si>
  <si>
    <t>Adrian Wood</t>
  </si>
  <si>
    <t>awinship@oxford.gov.uk</t>
  </si>
  <si>
    <t>bill.hindman@pendle.gov.uk</t>
  </si>
  <si>
    <t>Bill Hindman</t>
  </si>
  <si>
    <t>ltbsystems@peterborough.gov.uk</t>
  </si>
  <si>
    <t>David Moss</t>
  </si>
  <si>
    <t>david.moss@peterborough.gov.uk</t>
  </si>
  <si>
    <t>Natalia.Szabo-Reed@plymouth.gov.uk</t>
  </si>
  <si>
    <t>Natalia.Szabo-Reed</t>
  </si>
  <si>
    <t>m.chadbourne@poole.gov.uk</t>
  </si>
  <si>
    <t>Mark Chadbourne</t>
  </si>
  <si>
    <t>matthew.willis@portsmouthcc.gov.uk</t>
  </si>
  <si>
    <t>Peter Middleton</t>
  </si>
  <si>
    <t>D.Duckworth@preston.gov.uk</t>
  </si>
  <si>
    <t>Diane Duckworth</t>
  </si>
  <si>
    <t>revenuessupportteam@lancaster.gov.uk</t>
  </si>
  <si>
    <t>mwrennall@lancaster.gov.uk</t>
  </si>
  <si>
    <t>m.payne@westwey.gov.uk</t>
  </si>
  <si>
    <t>Mark Payne</t>
  </si>
  <si>
    <t>Monika.Kemp@reading.gov.uk</t>
  </si>
  <si>
    <t>Monika Kemp</t>
  </si>
  <si>
    <t>david.hughes@redbridge.gov.uk</t>
  </si>
  <si>
    <t>David Hughes</t>
  </si>
  <si>
    <t>tony.young@redbridge.gov.uk</t>
  </si>
  <si>
    <t>Tony Young</t>
  </si>
  <si>
    <t>janefuller@liberata.com</t>
  </si>
  <si>
    <t>Jane Fuller</t>
  </si>
  <si>
    <t>ian.martin@reigate-banstead.gov.uk</t>
  </si>
  <si>
    <t>Ian Martin</t>
  </si>
  <si>
    <t>mark.edmondson@ribblevalley.gov.uk</t>
  </si>
  <si>
    <t>Mark Edmondson</t>
  </si>
  <si>
    <t>S.Carter@richmond.gov.uk</t>
  </si>
  <si>
    <t>Steve Carter</t>
  </si>
  <si>
    <t>Barry Hill</t>
  </si>
  <si>
    <t>020 8891 7197</t>
  </si>
  <si>
    <t>b.hill@richmond.gov.uk</t>
  </si>
  <si>
    <t>brian.bottle@richmondshire.gcsx.gov.uk</t>
  </si>
  <si>
    <t>Brian Bottle</t>
  </si>
  <si>
    <t>Iain.Hodgeon@Rochdale.gov.UK</t>
  </si>
  <si>
    <t>Richard Ulanowski</t>
  </si>
  <si>
    <t>keith.mackenzie@rochdale.gov.uk</t>
  </si>
  <si>
    <t>Keith MacKenzie</t>
  </si>
  <si>
    <t>Pam.Shepherd@rochford.gov.uk</t>
  </si>
  <si>
    <t>Pam Shepherd</t>
  </si>
  <si>
    <t>Sharon.Noble@capita.co.uk</t>
  </si>
  <si>
    <t>Sharon Noble</t>
  </si>
  <si>
    <t>chris.watchman@rother.gov.uk</t>
  </si>
  <si>
    <t>Chris Watchman</t>
  </si>
  <si>
    <t>alan.ainsworth@rotherham.gov.uk</t>
  </si>
  <si>
    <t>Alan Ainsworth</t>
  </si>
  <si>
    <t>chryssa.burdett@rugby.gov.uk</t>
  </si>
  <si>
    <t>Mrs Chryssa Burdett</t>
  </si>
  <si>
    <t>nigel.boyd@runnymede.gov.uk</t>
  </si>
  <si>
    <t>Nigel Boyd</t>
  </si>
  <si>
    <t>psteed@rushcliffe.gov.uk</t>
  </si>
  <si>
    <t>Peter Steed</t>
  </si>
  <si>
    <t>rcaddy@rushcliffe.gov.uk</t>
  </si>
  <si>
    <t>Rosie Caddy</t>
  </si>
  <si>
    <t>david.may@rushmoor.gov.uk</t>
  </si>
  <si>
    <t>David May</t>
  </si>
  <si>
    <t>agrinney@rutland.gov.uk</t>
  </si>
  <si>
    <t>Andrea Grinney</t>
  </si>
  <si>
    <t>alan.mccarten@ryedale.gov.uk</t>
  </si>
  <si>
    <t>Alan McCarten</t>
  </si>
  <si>
    <t>steven.fry@salford.gov.uk</t>
  </si>
  <si>
    <t>Steven Fry</t>
  </si>
  <si>
    <t>martin.flavell@salford.gov.uk</t>
  </si>
  <si>
    <t>Martin Flavell</t>
  </si>
  <si>
    <t>ian_hubball@sandwell.gov.uk</t>
  </si>
  <si>
    <t>Ian Hubball</t>
  </si>
  <si>
    <t>sherri.williamson@scarborough.gov.uk</t>
  </si>
  <si>
    <t>Mrs Sherri Williamson</t>
  </si>
  <si>
    <t>dave.churchill@sedgemoor.gov.uk</t>
  </si>
  <si>
    <t>Mr David Churchill</t>
  </si>
  <si>
    <t>christine.finnigan@sefton.gov.uk</t>
  </si>
  <si>
    <t>Christine Finnigan</t>
  </si>
  <si>
    <t>angela.ellis@sefton.gcsx.gov.uk</t>
  </si>
  <si>
    <t>Angela Ellis</t>
  </si>
  <si>
    <t>Mrs Christine Finnigan</t>
  </si>
  <si>
    <t>0151 934 4161</t>
  </si>
  <si>
    <t>Christine.Finnigan@sefton.gov.uk</t>
  </si>
  <si>
    <t>rgill@selby.gcsx.gov.uk</t>
  </si>
  <si>
    <t>Ralph Gill</t>
  </si>
  <si>
    <t>csmith@selby.gov.uk</t>
  </si>
  <si>
    <t>Chris Smith</t>
  </si>
  <si>
    <t>sarah.page@sevenoaks.gov.uk</t>
  </si>
  <si>
    <t>claire.mansell@sheffield.gov.uk</t>
  </si>
  <si>
    <t>Claire Mansell</t>
  </si>
  <si>
    <t>Richard.hallam@sheffield.gov.uk</t>
  </si>
  <si>
    <t>Richard Hallam</t>
  </si>
  <si>
    <t>mark.mullender@shepway.gov.uk</t>
  </si>
  <si>
    <t>Mark Mullender</t>
  </si>
  <si>
    <t>Shropshire</t>
  </si>
  <si>
    <t>phil.weir@shropshire.gov.uk</t>
  </si>
  <si>
    <t>Phil Weir</t>
  </si>
  <si>
    <t>Steph.Jackson@shropshire.gov.uk</t>
  </si>
  <si>
    <t>Steph Jackson</t>
  </si>
  <si>
    <t>charlie.mckenna@slough.gov.uk</t>
  </si>
  <si>
    <t xml:space="preserve">Charlie McKenna </t>
  </si>
  <si>
    <t>laurette.holmes@slough.gov.uk</t>
  </si>
  <si>
    <t xml:space="preserve">Laurette Holmes </t>
  </si>
  <si>
    <t>Andrew Pate</t>
  </si>
  <si>
    <t>Andrew.Pate@slough.gov.uk</t>
  </si>
  <si>
    <t>junesmith@solihull.gcsx.gov.uk</t>
  </si>
  <si>
    <t>June Smith</t>
  </si>
  <si>
    <t>tbampton@solihull.gov.uk</t>
  </si>
  <si>
    <t>T Bampton</t>
  </si>
  <si>
    <t>Richard Lowe</t>
  </si>
  <si>
    <t>rilowe@solihull.gov.uk</t>
  </si>
  <si>
    <t>Neil.Berry@southbucks.gov.uk</t>
  </si>
  <si>
    <t>Neil Berry</t>
  </si>
  <si>
    <t>phil.bird@scambs.gov.uk</t>
  </si>
  <si>
    <t>Phil Bird</t>
  </si>
  <si>
    <t>sally.smart@scambs.gcsx.gov.uk</t>
  </si>
  <si>
    <t>Sally Smart</t>
  </si>
  <si>
    <t>Katie Brown</t>
  </si>
  <si>
    <t>katie.brown@scambs.gcsx.gov.uk</t>
  </si>
  <si>
    <t>ray.keech@south-derbys.gov.uk</t>
  </si>
  <si>
    <t>Ray Keech</t>
  </si>
  <si>
    <t>elaine.woolley@south-derbys.gcsx.gov.uk</t>
  </si>
  <si>
    <t>Elaine Woolley</t>
  </si>
  <si>
    <t>jude.bevan@southglos.gov.uk</t>
  </si>
  <si>
    <t>Jude Bevan</t>
  </si>
  <si>
    <t>steve.henstock@southhams.gov.uk</t>
  </si>
  <si>
    <t>Steve Henstock</t>
  </si>
  <si>
    <t xml:space="preserve">mwoolerton@sholland.gov.uk </t>
  </si>
  <si>
    <t xml:space="preserve">Mark Woolerton </t>
  </si>
  <si>
    <t>R.WYLES@southkesteven.gov.uk</t>
  </si>
  <si>
    <t>Richard Wyles</t>
  </si>
  <si>
    <t>Michael.fisher@southlakeland.gov.uk</t>
  </si>
  <si>
    <t>Michael Fisher</t>
  </si>
  <si>
    <t>pchapman@s-norfolk.gov.uk</t>
  </si>
  <si>
    <t>Paul Chapman</t>
  </si>
  <si>
    <t xml:space="preserve">jacey.scott@southnorthants.gov.uk </t>
  </si>
  <si>
    <t xml:space="preserve">Jacey Scott </t>
  </si>
  <si>
    <t>paul.howden@southandvale.gov.uk</t>
  </si>
  <si>
    <t>Paul Howden</t>
  </si>
  <si>
    <t>phaywood@southribble.gov.uk</t>
  </si>
  <si>
    <t>karen.case@southsomerset.gov.uk</t>
  </si>
  <si>
    <t>Karen Case</t>
  </si>
  <si>
    <t>Ian.Potter@SouthSomerset.gov.Uk</t>
  </si>
  <si>
    <t>Ian Potter</t>
  </si>
  <si>
    <t>accountancy@southsomerset.gov.uk</t>
  </si>
  <si>
    <t>t.richards@sstaffs.gov.uk</t>
  </si>
  <si>
    <t>Mrs Tracey Richards</t>
  </si>
  <si>
    <t>ian.burden@southtyneside.gov.uk</t>
  </si>
  <si>
    <t>IAN BURDEN</t>
  </si>
  <si>
    <t>Ian Burden</t>
  </si>
  <si>
    <t>0191 4244222</t>
  </si>
  <si>
    <t>Rosemary.Thornley@southampton.gov.uk</t>
  </si>
  <si>
    <t>Rosemary Thornley</t>
  </si>
  <si>
    <t>christinelynch@southend.gov.uk</t>
  </si>
  <si>
    <t>Christine Lynch</t>
  </si>
  <si>
    <t>norman.lockie@southwark.gov.uk</t>
  </si>
  <si>
    <t>Norman Lockie</t>
  </si>
  <si>
    <t>l.norman@spelthorne.gov.uk</t>
  </si>
  <si>
    <t>Mrs Linda Norman</t>
  </si>
  <si>
    <t>richard.jones@stalbans.gov.uk</t>
  </si>
  <si>
    <t>Richard Jones</t>
  </si>
  <si>
    <t>Allan Clark</t>
  </si>
  <si>
    <t>01727 819202</t>
  </si>
  <si>
    <t>allan.clark@stalbans.gov.uk</t>
  </si>
  <si>
    <t>annsalisbury@sthelens.gov.uk</t>
  </si>
  <si>
    <t>Anne Salisbury</t>
  </si>
  <si>
    <t>01744 675249</t>
  </si>
  <si>
    <t>jcotterill@staffordbc.gov.uk</t>
  </si>
  <si>
    <t>Mrs J Cotterill</t>
  </si>
  <si>
    <t>Joanne.Wheeldon@staffsmoorlands.gov.uk;</t>
  </si>
  <si>
    <t>Joanne Wheeldon</t>
  </si>
  <si>
    <t>Emily.Bennetts@staffsmoorlands.gov.uk</t>
  </si>
  <si>
    <t>sandra.simpson@stevenage.gov.uk</t>
  </si>
  <si>
    <t>Sandra Simpson</t>
  </si>
  <si>
    <t>andrea.griffiths@stockport.gov.uk</t>
  </si>
  <si>
    <t>Andrea Griffiths</t>
  </si>
  <si>
    <t>policy&amp;technical@stockport.gov.uk</t>
  </si>
  <si>
    <t>sally.harrison@stockton.gov.uk</t>
  </si>
  <si>
    <t>Richard Holland</t>
  </si>
  <si>
    <t>tracy.mccready@stoke.gov.uk</t>
  </si>
  <si>
    <t>Tracy MmcCready</t>
  </si>
  <si>
    <t>kaye.holmes@stoke.gov.uk</t>
  </si>
  <si>
    <t>Kaye Holmes</t>
  </si>
  <si>
    <t>Jenni.Love@stratford-dc.gov.uk</t>
  </si>
  <si>
    <t>Jennifer Love</t>
  </si>
  <si>
    <t>01789 260901</t>
  </si>
  <si>
    <t>Jenni.Love@Stratford-dc.gov.uk</t>
  </si>
  <si>
    <t>simon.killen@stroud.gcsx.gov.uk</t>
  </si>
  <si>
    <t>Simon Killen</t>
  </si>
  <si>
    <t>Simon.Taylor@eastsuffolk.gov.uk</t>
  </si>
  <si>
    <t>Simon Taylor</t>
  </si>
  <si>
    <t>sharon.holden@sunderland.gov.uk</t>
  </si>
  <si>
    <t>Sharon Holden</t>
  </si>
  <si>
    <t>0191 5611899</t>
  </si>
  <si>
    <t>robert.fox@surreyheath.gov.uk</t>
  </si>
  <si>
    <t>Robert Fox</t>
  </si>
  <si>
    <t>andrew.davis@surreyheath.gov.uk</t>
  </si>
  <si>
    <t>Andrew Davis</t>
  </si>
  <si>
    <t>jason.satchell@sutton.gov.uk</t>
  </si>
  <si>
    <t>Jason Satchell</t>
  </si>
  <si>
    <t>toby.joseph@sutton.gov.uk</t>
  </si>
  <si>
    <t>Toby Joseph</t>
  </si>
  <si>
    <t>philwilson@swale.gov.uk</t>
  </si>
  <si>
    <t>Phil Wilson</t>
  </si>
  <si>
    <t>zoekent@swale.gov.uk</t>
  </si>
  <si>
    <t>Zoe Kent</t>
  </si>
  <si>
    <t>ajsmith@swindon.gov.uk</t>
  </si>
  <si>
    <t>Angela Smith</t>
  </si>
  <si>
    <t>paul.clarke@tameside.gov.uk</t>
  </si>
  <si>
    <t>Garry Smith</t>
  </si>
  <si>
    <t>michael-buckland@tamworth.gov.uk</t>
  </si>
  <si>
    <t>Michael Buckland</t>
  </si>
  <si>
    <t>thicks@tandridge.gov.uk</t>
  </si>
  <si>
    <t>Tracey Hicks</t>
  </si>
  <si>
    <t>dbunn@tandridge.gov.uk</t>
  </si>
  <si>
    <t>David Bunn</t>
  </si>
  <si>
    <t>01883 732932</t>
  </si>
  <si>
    <t>d.emery@tauntondeane.gov.uk</t>
  </si>
  <si>
    <t>Dean Emery</t>
  </si>
  <si>
    <t>s.doyle@tauntondeane.gov.uk</t>
  </si>
  <si>
    <t>Simon Doyle</t>
  </si>
  <si>
    <t>Alison.Spargo@Teignbridge.gcsx.gov.uk</t>
  </si>
  <si>
    <t>Alison Spargo</t>
  </si>
  <si>
    <t xml:space="preserve">karen.payne@telford.gov.uk </t>
  </si>
  <si>
    <t>Karen Payne</t>
  </si>
  <si>
    <t>rbull@tendringdc.gov.uk</t>
  </si>
  <si>
    <t>Richard Bull</t>
  </si>
  <si>
    <t>dayers@testvalley.gov.uk</t>
  </si>
  <si>
    <t>David Ayers</t>
  </si>
  <si>
    <t>01264 368497</t>
  </si>
  <si>
    <t>richard.horton@tewkesbury.gov.uk</t>
  </si>
  <si>
    <t>Richard Horton</t>
  </si>
  <si>
    <t>Emma.Harley@tewkesbury.gov.uk</t>
  </si>
  <si>
    <t>Emma Harley</t>
  </si>
  <si>
    <t>mark.emery@ekservices.org</t>
  </si>
  <si>
    <t>Mark Emery</t>
  </si>
  <si>
    <t>sam.westley@ekservices.org</t>
  </si>
  <si>
    <t>Sam Westley</t>
  </si>
  <si>
    <t>Robert.Della-Sala@watford.gov.uk</t>
  </si>
  <si>
    <t>Robert Della-Sala</t>
  </si>
  <si>
    <t>jterry@thurrock.gov.uk</t>
  </si>
  <si>
    <t>John Terry</t>
  </si>
  <si>
    <t>glen.pritchard@tmbc.gov.uk</t>
  </si>
  <si>
    <t>Glen Pritchard</t>
  </si>
  <si>
    <t>Paul.Worden@tmbc.gov.uk</t>
  </si>
  <si>
    <t>Paul Worden</t>
  </si>
  <si>
    <t>01732 876175</t>
  </si>
  <si>
    <t>paul.worden@tmbc.gov.uk</t>
  </si>
  <si>
    <t>wendy.urban@torbay.gov.uk</t>
  </si>
  <si>
    <t>Wendy urban</t>
  </si>
  <si>
    <t>Kevin.michell@torbay.gov.uk</t>
  </si>
  <si>
    <t>Kevin Michell</t>
  </si>
  <si>
    <t>martin.reader@torridge.gov.uk</t>
  </si>
  <si>
    <t>Martin Reader</t>
  </si>
  <si>
    <t>roger.jones@towerhamlets.gov.uk</t>
  </si>
  <si>
    <t>Roger Jones</t>
  </si>
  <si>
    <t>karen.duckenfield@trafford.gov.uk</t>
  </si>
  <si>
    <t>Karen Duckenfield</t>
  </si>
  <si>
    <t xml:space="preserve">sheila.coburn@tunbridgewells.gov.uk </t>
  </si>
  <si>
    <t>Sheila Coburn</t>
  </si>
  <si>
    <t>amarsh@uttlesford.gov.uk</t>
  </si>
  <si>
    <t>Adrian Marsh</t>
  </si>
  <si>
    <t>bsmith@wakefield.gov.uk</t>
  </si>
  <si>
    <t>Bernard Smith</t>
  </si>
  <si>
    <t>01977 727117</t>
  </si>
  <si>
    <t>fearnm@walsall.gov.uk</t>
  </si>
  <si>
    <t>Mark Fearn</t>
  </si>
  <si>
    <t>donna.vaughan@walthamforest.gov.uk</t>
  </si>
  <si>
    <t>Donna Vaughan</t>
  </si>
  <si>
    <t>Lisa.Ash@walthamforest.gov.uk</t>
  </si>
  <si>
    <t>Lisa Ash</t>
  </si>
  <si>
    <t>klegg@wandsworth.gov.uk</t>
  </si>
  <si>
    <t>Kevin Legg</t>
  </si>
  <si>
    <t>jcox@wandsworth.gov.uk</t>
  </si>
  <si>
    <t>James Cox</t>
  </si>
  <si>
    <t>mguest@warrington.gov.uk</t>
  </si>
  <si>
    <t>Matt Guest</t>
  </si>
  <si>
    <t>mdennet@warrington.gov.uk</t>
  </si>
  <si>
    <t>Mark Dennet</t>
  </si>
  <si>
    <t>karen.allison@warwickdc.gov.uk</t>
  </si>
  <si>
    <t>Karen Allison</t>
  </si>
  <si>
    <t>jane.walker@watford.gov.uk</t>
  </si>
  <si>
    <t>Jane Walker</t>
  </si>
  <si>
    <t>Nick.Smith@watford.gov.uk</t>
  </si>
  <si>
    <t>terri.lawson@waveney.gov.uk</t>
  </si>
  <si>
    <t>Terri Lawson</t>
  </si>
  <si>
    <t>John Waddell</t>
  </si>
  <si>
    <t>john.waddell@waveney.gov.uk</t>
  </si>
  <si>
    <t>lorraine.ozanne@waverley.gov.uk</t>
  </si>
  <si>
    <t>Lorraine Ozanne</t>
  </si>
  <si>
    <t>julie.chester@waverley.gov.uk</t>
  </si>
  <si>
    <t>Julie Chester</t>
  </si>
  <si>
    <t>helen.steele@wealden.gov.uk</t>
  </si>
  <si>
    <t>Helen Steele</t>
  </si>
  <si>
    <t>f.cantel@welhat.gov.uk</t>
  </si>
  <si>
    <t>Farhad Cantel</t>
  </si>
  <si>
    <t>01707 357011</t>
  </si>
  <si>
    <t>bblackett@westberks.gov.uk</t>
  </si>
  <si>
    <t>Bill Blackett</t>
  </si>
  <si>
    <t>clive.parsons@southhams.gov.uk</t>
  </si>
  <si>
    <t>Clive Parsons</t>
  </si>
  <si>
    <t>shirley.stankowski@westlancs.gov.uk</t>
  </si>
  <si>
    <t>Shirley Stankowski</t>
  </si>
  <si>
    <t>Kathryn Leonard</t>
  </si>
  <si>
    <t>mhinckley@westminster.gov.uk</t>
  </si>
  <si>
    <t>Martin Hinckley</t>
  </si>
  <si>
    <t>t.clarke@wigan.gov.uk</t>
  </si>
  <si>
    <t>T Clarke</t>
  </si>
  <si>
    <t>p.higgins@wigan.gov.uk</t>
  </si>
  <si>
    <t xml:space="preserve">Penny Higgins       </t>
  </si>
  <si>
    <t>Wiltshire</t>
  </si>
  <si>
    <t>sally.kimber@wiltshire.gov.uk</t>
  </si>
  <si>
    <t>Ian Brown</t>
  </si>
  <si>
    <t>thorner@winchester.gov.uk</t>
  </si>
  <si>
    <t>Terri Horner</t>
  </si>
  <si>
    <t>DKennedy@winchester.gov.uk</t>
  </si>
  <si>
    <t>Darren Kennedy</t>
  </si>
  <si>
    <t>Elaine.henderson@rbwm.gov.uk</t>
  </si>
  <si>
    <t>Elaine Henderson</t>
  </si>
  <si>
    <t>Nick.Hardwick@RBWM.gov.uk</t>
  </si>
  <si>
    <t>neilpowell@wirral.gov.uk</t>
  </si>
  <si>
    <t>Neil Powell</t>
  </si>
  <si>
    <t>suehutchison@wirral.gov.uk</t>
  </si>
  <si>
    <t>Sue Hutchison</t>
  </si>
  <si>
    <t>david.ripley@woking.gov.uk</t>
  </si>
  <si>
    <t>David Ripley</t>
  </si>
  <si>
    <t xml:space="preserve">Sharon.Pearce@wokingham.gov.uk; </t>
  </si>
  <si>
    <t>Sharon Pearce</t>
  </si>
  <si>
    <t>malcolm.hayward@wolverhampton.gov.uk</t>
  </si>
  <si>
    <t>Malcolm Hayward</t>
  </si>
  <si>
    <t>raman.singla@adur-worthing.gov.uk</t>
  </si>
  <si>
    <t>Raman Singla</t>
  </si>
  <si>
    <t>Paul.Tonking@adur-worthing.gov.uk</t>
  </si>
  <si>
    <t>Paul Tonking</t>
  </si>
  <si>
    <t>Jennie_rahman@wycombe.gov.uk</t>
  </si>
  <si>
    <t>Jennie Rahman</t>
  </si>
  <si>
    <t>andrew.hadgraft@wyre.gov.uk</t>
  </si>
  <si>
    <t>Andrew Hadgraft</t>
  </si>
  <si>
    <t>01253 887546</t>
  </si>
  <si>
    <t>lucy.wright@wyreforestdc.gov.uk</t>
  </si>
  <si>
    <t>Lucy Wright</t>
  </si>
  <si>
    <t>jackie.reed@wyreforestdc.gov.uk</t>
  </si>
  <si>
    <t>Jackie Reed</t>
  </si>
  <si>
    <t>Debbie.Mitchell@york.gov.uk</t>
  </si>
  <si>
    <t>Debbie Mitchell</t>
  </si>
  <si>
    <t>Nine Elms and Battersea Power station</t>
  </si>
  <si>
    <t>Nine Elms</t>
  </si>
  <si>
    <t>2017-18</t>
  </si>
  <si>
    <r>
      <t xml:space="preserve">Please e-mail to: nndr.statistics@communities.gsi.gov.uk by no later than </t>
    </r>
    <r>
      <rPr>
        <b/>
        <sz val="12"/>
        <rFont val="Arial"/>
        <family val="2"/>
      </rPr>
      <t>31 January 2017.</t>
    </r>
  </si>
  <si>
    <r>
      <t xml:space="preserve">In addition, a certified copy of the form should be returned by no later than </t>
    </r>
    <r>
      <rPr>
        <b/>
        <sz val="12"/>
        <rFont val="Arial"/>
        <family val="2"/>
      </rPr>
      <t>31 January 2017</t>
    </r>
    <r>
      <rPr>
        <sz val="12"/>
        <rFont val="Arial"/>
        <family val="2"/>
      </rPr>
      <t xml:space="preserve"> to the same email address</t>
    </r>
  </si>
  <si>
    <r>
      <t xml:space="preserve">The payments to be made, during the course of </t>
    </r>
    <r>
      <rPr>
        <b/>
        <sz val="12"/>
        <rFont val="Arial"/>
        <family val="2"/>
      </rPr>
      <t>2017-18</t>
    </r>
    <r>
      <rPr>
        <sz val="12"/>
        <rFont val="Arial"/>
        <family val="2"/>
      </rPr>
      <t xml:space="preserve"> to: </t>
    </r>
  </si>
  <si>
    <t>NNDR1 2017-18</t>
  </si>
  <si>
    <r>
      <t xml:space="preserve">Forms should be returned to the Department for Communities and Local Government by </t>
    </r>
    <r>
      <rPr>
        <b/>
        <u/>
        <sz val="14"/>
        <rFont val="Arial"/>
        <family val="2"/>
      </rPr>
      <t>Tuesday 31 January 2017</t>
    </r>
  </si>
  <si>
    <t>5. Once the form has been completed go to the validation sheet and check if any of the data require any further explanation. The data are compared with the NNDR1 for 2016-17 and if the change in number or percentage terms is higher or lower than we would normally expect you are asked to provide a an explanation for the change in the box provided.</t>
  </si>
  <si>
    <r>
      <t xml:space="preserve">For further details on the types of checks we do see </t>
    </r>
    <r>
      <rPr>
        <i/>
        <sz val="14"/>
        <rFont val="Arial"/>
        <family val="2"/>
      </rPr>
      <t>Validation notes for NNDR1 2017-18.</t>
    </r>
  </si>
  <si>
    <t>The note NNDR1 Validation Checks 2017-18  provides further details on the validations we carry out.   Please consult this when completing this validation sheet</t>
  </si>
  <si>
    <t xml:space="preserve"> 2017-18</t>
  </si>
  <si>
    <t>2. Small business rating multiplier for 2017-18 (pence)</t>
  </si>
  <si>
    <t>3.  Gross rates 2017-18 (RV x multiplier)</t>
  </si>
  <si>
    <t xml:space="preserve">5. Forecast gross rates payable in 2017-18 </t>
  </si>
  <si>
    <t xml:space="preserve">TRANSITIONAL ARRANGEMENTS (See Note E) </t>
  </si>
  <si>
    <t xml:space="preserve">TRANSITIONAL PROTECTION PAYMENTS (See Note F) </t>
  </si>
  <si>
    <t>12. Forecast of relief to be provided in 2017-18</t>
  </si>
  <si>
    <t>16. Forecast of relief to be provided in 2017-18</t>
  </si>
  <si>
    <t>17. Forecast of relief to be provided in 2017-18</t>
  </si>
  <si>
    <t>18. Forecast of relief to be provided in 2017-18</t>
  </si>
  <si>
    <t>19.  Forecast of mandatory reliefs to be provided in 2017-18 (Sum of lines 15 to 18)</t>
  </si>
  <si>
    <t>21. Total forecast mandatory reliefs to be provided in 2017-18</t>
  </si>
  <si>
    <t>22. Forecast of 'relief' to be provided in 2017-18</t>
  </si>
  <si>
    <t>23. Forecast of 'relief' to be provided in 2017-18</t>
  </si>
  <si>
    <t>24.  Forecast of unoccupied property 'relief' to be provided in 2017-18 (Line 22 + line 23)</t>
  </si>
  <si>
    <t>26. Total forecast unoccupied property 'relief' to be provided in 2017-18</t>
  </si>
  <si>
    <t>27. Forecast of relief to be provided in 2017-18</t>
  </si>
  <si>
    <t>28. Forecast of relief to be provided in 2017-18</t>
  </si>
  <si>
    <t>29. Forecast of relief to be provided in 2017-18</t>
  </si>
  <si>
    <t>30. Forecast of relief to be provided in 2017-18</t>
  </si>
  <si>
    <t>31. Forecast of relief to be provided in 2017-18</t>
  </si>
  <si>
    <t>32. Forecast of relief to be provided in 2017-18</t>
  </si>
  <si>
    <t>35.  Forecast of discretionary relief to be provided in 2017-18 (Sum of lines 27 to 32)</t>
  </si>
  <si>
    <t>37. Total forecast discretionary relief to be provided in 2017-18</t>
  </si>
  <si>
    <t>38. Forecast of relief to be provided in 2017-18</t>
  </si>
  <si>
    <t>39. Forecast of relief to be provided in 2017-18</t>
  </si>
  <si>
    <t>Non-Domestic Rating Income for 2017-18</t>
  </si>
  <si>
    <t>Other Income for 2017-18</t>
  </si>
  <si>
    <t>2. Estimated bad debts in respect of 2017-18 rates payable</t>
  </si>
  <si>
    <t xml:space="preserve">3. Estimated repayments in respect of 2017-18 rates payable </t>
  </si>
  <si>
    <t>2. Business rates credited and charged to the Collection Fund in 2016-17</t>
  </si>
  <si>
    <t xml:space="preserve">8.  Transitional protection payments received, or to be received in 2016-17 </t>
  </si>
  <si>
    <t>10. Transfers/payments into the Collection Fund in 2016-17 in respect of a previous year's deficit</t>
  </si>
  <si>
    <t xml:space="preserve">12.  Transitional protection payments made, or to be made, in 2016-17 </t>
  </si>
  <si>
    <t xml:space="preserve">13. Payments made, or to be made, to the Secretary of State in respect of the central share
in 2016-17 </t>
  </si>
  <si>
    <t xml:space="preserve"> rates income in 2016-17</t>
  </si>
  <si>
    <t xml:space="preserve">or to be made, to a precepting authority in respect of disregarded amounts in 2016-17 </t>
  </si>
  <si>
    <t>18. Transfers/payments made from the Collection Fund in 2016-17 in respect of a previous year's surplus</t>
  </si>
  <si>
    <t>ESTIMATED SURPLUS/(DEFICIT) ON COLLECTION FUND IN RESPECT OF FINANCIAL YEAR 2016-17</t>
  </si>
  <si>
    <t>The completed form must be returned to nndr.statistics@communities.gsi.gov.uk
no later than 31 JANUARY 2017</t>
  </si>
  <si>
    <t>PART 1 : NUMBERS OF HEREDITAMENTS THAT WERE BEING GRANTED RELIEF
AS AT 31 DECEMBER 2016</t>
  </si>
  <si>
    <t>Number of hereditaments that were being granted relief as at
31 December 2016*</t>
  </si>
  <si>
    <t>a. Number of hereditaments that were being granted charitable relief as at 31 December 2016*</t>
  </si>
  <si>
    <t>b. Number of hereditaments that were being granted Community Amateur Sports Clubs relief as at 31 December 2016*</t>
  </si>
  <si>
    <t>c. Number of hereditaments that were being granted rural general stores, post offices, public houses, petrol filling stations and food shops relief as at 31 December 2016*</t>
  </si>
  <si>
    <t>d. Number of hereditaments that were being granted partly occupied premises relief as at 31 December 2016*</t>
  </si>
  <si>
    <t>e. Number of hereditaments that were being granted empty property relief as at 31 December 2016*</t>
  </si>
  <si>
    <t>f. Number of hereditaments that were being granted charitable relief as at 31 December 2016*</t>
  </si>
  <si>
    <t>g. Number of hereditaments that were being granted non-profit making bodies' relief as at 31 December 2016*</t>
  </si>
  <si>
    <t>h. Number of hereditaments that were being granted Community Amateur Sports Clubs relief as at 31 December 2016*</t>
  </si>
  <si>
    <t>i. Number of hereditaments that were being granted rural shops, post offices, public houses, petrol filling stations and food shops relief as at 31 December 2016*</t>
  </si>
  <si>
    <t>j. Number of hereditaments that were being granted other small rural businesses relief as at 31 December 2016*</t>
  </si>
  <si>
    <t>k. Number of hereditaments within Enterprise Zones being granted discounts as at 31 December 2016*</t>
  </si>
  <si>
    <t>l. Number of hereditaments subject to a S47 local discount as at 31 December 2016*</t>
  </si>
  <si>
    <t>m. Number of hereditaments receiving "New Empty" relief as at 31 December 2016*</t>
  </si>
  <si>
    <t>n. Number of hereditaments receiving "Long-term Empty" relief as at 31 December 2016*</t>
  </si>
  <si>
    <t>o. Number of hereditaments receiving "Retail" relief as at 31 December 2016*</t>
  </si>
  <si>
    <t>* The data should be as at 31 December 2016 or as soon as possible after that date.</t>
  </si>
  <si>
    <t>NATIONAL NON-DOMESTIC RATES (SUPPLEMENTARY) RETURN 2017-18</t>
  </si>
  <si>
    <t>Amount of relief to be granted in 2017-18
(£)</t>
  </si>
  <si>
    <t>PART 2 : ESTIMATED VALUE OF RELIEF TO BE GRANTED IN 2017-18</t>
  </si>
  <si>
    <t xml:space="preserve">a. Estimated value of empty property relief to be granted in 2017-18 </t>
  </si>
  <si>
    <t>DISREGARDED AMOUNTS</t>
  </si>
  <si>
    <t>DEDUCTIONS FROM CENTRAL SHARE</t>
  </si>
  <si>
    <t>20.  Opening balance plus total credits, less total charges (Total lines 1, 7, 11 &amp;19)</t>
  </si>
  <si>
    <t>Data taken from NNDR1 2016-17</t>
  </si>
  <si>
    <t>Zero in surplus / deficit</t>
  </si>
  <si>
    <t>VOA Data</t>
  </si>
  <si>
    <t>Forecast gross rates payable in 2016-17</t>
  </si>
  <si>
    <t>Forecast of relief to be provided in 2016-17 (SBR)</t>
  </si>
  <si>
    <t>Part 2 Line 5</t>
  </si>
  <si>
    <t>Part 2 Line 12</t>
  </si>
  <si>
    <t>Part 2 Line 14</t>
  </si>
  <si>
    <t>Part 2 Line 15</t>
  </si>
  <si>
    <t>Forecast of relief to be provided in 2016-17
(Charitable occupation)</t>
  </si>
  <si>
    <t>Part 2 Line 16</t>
  </si>
  <si>
    <t>Part 2 Line 17</t>
  </si>
  <si>
    <t>Part 2 Line 18</t>
  </si>
  <si>
    <t>Forecast of relief to be provided in 2016-17
(CASCs)</t>
  </si>
  <si>
    <t>Forecast of relief to be provided in 2016-17
(Rural rate)</t>
  </si>
  <si>
    <t>Forecast of relief to be provided in 2016-17
(Partially occupied)</t>
  </si>
  <si>
    <t>Part 2 Line 22</t>
  </si>
  <si>
    <t>Forecast of relief to be provided in 2016-17
(Empty premises)</t>
  </si>
  <si>
    <t>Part 2 Line 23</t>
  </si>
  <si>
    <t>Part 2 Line 27</t>
  </si>
  <si>
    <t>Part 2 Line 28</t>
  </si>
  <si>
    <t>Part 2 Line 29</t>
  </si>
  <si>
    <t>Part 2 Line 30</t>
  </si>
  <si>
    <t>Part 2 Line 31</t>
  </si>
  <si>
    <t>Part 2 Line 32</t>
  </si>
  <si>
    <t>Forecast of relief to be provided in 2016-17
(Small rural businesses)</t>
  </si>
  <si>
    <t>Forecast of relief to be provided in 2016-17
(Other ratepayers)</t>
  </si>
  <si>
    <t>Forecast of relief to be provided in 2016-17
(Rural shops)</t>
  </si>
  <si>
    <t>Forecast of relief to be provided in  2016-17
(CASCs)</t>
  </si>
  <si>
    <t>Forecast of relief to be provided in  2016-17 
(Non-profit making bodies)</t>
  </si>
  <si>
    <t>Part 2 Line 33</t>
  </si>
  <si>
    <t>Part 2 Line 34</t>
  </si>
  <si>
    <t>Part 2 Line 38</t>
  </si>
  <si>
    <t>Part 2 Line 39</t>
  </si>
  <si>
    <t>Forecast of relief to be provided in 2016-17
(New Empty properties)</t>
  </si>
  <si>
    <t>Forecast of relief to be provided in 2016-17
(Long term empty properties)</t>
  </si>
  <si>
    <t>Forecast of relief to be provided in 2016-17
(In lieu of transitional relief)</t>
  </si>
  <si>
    <t>Part 2 Line 40</t>
  </si>
  <si>
    <t>Part 3 Line 3</t>
  </si>
  <si>
    <t>Mandatory Relief for community amateur sports clubs 31-12-15</t>
  </si>
  <si>
    <t>Mandatory Relief for rural general stores etc 31-12-15</t>
  </si>
  <si>
    <t>Mandatory Relief for partly occupied premises 31-12-15</t>
  </si>
  <si>
    <t>Mandatory Relief for empty premises 31-12-15</t>
  </si>
  <si>
    <t>Discretionary Relief for charitable occupation 31-12-15</t>
  </si>
  <si>
    <t>Discretionary Relief for non profit making bodies 31-12-15</t>
  </si>
  <si>
    <t>Discretionary Relief for community amateur sports clubs 31-12-15</t>
  </si>
  <si>
    <t>Discretionary Relief for rural shops 31-12-15</t>
  </si>
  <si>
    <t>Discretionary Relief for other small rural businesses 31-12-15</t>
  </si>
  <si>
    <t>Discretionary Relief for Enterprise Zones granted discounts 31-12-15</t>
  </si>
  <si>
    <t>Discretionary Relief Subject to S47 local discount 31-12-15</t>
  </si>
  <si>
    <t>SBR  relief scheme by paying the additional supplement as at 31-12-15</t>
  </si>
  <si>
    <t>Discount from  SBR relief as at  31-12-15</t>
  </si>
  <si>
    <t>Paying SBR multiplier and not estimated to receive a discount
31-12-15</t>
  </si>
  <si>
    <t>Data taken from NNDR1(Supplementary) 2016-17</t>
  </si>
  <si>
    <t>Mandatory Relief for charitable occupation
31-12-15</t>
  </si>
  <si>
    <t xml:space="preserve"> 2017-18 Billing authority proportion</t>
  </si>
  <si>
    <t>2017-18 upper tier proportion</t>
  </si>
  <si>
    <t>2017-18 fire proportion</t>
  </si>
  <si>
    <t xml:space="preserve"> 2016-17 Billing authority proportion</t>
  </si>
  <si>
    <t>2016-17 upper tier proportion</t>
  </si>
  <si>
    <t>2016-17 fire proportion</t>
  </si>
  <si>
    <t>2017-18 Sum</t>
  </si>
  <si>
    <t>2016-17 Sum</t>
  </si>
  <si>
    <t>Dorset Green</t>
  </si>
  <si>
    <t>M62 Corridor</t>
  </si>
  <si>
    <t>York Central</t>
  </si>
  <si>
    <t>North East Round 2</t>
  </si>
  <si>
    <t>Newhaven (Small town)</t>
  </si>
  <si>
    <t>Bristol Temple Qtr Extension</t>
  </si>
  <si>
    <t>Bath &amp; Somer Valley</t>
  </si>
  <si>
    <t>Enterprise M3</t>
  </si>
  <si>
    <t>Enviro-Tech</t>
  </si>
  <si>
    <t>Heart of the South West</t>
  </si>
  <si>
    <t>North Kent Innovation Zone</t>
  </si>
  <si>
    <t>Plymouth South Yard</t>
  </si>
  <si>
    <t>Growth Baseline</t>
  </si>
  <si>
    <t>13. % of non-domestic rating income to be allocated to each authority in 2017-18</t>
  </si>
  <si>
    <t>25.  Estimated Surplus/Deficit at end of 2016-17</t>
  </si>
  <si>
    <t>26.  Total amount due to authorities</t>
  </si>
  <si>
    <t>27. Cost of 2% cap on 2015-16 small business rates multiplier</t>
  </si>
  <si>
    <t>29. Cost to authorities of maintaining relief on "first" property</t>
  </si>
  <si>
    <t>30. Cost to authorities of giving relief to newly-built empty property</t>
  </si>
  <si>
    <t>31. Relief on occupation of "long-term empty" property</t>
  </si>
  <si>
    <t>Growth Pilot Areas</t>
  </si>
  <si>
    <t>Port of Bristol</t>
  </si>
  <si>
    <t>ENTERPRISE ZONES</t>
  </si>
  <si>
    <t xml:space="preserve">14. Non-domestic rating income from rates retention scheme </t>
  </si>
  <si>
    <t>15.(less) deductions from central share</t>
  </si>
  <si>
    <t>17. add: cost of collection allowance</t>
  </si>
  <si>
    <t>18. add: amounts retained in respect of Designated Areas</t>
  </si>
  <si>
    <t xml:space="preserve">19. add: amounts retained in respect of renewable energy schemes </t>
  </si>
  <si>
    <t>20. add: qualifying relief in Enterprise Zones</t>
  </si>
  <si>
    <t>21. add: City of London Offset</t>
  </si>
  <si>
    <t>22. add: additional retained Growth in Pilot Areas</t>
  </si>
  <si>
    <t>23. add: in respect of Port of Bristol hereditament</t>
  </si>
  <si>
    <t>24. % of non-domestic rating income to be allocated to each authority in  2016-17 (for row 25)</t>
  </si>
  <si>
    <t>Enterprise Zone qualifying relief in 100% pilot areas</t>
  </si>
  <si>
    <t>28. Cost of doubling SBRR &amp; threshold changes for 2017-18</t>
  </si>
  <si>
    <t>Baseline</t>
  </si>
  <si>
    <t>EZ Name</t>
  </si>
  <si>
    <t>Ezcode</t>
  </si>
  <si>
    <t>ecode</t>
  </si>
  <si>
    <t>ecodes</t>
  </si>
  <si>
    <t>Select an authority</t>
  </si>
  <si>
    <t>Designated Areas</t>
  </si>
  <si>
    <t>Sum payable by rate payers after taking account of transitional adjustments, empty property rate, mandatory and discretionary reliefs</t>
  </si>
  <si>
    <t>NET RATES PAYABLE</t>
  </si>
  <si>
    <t>Estimated bad debts in respect of 2017-18 rates payable</t>
  </si>
  <si>
    <t>LOSSES</t>
  </si>
  <si>
    <t xml:space="preserve">Estimated repayments in respect of 2017-18 rates payable </t>
  </si>
  <si>
    <t>Net Rates payable less losses</t>
  </si>
  <si>
    <t>COLLECTABLE RATES</t>
  </si>
  <si>
    <t xml:space="preserve"> Renewable Energy</t>
  </si>
  <si>
    <t xml:space="preserve">Transitional Protection Payment </t>
  </si>
  <si>
    <t>Total Disregarded Amounts</t>
  </si>
  <si>
    <t>Enterprise Zone Relief</t>
  </si>
  <si>
    <t>8.  Amounts retained in respect of Designated Areas</t>
  </si>
  <si>
    <t>15. Total Deductions</t>
  </si>
  <si>
    <t>Rural Rate Relief</t>
  </si>
  <si>
    <t>33. Amounts of growth retained in "additional growth" pilot areas</t>
  </si>
  <si>
    <t>34. Amount of qualifying relief</t>
  </si>
  <si>
    <t>35.  Amount of Section 31 grant due to authorities to compensate for reliefs</t>
  </si>
  <si>
    <r>
      <t>NB</t>
    </r>
    <r>
      <rPr>
        <sz val="12"/>
        <rFont val="Arial"/>
        <family val="2"/>
      </rPr>
      <t xml:space="preserve"> To determine the amount of S31 grant due to it, the authority will have to add / deduct from the amount shown in line 35, a sum to reflect the adjustment to tariffs / top-ups in respect of the multiplier cap (See notes for Line 35)</t>
    </r>
  </si>
  <si>
    <t xml:space="preserve">32. Cost to authorities of providing 100% rural rate relief </t>
  </si>
  <si>
    <t>Designated Area</t>
  </si>
  <si>
    <t>Total Designated Area value</t>
  </si>
  <si>
    <t>Access_Validations</t>
  </si>
  <si>
    <t>Parameters ovewritten</t>
  </si>
  <si>
    <t>Parameters overwritten</t>
  </si>
  <si>
    <t>AmountCellFormula</t>
  </si>
  <si>
    <t>FormName</t>
  </si>
  <si>
    <t>NNDR1_1718</t>
  </si>
  <si>
    <t>NNDR1</t>
  </si>
  <si>
    <t>DA_Code</t>
  </si>
  <si>
    <t>DA_Name</t>
  </si>
  <si>
    <t>DA_data_col1</t>
  </si>
  <si>
    <t>DA_data_col2</t>
  </si>
  <si>
    <t>DA_data_col3</t>
  </si>
  <si>
    <t>DA_data_col4</t>
  </si>
  <si>
    <t>DA_data_col5</t>
  </si>
  <si>
    <t>DA_data_col6</t>
  </si>
  <si>
    <t>DA_data_col7</t>
  </si>
  <si>
    <t>DA_data_col8</t>
  </si>
  <si>
    <t>DA_data_col9</t>
  </si>
  <si>
    <t>DA_data_col10</t>
  </si>
  <si>
    <t>DA_data_col11</t>
  </si>
  <si>
    <t xml:space="preserve">Estimated repayments in respect of 2016-17 rates payable </t>
  </si>
  <si>
    <t>Part 3 Line 1</t>
  </si>
  <si>
    <t>i. Hereditaments with a rateable value between £0 and £12,000 that will receive the full discount</t>
  </si>
  <si>
    <t>ii. Hereditaments with a rateable value between £12,001 and £15,000 that will receive the discount on a sliding scale</t>
  </si>
  <si>
    <t>i. Hereditaments with a rateable value between £0 and £12,000 receiving the maximum discount</t>
  </si>
  <si>
    <t>ii. Hereditaments with a rateable value between £12,001 and £15,000 receiving the discount on a sliding scale</t>
  </si>
  <si>
    <t>Windsor and Maidenhead UA</t>
  </si>
  <si>
    <t>St. Helens</t>
  </si>
  <si>
    <t>Redcar and Cleveland UA</t>
  </si>
  <si>
    <t>Kingston upon Hull UA</t>
  </si>
  <si>
    <t>Isle of Wight UA</t>
  </si>
  <si>
    <t>Isles of Scilly UA</t>
  </si>
  <si>
    <t>Epsom and Ewell</t>
  </si>
  <si>
    <t>King’s Lynn and West Norfolk</t>
  </si>
  <si>
    <t>CannockChase</t>
  </si>
  <si>
    <t>Brighton and Hove UA</t>
  </si>
  <si>
    <t>Basingstoke and Deane</t>
  </si>
  <si>
    <t>Bath and North East Somerset UA</t>
  </si>
  <si>
    <t>Telford and Wrekin UA</t>
  </si>
  <si>
    <t>Allowance for cost of
collection for 2017-18</t>
  </si>
  <si>
    <t>Number of hereditaments - as at 25 September 2016</t>
  </si>
  <si>
    <t>Aggregate rateable value on rating list on 25 September 2016</t>
  </si>
  <si>
    <t>SBBR - RV between £0 &amp; £12k</t>
  </si>
  <si>
    <t>Number where comments are oustanding</t>
  </si>
  <si>
    <t>Number where comments are outstanding</t>
  </si>
  <si>
    <t>SBBR - RV between £12k &amp; £15k</t>
  </si>
  <si>
    <t xml:space="preserve">15. Transfers made, or to be made, to the billing authority's General Fund in respect of business rates income in 2016-17 </t>
  </si>
  <si>
    <t>o. Number of hereditaments receiving "Retail" relief as at 31 December 2016 - Not applicable in 2017-18</t>
  </si>
  <si>
    <t>o. Number of hereditaments contributing to the small business rate relief scheme by paying the additional supplement as at 31 December 2016*</t>
  </si>
  <si>
    <t>p. Number of hereditaments that receive a discount from the small business rate relief scheme as at 31 December 2016*</t>
  </si>
  <si>
    <t>q. Number of hereditaments that pay only the small business rate multiplier and are not granted a discount as at 31 December 2016*</t>
  </si>
  <si>
    <t>ENTERPRISE ZONES IN 100% PILOT AREAS</t>
  </si>
  <si>
    <t>40. Forecast of relief to be provided in 2017-18</t>
  </si>
  <si>
    <t>43.  Changes as a result of estimated growth/decline in Section 31 discretionary relief
(+ = decline, - = increase)</t>
  </si>
  <si>
    <t>44.  Total forecast of discretionary reliefs funded through S31 grant to be provided in 2017-18</t>
  </si>
  <si>
    <t>45.  Forecast of net rates payable by rate payers after taking account of transitional adjustments, unoccupied property relief, mandatory and discretionary reliefs</t>
  </si>
  <si>
    <t>41. Forecast of relief to be provided in 2017-18</t>
  </si>
  <si>
    <t>Local Newspaper Temporary Relief</t>
  </si>
  <si>
    <t>33. Cost to authorities of providing relief</t>
  </si>
  <si>
    <t>42.  Forecast of discretionary reliefs funded through S31 grant to be provided in 2017-18
(Sum of lines 38 to 41)</t>
  </si>
  <si>
    <t>Local Newspaper temporary Relief</t>
  </si>
  <si>
    <t>LOCK</t>
  </si>
  <si>
    <t>='Part 1'!$K$25</t>
  </si>
  <si>
    <t>='Part 1'!$K$31</t>
  </si>
  <si>
    <t>='Part 1'!$K$33</t>
  </si>
  <si>
    <t>='Part 1'!$K$36</t>
  </si>
  <si>
    <t>='Part 1'!$K$38</t>
  </si>
  <si>
    <t>='Part 1'!$K$40</t>
  </si>
  <si>
    <t>='Part 1'!$K$43</t>
  </si>
  <si>
    <t>='Part 1'!$K$46</t>
  </si>
  <si>
    <t>='Part 1'!$K$48</t>
  </si>
  <si>
    <t>='Part 1'!$K$51</t>
  </si>
  <si>
    <t>='Part 1'!$K$53</t>
  </si>
  <si>
    <t>='Part 1'!$K$56</t>
  </si>
  <si>
    <t>='Part 1'!$K$92</t>
  </si>
  <si>
    <t>='Part 1'!$N$92</t>
  </si>
  <si>
    <t>='Part 1'!$Q$92</t>
  </si>
  <si>
    <t>='Part 1'!$T$92</t>
  </si>
  <si>
    <t>='Part 1'!$W$92</t>
  </si>
  <si>
    <t>='Part 1'!$K$96</t>
  </si>
  <si>
    <t>='Part 1'!$N$96</t>
  </si>
  <si>
    <t>='Part 1'!$Q$96</t>
  </si>
  <si>
    <t>='Part 1'!$T$96</t>
  </si>
  <si>
    <t>='Part 1'!$W$96</t>
  </si>
  <si>
    <t>='Part 1'!$K$99</t>
  </si>
  <si>
    <t>='Part 1'!$N$99</t>
  </si>
  <si>
    <t>='Part 1'!$Q$99</t>
  </si>
  <si>
    <t>='Part 1'!$T$99</t>
  </si>
  <si>
    <t>='Part 1'!$W$99</t>
  </si>
  <si>
    <t>='Part 1'!$K$101</t>
  </si>
  <si>
    <t>='Part 1'!$N$101</t>
  </si>
  <si>
    <t>='Part 1'!$Q$101</t>
  </si>
  <si>
    <t>='Part 1'!$T$101</t>
  </si>
  <si>
    <t>='Part 1'!$W$101</t>
  </si>
  <si>
    <t>='Part 1'!$N$104</t>
  </si>
  <si>
    <t>='Part 1'!$W$104</t>
  </si>
  <si>
    <t>='Part 1'!$N$106</t>
  </si>
  <si>
    <t>='Part 1'!$W$106</t>
  </si>
  <si>
    <t>='Part 1'!$N$108</t>
  </si>
  <si>
    <t>='Part 1'!$Q$108</t>
  </si>
  <si>
    <t>='Part 1'!$W$108</t>
  </si>
  <si>
    <t>='Part 1'!$N$110</t>
  </si>
  <si>
    <t>='Part 1'!$Q$110</t>
  </si>
  <si>
    <t>='Part 1'!$T$110</t>
  </si>
  <si>
    <t>='Part 1'!$W$110</t>
  </si>
  <si>
    <t>='Part 1'!$N$112</t>
  </si>
  <si>
    <t>='Part 1'!$W$112</t>
  </si>
  <si>
    <t>='Part 1'!$N$114</t>
  </si>
  <si>
    <t>='Part 1'!$Q$114</t>
  </si>
  <si>
    <t>='Part 1'!$T$114</t>
  </si>
  <si>
    <t>='Part 1'!$W$114</t>
  </si>
  <si>
    <t>='Part 1'!$N$116</t>
  </si>
  <si>
    <t>='Part 1'!$W$116</t>
  </si>
  <si>
    <t>='Part 1'!$K$119</t>
  </si>
  <si>
    <t>='Part 1'!$N$119</t>
  </si>
  <si>
    <t>='Part 1'!$Q$119</t>
  </si>
  <si>
    <t>='Part 1'!$T$119</t>
  </si>
  <si>
    <t>='Part 1'!$W$119</t>
  </si>
  <si>
    <t>='Part 1'!$K$122</t>
  </si>
  <si>
    <t>='Part 1'!$N$122</t>
  </si>
  <si>
    <t>='Part 1'!$Q$122</t>
  </si>
  <si>
    <t>='Part 1'!$T$122</t>
  </si>
  <si>
    <t>='Part 1'!$W$122</t>
  </si>
  <si>
    <t>='Part 1'!$K$126</t>
  </si>
  <si>
    <t>='Part 1'!$N$126</t>
  </si>
  <si>
    <t>='Part 1'!$Q$126</t>
  </si>
  <si>
    <t>='Part 1'!$T$126</t>
  </si>
  <si>
    <t>='Part 1'!$W$126</t>
  </si>
  <si>
    <t>='Part 1'!$N$165</t>
  </si>
  <si>
    <t>='Part 1'!$Q$165</t>
  </si>
  <si>
    <t>='Part 1'!$T$165</t>
  </si>
  <si>
    <t>='Part 1'!$W$165</t>
  </si>
  <si>
    <t>='Part 1'!$N$168</t>
  </si>
  <si>
    <t>='Part 1'!$Q$168</t>
  </si>
  <si>
    <t>='Part 1'!$T$168</t>
  </si>
  <si>
    <t>='Part 1'!$W$168</t>
  </si>
  <si>
    <t>='Part 1'!$N$170</t>
  </si>
  <si>
    <t>='Part 1'!$Q$170</t>
  </si>
  <si>
    <t>='Part 1'!$T$170</t>
  </si>
  <si>
    <t>='Part 1'!$W$170</t>
  </si>
  <si>
    <t>='Part 1'!$N$173</t>
  </si>
  <si>
    <t>='Part 1'!$Q$173</t>
  </si>
  <si>
    <t>='Part 1'!$T$173</t>
  </si>
  <si>
    <t>='Part 1'!$W$173</t>
  </si>
  <si>
    <t>='Part 1'!$N$176</t>
  </si>
  <si>
    <t>='Part 1'!$Q$176</t>
  </si>
  <si>
    <t>='Part 1'!$T$176</t>
  </si>
  <si>
    <t>='Part 1'!$W$176</t>
  </si>
  <si>
    <t>='Part 1'!$N$179</t>
  </si>
  <si>
    <t>='Part 1'!$Q$179</t>
  </si>
  <si>
    <t>='Part 1'!$T$179</t>
  </si>
  <si>
    <t>='Part 1'!$W$179</t>
  </si>
  <si>
    <t>='Part 1'!$N$182</t>
  </si>
  <si>
    <t>='Part 1'!$Q$182</t>
  </si>
  <si>
    <t>='Part 1'!$T$182</t>
  </si>
  <si>
    <t>='Part 1'!$W$182</t>
  </si>
  <si>
    <t>='Part 1'!$N$185</t>
  </si>
  <si>
    <t>='Part 1'!$Q$185</t>
  </si>
  <si>
    <t>='Part 1'!$T$185</t>
  </si>
  <si>
    <t>='Part 1'!$W$185</t>
  </si>
  <si>
    <t>='Part 1'!$N$189</t>
  </si>
  <si>
    <t>='Part 1'!$Q$189</t>
  </si>
  <si>
    <t>='Part 1'!$T$189</t>
  </si>
  <si>
    <t>='Part 1'!$W$189</t>
  </si>
  <si>
    <t>='Part 2'!$F$18</t>
  </si>
  <si>
    <t>='Part 2'!$J$18</t>
  </si>
  <si>
    <t>='Part 2'!$N$18</t>
  </si>
  <si>
    <t>='Part 2'!$R$18</t>
  </si>
  <si>
    <t>='Part 2'!$G$20</t>
  </si>
  <si>
    <t>='Part 2'!$J$23</t>
  </si>
  <si>
    <t>='Part 2'!$N$23</t>
  </si>
  <si>
    <t>='Part 2'!$J$25</t>
  </si>
  <si>
    <t>='Part 2'!$N$25</t>
  </si>
  <si>
    <t>='Part 2'!$J$28</t>
  </si>
  <si>
    <t>='Part 2'!$N$28</t>
  </si>
  <si>
    <t>='Part 2'!$R$28</t>
  </si>
  <si>
    <t>='Part 2'!$J$32</t>
  </si>
  <si>
    <t>='Part 2'!$N$32</t>
  </si>
  <si>
    <t>='Part 2'!$R$32</t>
  </si>
  <si>
    <t>='Part 2'!$J$35</t>
  </si>
  <si>
    <t>='Part 2'!$N$35</t>
  </si>
  <si>
    <t>='Part 2'!$R$35</t>
  </si>
  <si>
    <t>='Part 2'!$J$39</t>
  </si>
  <si>
    <t>='Part 2'!$N$39</t>
  </si>
  <si>
    <t>='Part 2'!$J$41</t>
  </si>
  <si>
    <t>='Part 2'!$N$41</t>
  </si>
  <si>
    <t>='Part 2'!$J$45</t>
  </si>
  <si>
    <t>='Part 2'!$N$45</t>
  </si>
  <si>
    <t>='Part 2'!$R$45</t>
  </si>
  <si>
    <t>='Part 2'!$J$50</t>
  </si>
  <si>
    <t>='Part 2'!$N$50</t>
  </si>
  <si>
    <t>='Part 2'!$R$50</t>
  </si>
  <si>
    <t>='Part 2'!$J$56</t>
  </si>
  <si>
    <t>='Part 2'!$N$56</t>
  </si>
  <si>
    <t>='Part 2'!$R$56</t>
  </si>
  <si>
    <t>='Part 2'!$J$58</t>
  </si>
  <si>
    <t>='Part 2'!$N$58</t>
  </si>
  <si>
    <t>='Part 2'!$R$58</t>
  </si>
  <si>
    <t>='Part 2'!$J$61</t>
  </si>
  <si>
    <t>='Part 2'!$N$61</t>
  </si>
  <si>
    <t>='Part 2'!$R$61</t>
  </si>
  <si>
    <t>='Part 2'!$J$64</t>
  </si>
  <si>
    <t>='Part 2'!$N$64</t>
  </si>
  <si>
    <t>='Part 2'!$R$64</t>
  </si>
  <si>
    <t>='Part 2'!$J$67</t>
  </si>
  <si>
    <t>='Part 2'!$N$67</t>
  </si>
  <si>
    <t>='Part 2'!$R$67</t>
  </si>
  <si>
    <t>='Part 2'!$J$70</t>
  </si>
  <si>
    <t>='Part 2'!$N$70</t>
  </si>
  <si>
    <t>='Part 2'!$R$70</t>
  </si>
  <si>
    <t>='Part 2'!$J$73</t>
  </si>
  <si>
    <t>='Part 2'!$N$73</t>
  </si>
  <si>
    <t>='Part 2'!$R$73</t>
  </si>
  <si>
    <t>='Part 2'!$J$78</t>
  </si>
  <si>
    <t>='Part 2'!$N$78</t>
  </si>
  <si>
    <t>='Part 2'!$J$81</t>
  </si>
  <si>
    <t>='Part 2'!$N$81</t>
  </si>
  <si>
    <t>='Part 2'!$J$85</t>
  </si>
  <si>
    <t>='Part 2'!$N$85</t>
  </si>
  <si>
    <t>='Part 2'!$R$85</t>
  </si>
  <si>
    <t>='Part 2'!$J$93</t>
  </si>
  <si>
    <t>='Part 2'!$N$93</t>
  </si>
  <si>
    <t>='Part 2'!$R$93</t>
  </si>
  <si>
    <t>='Part 2'!$J$96</t>
  </si>
  <si>
    <t>='Part 2'!$N$96</t>
  </si>
  <si>
    <t>='Part 2'!$R$96</t>
  </si>
  <si>
    <t>='Part 2'!$J$100</t>
  </si>
  <si>
    <t>='Part 2'!$N$100</t>
  </si>
  <si>
    <t>='Part 2'!$J$103</t>
  </si>
  <si>
    <t>='Part 2'!$N$103</t>
  </si>
  <si>
    <t>='Part 2'!$J$107</t>
  </si>
  <si>
    <t>='Part 2'!$N$107</t>
  </si>
  <si>
    <t>='Part 2'!$R$107</t>
  </si>
  <si>
    <t>='Part 2'!$J$113</t>
  </si>
  <si>
    <t>='Part 2'!$N$113</t>
  </si>
  <si>
    <t>='Part 2'!$R$113</t>
  </si>
  <si>
    <t>='Part 2'!$J$116</t>
  </si>
  <si>
    <t>='Part 2'!$N$116</t>
  </si>
  <si>
    <t>='Part 2'!$R$116</t>
  </si>
  <si>
    <t>='Part 2'!$J$119</t>
  </si>
  <si>
    <t>='Part 2'!$N$119</t>
  </si>
  <si>
    <t>='Part 2'!$R$119</t>
  </si>
  <si>
    <t>='Part 2'!$J$122</t>
  </si>
  <si>
    <t>='Part 2'!$N$122</t>
  </si>
  <si>
    <t>='Part 2'!$R$122</t>
  </si>
  <si>
    <t>='Part 2'!$J$125</t>
  </si>
  <si>
    <t>='Part 2'!$N$125</t>
  </si>
  <si>
    <t>='Part 2'!$R$125</t>
  </si>
  <si>
    <t>='Part 2'!$J$128</t>
  </si>
  <si>
    <t>='Part 2'!$N$128</t>
  </si>
  <si>
    <t>='Part 2'!$R$128</t>
  </si>
  <si>
    <t>='Part 2'!$N$131</t>
  </si>
  <si>
    <t>='Part 2'!$J$132</t>
  </si>
  <si>
    <t>='Part 2'!$J$138</t>
  </si>
  <si>
    <t>='Part 2'!$N$138</t>
  </si>
  <si>
    <t>='Part 2'!$J$141</t>
  </si>
  <si>
    <t>='Part 2'!$N$141</t>
  </si>
  <si>
    <t>='Part 2'!$J$145</t>
  </si>
  <si>
    <t>='Part 2'!$N$145</t>
  </si>
  <si>
    <t>='Part 2'!$R$145</t>
  </si>
  <si>
    <t>='Part 2'!$J$153</t>
  </si>
  <si>
    <t>='Part 2'!$N$153</t>
  </si>
  <si>
    <t>='Part 2'!$R$153</t>
  </si>
  <si>
    <t>='Part 2'!$J$156</t>
  </si>
  <si>
    <t>='Part 2'!$N$156</t>
  </si>
  <si>
    <t>='Part 2'!$R$156</t>
  </si>
  <si>
    <t>='Part 2'!$J$159</t>
  </si>
  <si>
    <t>='Part 2'!$N$159</t>
  </si>
  <si>
    <t>='Part 2'!$R$159</t>
  </si>
  <si>
    <t>='Part 2'!$J$162</t>
  </si>
  <si>
    <t>='Part 2'!$N$162</t>
  </si>
  <si>
    <t>='Part 2'!$R$162</t>
  </si>
  <si>
    <t>='Part 2'!$J$165</t>
  </si>
  <si>
    <t>='Part 2'!$N$165</t>
  </si>
  <si>
    <t>='Part 2'!$J$169</t>
  </si>
  <si>
    <t>='Part 2'!$N$169</t>
  </si>
  <si>
    <t>='Part 2'!$J$173</t>
  </si>
  <si>
    <t>='Part 2'!$N$173</t>
  </si>
  <si>
    <t>='Part 2'!$R$173</t>
  </si>
  <si>
    <t>='Part 2'!$J$181</t>
  </si>
  <si>
    <t>='Part 2'!$N$181</t>
  </si>
  <si>
    <t>='Part 2'!$R$181</t>
  </si>
  <si>
    <t>='Part 3'!$G$18</t>
  </si>
  <si>
    <t>='Part 3'!$K$18</t>
  </si>
  <si>
    <t>='Part 3'!$O$18</t>
  </si>
  <si>
    <t>='Part 3'!$G$23</t>
  </si>
  <si>
    <t>='Part 3'!$K$23</t>
  </si>
  <si>
    <t>='Part 3'!$O$23</t>
  </si>
  <si>
    <t>='Part 3'!$G$26</t>
  </si>
  <si>
    <t>='Part 3'!$K$26</t>
  </si>
  <si>
    <t>='Part 3'!$O$26</t>
  </si>
  <si>
    <t>='Part 3'!$G$31</t>
  </si>
  <si>
    <t>='Part 3'!$K$31</t>
  </si>
  <si>
    <t>='Part 3'!$O$31</t>
  </si>
  <si>
    <t>='Part 3'!$G$36</t>
  </si>
  <si>
    <t>='Part 3'!$K$36</t>
  </si>
  <si>
    <t>='Part 3'!$O$36</t>
  </si>
  <si>
    <t>='Part 3'!$K$38</t>
  </si>
  <si>
    <t>='Part 3'!$K$40</t>
  </si>
  <si>
    <t>='Part 3'!$K$44</t>
  </si>
  <si>
    <t>='Part 3'!$O$44</t>
  </si>
  <si>
    <t>='Part 3'!$G$49</t>
  </si>
  <si>
    <t>='Part 3'!$K$49</t>
  </si>
  <si>
    <t>='Part 3'!$O$49</t>
  </si>
  <si>
    <t>='Part 3'!$G$54</t>
  </si>
  <si>
    <t>='Part 3'!$K$54</t>
  </si>
  <si>
    <t>='Part 3'!$O$54</t>
  </si>
  <si>
    <t>='Part 3'!$G$57</t>
  </si>
  <si>
    <t>='Part 3'!$O$57</t>
  </si>
  <si>
    <t>='Part 3'!$G$60</t>
  </si>
  <si>
    <t>='Part 3'!$O$60</t>
  </si>
  <si>
    <t>='Part 3'!$G$62</t>
  </si>
  <si>
    <t>='Part 3'!$O$62</t>
  </si>
  <si>
    <t>='Part 3'!$G$66</t>
  </si>
  <si>
    <t>='Part 3'!$O$66</t>
  </si>
  <si>
    <t>='Part 3'!$G$70</t>
  </si>
  <si>
    <t>='Part 3'!$K$70</t>
  </si>
  <si>
    <t>='Part 3'!$O$70</t>
  </si>
  <si>
    <t>='Part 4'!$L$15</t>
  </si>
  <si>
    <t>='Part 4'!$I$18</t>
  </si>
  <si>
    <t>='Part 4'!$I$20</t>
  </si>
  <si>
    <t>='Part 4'!$I$22</t>
  </si>
  <si>
    <t>='Part 4'!$I$24</t>
  </si>
  <si>
    <t>='Part 4'!$I$26</t>
  </si>
  <si>
    <t>='Part 4'!$L$28</t>
  </si>
  <si>
    <t>='Part 4'!$I$31</t>
  </si>
  <si>
    <t>='Part 4'!$I$33</t>
  </si>
  <si>
    <t>='Part 4'!$I$35</t>
  </si>
  <si>
    <t>='Part 4'!$L$37</t>
  </si>
  <si>
    <t>='Part 4'!$I$40</t>
  </si>
  <si>
    <t>='Part 4'!$I$42</t>
  </si>
  <si>
    <t>='Part 4'!$I$45</t>
  </si>
  <si>
    <t>='Part 4'!$I$48</t>
  </si>
  <si>
    <t>='Part 4'!$I$51</t>
  </si>
  <si>
    <t>='Part 4'!$I$54</t>
  </si>
  <si>
    <t>='Part 4'!$I$56</t>
  </si>
  <si>
    <t>='Part 4'!$L$58</t>
  </si>
  <si>
    <t>='Part 4'!$L$63</t>
  </si>
  <si>
    <t>='Supplementary Information'!$H$24</t>
  </si>
  <si>
    <t>='Supplementary Information'!$H$26</t>
  </si>
  <si>
    <t>='Supplementary Information'!$H$28</t>
  </si>
  <si>
    <t>='Supplementary Information'!$H$30</t>
  </si>
  <si>
    <t>='Supplementary Information'!$H$32</t>
  </si>
  <si>
    <t>='Supplementary Information'!$H$34</t>
  </si>
  <si>
    <t>='Supplementary Information'!$H$36</t>
  </si>
  <si>
    <t>='Supplementary Information'!$H$38</t>
  </si>
  <si>
    <t>='Supplementary Information'!$H$40</t>
  </si>
  <si>
    <t>='Supplementary Information'!$H$42</t>
  </si>
  <si>
    <t>='Supplementary Information'!$H$44</t>
  </si>
  <si>
    <t>='Supplementary Information'!$H$47</t>
  </si>
  <si>
    <t>='Supplementary Information'!$H$49</t>
  </si>
  <si>
    <t>='Supplementary Information'!$H$51</t>
  </si>
  <si>
    <t>='Supplementary Information'!$H$53</t>
  </si>
  <si>
    <t>='Supplementary Information'!$H$55</t>
  </si>
  <si>
    <t>='Supplementary Information'!$H$57</t>
  </si>
  <si>
    <t>='Supplementary Information'!$H$59</t>
  </si>
  <si>
    <t>='Supplementary Information'!$H$62</t>
  </si>
  <si>
    <t>='Supplementary Information'!$H$64</t>
  </si>
  <si>
    <t>='Supplementary Information'!$H$66</t>
  </si>
  <si>
    <t>='Supplementary Information'!$H$69</t>
  </si>
  <si>
    <t>='Supplementary Information'!$H$71</t>
  </si>
  <si>
    <t>='Supplementary Information'!$H$74</t>
  </si>
  <si>
    <t>='Supplementary Information'!$H$76</t>
  </si>
  <si>
    <t>='Supplementary Information'!$H$78</t>
  </si>
  <si>
    <t>='Supplementary Information'!$H$87</t>
  </si>
  <si>
    <t>='Supplementary Information'!$H$90</t>
  </si>
  <si>
    <t>='Supplementary Information'!$H$92</t>
  </si>
  <si>
    <t>='Supplementary Information'!$H$94</t>
  </si>
  <si>
    <t>='Supplementary Information'!$H$96</t>
  </si>
  <si>
    <t>='Supplementary Information'!$H$98</t>
  </si>
  <si>
    <t>='Supplementary Information'!$H$100</t>
  </si>
  <si>
    <t>='Supplementary Information'!$H$103</t>
  </si>
  <si>
    <t>='Supplementary Information'!$H$105</t>
  </si>
  <si>
    <t>='Supplementary Information'!$H$107</t>
  </si>
  <si>
    <t>='Supplementary Information'!$H$110</t>
  </si>
  <si>
    <t>='Main Validation'!Y17</t>
  </si>
  <si>
    <t>='Main Validation'!Y20</t>
  </si>
  <si>
    <t>='Main Validation'!Y21</t>
  </si>
  <si>
    <t>='Main Validation'!Y22</t>
  </si>
  <si>
    <t>='Main Validation'!Y23</t>
  </si>
  <si>
    <t>='Main Validation'!Y24</t>
  </si>
  <si>
    <t>='Main Validation'!Y25</t>
  </si>
  <si>
    <t>='Main Validation'!Y26</t>
  </si>
  <si>
    <t>='Main Validation'!Y27</t>
  </si>
  <si>
    <t>='Main Validation'!Y30</t>
  </si>
  <si>
    <t>='Main Validation'!Y31</t>
  </si>
  <si>
    <t>='Main Validation'!Y32</t>
  </si>
  <si>
    <t>='Main Validation'!Y33</t>
  </si>
  <si>
    <t>='Main Validation'!Y34</t>
  </si>
  <si>
    <t>='Main Validation'!Y35</t>
  </si>
  <si>
    <t>='Main Validation'!Y36</t>
  </si>
  <si>
    <t>='Main Validation'!Y37</t>
  </si>
  <si>
    <t>='Main Validation'!Y38</t>
  </si>
  <si>
    <t>='Main Validation'!Y39</t>
  </si>
  <si>
    <t>='Main Validation'!Y41</t>
  </si>
  <si>
    <t>='Main Validation'!Y44</t>
  </si>
  <si>
    <t>='Main Validation'!Y45</t>
  </si>
  <si>
    <t>='Supplementary Validation'!Y18</t>
  </si>
  <si>
    <t>='Supplementary Validation'!Y19</t>
  </si>
  <si>
    <t>='Supplementary Validation'!Y20</t>
  </si>
  <si>
    <t>='Supplementary Validation'!Y21</t>
  </si>
  <si>
    <t>='Supplementary Validation'!Y22</t>
  </si>
  <si>
    <t>='Supplementary Validation'!Y25</t>
  </si>
  <si>
    <t>='Supplementary Validation'!Y26</t>
  </si>
  <si>
    <t>='Supplementary Validation'!Y27</t>
  </si>
  <si>
    <t>='Supplementary Validation'!Y28</t>
  </si>
  <si>
    <t>='Supplementary Validation'!Y29</t>
  </si>
  <si>
    <t>='Supplementary Validation'!Y30</t>
  </si>
  <si>
    <t>='Supplementary Validation'!Y31</t>
  </si>
  <si>
    <t>='Supplementary Validation'!Y32</t>
  </si>
  <si>
    <t>='Supplementary Validation'!Y33</t>
  </si>
  <si>
    <t>='Supplementary Validation'!Y34</t>
  </si>
  <si>
    <t>='Supplementary Validation'!Y35</t>
  </si>
  <si>
    <t>='Supplementary Validation'!Y36</t>
  </si>
  <si>
    <t>='Supplementary Validation'!Y39</t>
  </si>
  <si>
    <t>='CHECK P1'!AQ25</t>
  </si>
  <si>
    <t>='CHECK P1'!AQ31</t>
  </si>
  <si>
    <t>='CHECK P1'!AQ33</t>
  </si>
  <si>
    <t>='CHECK P1'!AQ36</t>
  </si>
  <si>
    <t>='CHECK P1'!AQ38</t>
  </si>
  <si>
    <t>='CHECK P1'!AQ40</t>
  </si>
  <si>
    <t>='CHECK P1'!AQ43</t>
  </si>
  <si>
    <t>='CHECK P1'!AQ46</t>
  </si>
  <si>
    <t>='CHECK P1'!AQ48</t>
  </si>
  <si>
    <t>='CHECK P1'!AQ51</t>
  </si>
  <si>
    <t>='CHECK P1'!AQ53</t>
  </si>
  <si>
    <t>='CHECK P1'!AQ56</t>
  </si>
  <si>
    <t>='CHECK P1'!AQ92</t>
  </si>
  <si>
    <t>='CHECK P1'!AQ96</t>
  </si>
  <si>
    <t>='CHECK P1'!AQ99</t>
  </si>
  <si>
    <t>='CHECK P1'!AQ101</t>
  </si>
  <si>
    <t>='CHECK P1'!AQ104</t>
  </si>
  <si>
    <t>='CHECK P1'!AQ106</t>
  </si>
  <si>
    <t>='CHECK P1'!AQ108</t>
  </si>
  <si>
    <t>='CHECK P1'!AQ110</t>
  </si>
  <si>
    <t>='CHECK P1'!AQ112</t>
  </si>
  <si>
    <t>='CHECK P1'!AQ114</t>
  </si>
  <si>
    <t>='CHECK P1'!AQ116</t>
  </si>
  <si>
    <t>='CHECK P1'!AQ119</t>
  </si>
  <si>
    <t>='CHECK P1'!AQ122</t>
  </si>
  <si>
    <t>='CHECK P1'!AQ126</t>
  </si>
  <si>
    <t>='CHECK P1'!AQ165</t>
  </si>
  <si>
    <t>='CHECK P1'!AQ168</t>
  </si>
  <si>
    <t>='CHECK P1'!AQ170</t>
  </si>
  <si>
    <t>='CHECK P1'!AQ173</t>
  </si>
  <si>
    <t>='CHECK P1'!AQ176</t>
  </si>
  <si>
    <t>='CHECK P1'!AQ179</t>
  </si>
  <si>
    <t>='CHECK P1'!AQ182</t>
  </si>
  <si>
    <t>='CHECK P1'!AQ185</t>
  </si>
  <si>
    <t>='CHECK P1'!AQ189</t>
  </si>
  <si>
    <t>='CHECK P2'!AL18</t>
  </si>
  <si>
    <t>='CHECK P2'!AL20</t>
  </si>
  <si>
    <t>='CHECK P2'!AL23</t>
  </si>
  <si>
    <t>='CHECK P2'!AL25</t>
  </si>
  <si>
    <t>='CHECK P2'!AL28</t>
  </si>
  <si>
    <t>='CHECK P2'!AL32</t>
  </si>
  <si>
    <t>='CHECK P2'!AL35</t>
  </si>
  <si>
    <t>='CHECK P2'!AL39</t>
  </si>
  <si>
    <t>='CHECK P2'!AL41</t>
  </si>
  <si>
    <t>='CHECK P2'!AL45</t>
  </si>
  <si>
    <t>='CHECK P2'!AL50</t>
  </si>
  <si>
    <t>='CHECK P2'!AL56</t>
  </si>
  <si>
    <t>='CHECK P2'!AL58</t>
  </si>
  <si>
    <t>='CHECK P2'!AL61</t>
  </si>
  <si>
    <t>='CHECK P2'!AL64</t>
  </si>
  <si>
    <t>='CHECK P2'!AL67</t>
  </si>
  <si>
    <t>='CHECK P2'!AL70</t>
  </si>
  <si>
    <t>='CHECK P2'!AL73</t>
  </si>
  <si>
    <t>='CHECK P2'!AL78</t>
  </si>
  <si>
    <t>='CHECK P2'!AL81</t>
  </si>
  <si>
    <t>='CHECK P2'!AL85</t>
  </si>
  <si>
    <t>='CHECK P2'!AL93</t>
  </si>
  <si>
    <t>='CHECK P2'!AL96</t>
  </si>
  <si>
    <t>='CHECK P2'!AL100</t>
  </si>
  <si>
    <t>='CHECK P2'!AL103</t>
  </si>
  <si>
    <t>='CHECK P2'!AL107</t>
  </si>
  <si>
    <t>='CHECK P2'!AL113</t>
  </si>
  <si>
    <t>='CHECK P2'!AL116</t>
  </si>
  <si>
    <t>='CHECK P2'!AL119</t>
  </si>
  <si>
    <t>='CHECK P2'!AL122</t>
  </si>
  <si>
    <t>='CHECK P2'!AL125</t>
  </si>
  <si>
    <t>='CHECK P2'!AL128</t>
  </si>
  <si>
    <t>='CHECK P2'!AL131</t>
  </si>
  <si>
    <t>='CHECK P2'!AL132</t>
  </si>
  <si>
    <t>='CHECK P2'!AL138</t>
  </si>
  <si>
    <t>='CHECK P2'!AL141</t>
  </si>
  <si>
    <t>='CHECK P2'!AL145</t>
  </si>
  <si>
    <t>='CHECK P2'!AL153</t>
  </si>
  <si>
    <t>='CHECK P2'!AL156</t>
  </si>
  <si>
    <t>='CHECK P2'!AL159</t>
  </si>
  <si>
    <t>='CHECK P2'!AL162</t>
  </si>
  <si>
    <t>='CHECK P2'!AL165</t>
  </si>
  <si>
    <t>='CHECK P2'!AL169</t>
  </si>
  <si>
    <t>='CHECK P2'!AL173</t>
  </si>
  <si>
    <t>='CHECK P2'!AL181</t>
  </si>
  <si>
    <t>='CHECK P3'!AH18</t>
  </si>
  <si>
    <t>='CHECK P3'!AH23</t>
  </si>
  <si>
    <t>='CHECK P3'!AH26</t>
  </si>
  <si>
    <t>='CHECK P3'!AH31</t>
  </si>
  <si>
    <t>='CHECK P3'!AH36</t>
  </si>
  <si>
    <t>='CHECK P3'!AH38</t>
  </si>
  <si>
    <t>='CHECK P3'!AH40</t>
  </si>
  <si>
    <t>='CHECK P3'!AH44</t>
  </si>
  <si>
    <t>='CHECK P3'!AH49</t>
  </si>
  <si>
    <t>='CHECK P3'!AH54</t>
  </si>
  <si>
    <t>='CHECK P3'!AH57</t>
  </si>
  <si>
    <t>='CHECK P3'!AH60</t>
  </si>
  <si>
    <t>='CHECK P3'!AH62</t>
  </si>
  <si>
    <t>='CHECK P3'!AH66</t>
  </si>
  <si>
    <t>='CHECK P3'!AH70</t>
  </si>
  <si>
    <t>='CHECK P4'!S28</t>
  </si>
  <si>
    <t>='CHECK P4'!S37</t>
  </si>
  <si>
    <t>='CHECK P4'!S58</t>
  </si>
  <si>
    <t>='CHECK P4'!S63</t>
  </si>
  <si>
    <t>='CHECK SUPPLEMENTARY'!L32</t>
  </si>
  <si>
    <t>='CHECK SUPPLEMENTARY'!L66</t>
  </si>
  <si>
    <t>='CHECK SUPPLEMENTARY'!L71</t>
  </si>
  <si>
    <t>='CHECK SUPPLEMENTARY'!L87</t>
  </si>
  <si>
    <t>='CHECK SUPPLEMENTARY'!L103</t>
  </si>
  <si>
    <t>='CHECK SUPPLEMENTARY'!L110</t>
  </si>
  <si>
    <t>='CHECK P3 DA'!BA6</t>
  </si>
  <si>
    <t>='CHECK P3 DA'!BA13</t>
  </si>
  <si>
    <t>='CHECK P3 DA'!BA14</t>
  </si>
  <si>
    <t>='CHECK P3 DA'!BA15</t>
  </si>
  <si>
    <t>='CHECK P3 DA'!BA16</t>
  </si>
  <si>
    <t>='CHECK P3 DA'!BA17</t>
  </si>
  <si>
    <t>='CHECK P3 DA'!BA18</t>
  </si>
  <si>
    <t>='CHECK P3 DA'!BA19</t>
  </si>
  <si>
    <t>='CHECK P3 DA'!BA20</t>
  </si>
  <si>
    <t>='CHECK P3 DA'!BA21</t>
  </si>
  <si>
    <t>='CHECK P3 DA'!BA22</t>
  </si>
  <si>
    <t>='CHECK P3 DA'!BA23</t>
  </si>
  <si>
    <t>='CHECK P3 DA'!BA24</t>
  </si>
  <si>
    <t>='CHECK P3 DA'!BA25</t>
  </si>
  <si>
    <t>='CHECK P3 DA'!BA26</t>
  </si>
  <si>
    <t>='CHECK P3 DA'!BA27</t>
  </si>
  <si>
    <t>='CHECK P3 DA'!BA28</t>
  </si>
  <si>
    <t>='CHECK P3 DA'!BA29</t>
  </si>
  <si>
    <t>='CHECK P3 DA'!BA30</t>
  </si>
  <si>
    <t>='CHECK P3 DA'!BA31</t>
  </si>
  <si>
    <t>='CHECK P3 DA'!BA32</t>
  </si>
  <si>
    <t>='CHECK P3 DA'!BA33</t>
  </si>
  <si>
    <t>='CHECK P3 DA'!BA34</t>
  </si>
  <si>
    <t>='CHECK P3 DA'!BA35</t>
  </si>
  <si>
    <t>='CHECK P3 DA'!BA36</t>
  </si>
  <si>
    <t>='CHECK P3 DA'!BA37</t>
  </si>
  <si>
    <t>='CHECK P3 DA'!BA38</t>
  </si>
  <si>
    <t>='CHECK P3 DA'!BA39</t>
  </si>
  <si>
    <t>='CHECK P3 DA'!BA40</t>
  </si>
  <si>
    <t>='CHECK P3 DA'!BA41</t>
  </si>
  <si>
    <t>='CHECK P3 DA'!BA42</t>
  </si>
  <si>
    <t>='CHECK P3 DA'!BA43</t>
  </si>
  <si>
    <t>='CHECK P3 DA'!BA44</t>
  </si>
  <si>
    <t>='CHECK P3 DA'!BA45</t>
  </si>
  <si>
    <t>='CHECK P3 DA'!BA46</t>
  </si>
  <si>
    <t>='CHECK P3 DA'!BA47</t>
  </si>
  <si>
    <t>='CHECK P3 DA'!BA48</t>
  </si>
  <si>
    <t>='CHECK P3 DA'!BA49</t>
  </si>
  <si>
    <t>='CHECK P3 DA'!BA50</t>
  </si>
  <si>
    <t>='CHECK P3 DA'!BA51</t>
  </si>
  <si>
    <t>='CHECK P3 DA'!BA52</t>
  </si>
  <si>
    <t>='CHECK P3 DA'!BA53</t>
  </si>
  <si>
    <t>='Main Validation'!AC46</t>
  </si>
  <si>
    <t>='Supplementary Validation'!AC40</t>
  </si>
  <si>
    <t>='Main Validation'!D17</t>
  </si>
  <si>
    <t>='Main Validation'!D20</t>
  </si>
  <si>
    <t>='Main Validation'!D21</t>
  </si>
  <si>
    <t>='Main Validation'!D22</t>
  </si>
  <si>
    <t>='Main Validation'!D23</t>
  </si>
  <si>
    <t>='Main Validation'!D24</t>
  </si>
  <si>
    <t>='Main Validation'!D25</t>
  </si>
  <si>
    <t>='Main Validation'!D26</t>
  </si>
  <si>
    <t>='Main Validation'!D27</t>
  </si>
  <si>
    <t>='Main Validation'!D30</t>
  </si>
  <si>
    <t>='Main Validation'!D31</t>
  </si>
  <si>
    <t>='Main Validation'!D32</t>
  </si>
  <si>
    <t>='Main Validation'!D33</t>
  </si>
  <si>
    <t>='Main Validation'!D34</t>
  </si>
  <si>
    <t>='Main Validation'!D35</t>
  </si>
  <si>
    <t>='Main Validation'!D36</t>
  </si>
  <si>
    <t>='Main Validation'!D37</t>
  </si>
  <si>
    <t>='Main Validation'!D38</t>
  </si>
  <si>
    <t>='Main Validation'!D39</t>
  </si>
  <si>
    <t>='Main Validation'!D41</t>
  </si>
  <si>
    <t>='Main Validation'!D44</t>
  </si>
  <si>
    <t>='Supplementary Validation'!D18</t>
  </si>
  <si>
    <t>='Supplementary Validation'!D19</t>
  </si>
  <si>
    <t>='Supplementary Validation'!D20</t>
  </si>
  <si>
    <t>='Supplementary Validation'!D21</t>
  </si>
  <si>
    <t>='Supplementary Validation'!D22</t>
  </si>
  <si>
    <t>='Supplementary Validation'!D25</t>
  </si>
  <si>
    <t>='Supplementary Validation'!D26</t>
  </si>
  <si>
    <t>='Supplementary Validation'!D27</t>
  </si>
  <si>
    <t>='Supplementary Validation'!D28</t>
  </si>
  <si>
    <t>='Supplementary Validation'!D29</t>
  </si>
  <si>
    <t>='Supplementary Validation'!D30</t>
  </si>
  <si>
    <t>='Supplementary Validation'!D31</t>
  </si>
  <si>
    <t>='Supplementary Validation'!D32</t>
  </si>
  <si>
    <t>='Supplementary Validation'!D33</t>
  </si>
  <si>
    <t>='Supplementary Validation'!D34</t>
  </si>
  <si>
    <t>='Supplementary Validation'!D35</t>
  </si>
  <si>
    <t>='Supplementary Validation'!D36</t>
  </si>
  <si>
    <t>='Supplementary Validation'!D39</t>
  </si>
  <si>
    <t>='Part 1'!X21</t>
  </si>
  <si>
    <t>Buckinghamshire Thames Valley: Silverstone</t>
  </si>
  <si>
    <t>Buckinghamshire Thames Valley: Aria/Woodlands</t>
  </si>
  <si>
    <t>Buckinghamshire Thames Valley: Westcott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</si>
  <si>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</si>
  <si>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</si>
  <si>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</si>
  <si>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</si>
  <si>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</si>
  <si>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</si>
  <si>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</si>
  <si>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</si>
  <si>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</si>
  <si>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</si>
  <si>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</si>
  <si>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</si>
  <si>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</si>
  <si>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</si>
  <si>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</si>
  <si>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</si>
  <si>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</si>
  <si>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</si>
  <si>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</si>
  <si>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</si>
  <si>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</si>
  <si>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</si>
  <si>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</si>
  <si>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</si>
  <si>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</si>
  <si>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</si>
  <si>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</si>
  <si>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</si>
  <si>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</si>
  <si>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</si>
  <si>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</si>
  <si>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</si>
  <si>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</si>
  <si>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</si>
  <si>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</si>
  <si>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</si>
  <si>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</si>
  <si>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</si>
  <si>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</si>
  <si>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</si>
  <si>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</si>
  <si>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</si>
  <si>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</si>
  <si>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</si>
  <si>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</si>
  <si>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</si>
  <si>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</si>
  <si>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</si>
  <si>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</si>
  <si>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</si>
  <si>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</si>
  <si>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</si>
  <si>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</si>
  <si>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</si>
  <si>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</si>
  <si>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</si>
  <si>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</si>
  <si>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</si>
  <si>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</si>
  <si>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</si>
  <si>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</si>
  <si>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</si>
  <si>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</si>
  <si>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</si>
  <si>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</si>
  <si>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</si>
  <si>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</si>
  <si>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</si>
  <si>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</si>
  <si>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</si>
  <si>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</si>
  <si>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</si>
  <si>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</si>
  <si>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</si>
  <si>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</si>
  <si>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</si>
  <si>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</si>
  <si>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</si>
  <si>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</si>
  <si>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</si>
  <si>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</si>
  <si>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</si>
  <si>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</si>
  <si>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</si>
  <si>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</si>
  <si>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</si>
  <si>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</si>
  <si>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</si>
  <si>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</si>
  <si>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</si>
  <si>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</si>
  <si>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</si>
  <si>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</si>
  <si>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</si>
  <si>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</si>
  <si>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</si>
  <si>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</si>
  <si>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</si>
  <si>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</si>
  <si>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</si>
  <si>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</si>
  <si>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Rochester Airport Technology Park</t>
  </si>
  <si>
    <t>New Anglia EZ: Sproughton Road</t>
  </si>
  <si>
    <t>New Anglia EZ: Mill Lane</t>
  </si>
  <si>
    <t>Tees Valley EZ Growth Extension: Middlesbrough historic quarter</t>
  </si>
  <si>
    <t>Ceramics Valley: Chatterley Valley West</t>
  </si>
  <si>
    <t>North Bank of the Tyne extension</t>
  </si>
  <si>
    <t>Newcastle International Airport Business Park</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</si>
  <si>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</si>
  <si>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</si>
  <si>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</si>
  <si>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</si>
  <si>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</si>
  <si>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</si>
  <si>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</si>
  <si>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</si>
  <si>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</si>
  <si>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</si>
  <si>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</si>
  <si>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</si>
  <si>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</si>
  <si>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</si>
  <si>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</si>
  <si>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</si>
  <si>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</si>
  <si>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</si>
  <si>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</si>
  <si>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</si>
  <si>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</si>
  <si>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</si>
  <si>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</si>
  <si>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</si>
  <si>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</si>
  <si>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</si>
  <si>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</si>
  <si>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</si>
  <si>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</si>
  <si>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</si>
  <si>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</si>
  <si>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</si>
  <si>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</si>
  <si>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</si>
  <si>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</si>
  <si>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</si>
  <si>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</si>
  <si>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International Advanced Manufacturing Park</t>
  </si>
  <si>
    <t>Port of Sunderland</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</si>
  <si>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</si>
  <si>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</si>
  <si>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</si>
  <si>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</si>
  <si>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</si>
  <si>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</si>
  <si>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</si>
  <si>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</si>
  <si>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</si>
  <si>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</si>
  <si>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</si>
  <si>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</si>
  <si>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</si>
  <si>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</si>
  <si>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</si>
  <si>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</si>
  <si>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</si>
  <si>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</si>
  <si>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DY5 EZ</t>
  </si>
  <si>
    <t>Loughborough &amp; Leicester Science Park</t>
  </si>
  <si>
    <t>Enter as +ve figure</t>
  </si>
  <si>
    <t>Enter as -ve figure</t>
  </si>
  <si>
    <t>formula</t>
  </si>
  <si>
    <t>Relief Given to Case A Hereditaments</t>
  </si>
  <si>
    <t>Column 9  for non Pilot Authorities</t>
  </si>
  <si>
    <t>EZ RELIEF</t>
  </si>
  <si>
    <t>Compensation Due</t>
  </si>
  <si>
    <t>E6354</t>
  </si>
  <si>
    <t>West of England CA</t>
  </si>
  <si>
    <t xml:space="preserve">Transitional Protection Payment  </t>
  </si>
  <si>
    <t>A</t>
  </si>
  <si>
    <t>B</t>
  </si>
  <si>
    <t>Enter as either a +ve or -ve figure consistent with the calculation in Part 2 Line 11</t>
  </si>
  <si>
    <t>No comparable data to test against</t>
  </si>
  <si>
    <t>Appeals provision (Part 3 Line 3)</t>
  </si>
  <si>
    <t>9.  Enterprise Zone Qualifying Relief</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</si>
</sst>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quot;£&quot;* #,##0.00_);_(&quot;£&quot;* \(#,##0.00\);_(&quot;£&quot;* &quot;-&quot;??_);_(@_)"/>
    <numFmt numFmtId="165" formatCode="_(* #,##0.00_);_(* \(#,##0.00\);_(* &quot;-&quot;??_);_(@_)"/>
    <numFmt numFmtId="166" formatCode="#,##0.000"/>
    <numFmt numFmtId="167" formatCode="#,##0.000000000000"/>
    <numFmt numFmtId="168" formatCode="#,##0.000000000000000"/>
    <numFmt numFmtId="169" formatCode="0.0"/>
    <numFmt numFmtId="170" formatCode="#,##0.0"/>
  </numFmts>
  <fonts count="127"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b/>
      <sz val="1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8"/>
      <name val="Arial"/>
      <family val="2"/>
    </font>
    <font>
      <b/>
      <u/>
      <sz val="12"/>
      <name val="Arial"/>
      <family val="2"/>
    </font>
    <font>
      <b/>
      <sz val="14"/>
      <name val="Arial"/>
      <family val="2"/>
    </font>
    <font>
      <b/>
      <sz val="16"/>
      <name val="Arial"/>
      <family val="2"/>
    </font>
    <font>
      <sz val="14"/>
      <name val="Arial"/>
      <family val="2"/>
    </font>
    <font>
      <sz val="14"/>
      <name val="Arial"/>
      <family val="2"/>
    </font>
    <font>
      <b/>
      <u/>
      <sz val="14"/>
      <name val="Arial"/>
      <family val="2"/>
    </font>
    <font>
      <i/>
      <sz val="14"/>
      <name val="Arial"/>
      <family val="2"/>
    </font>
    <font>
      <b/>
      <i/>
      <sz val="14"/>
      <name val="Arial"/>
      <family val="2"/>
    </font>
    <font>
      <sz val="14"/>
      <color indexed="12"/>
      <name val="Arial"/>
      <family val="2"/>
    </font>
    <font>
      <b/>
      <sz val="14"/>
      <name val="Arial"/>
      <family val="2"/>
    </font>
    <font>
      <u/>
      <sz val="14"/>
      <color indexed="12"/>
      <name val="Arial"/>
      <family val="2"/>
    </font>
    <font>
      <sz val="14"/>
      <color indexed="10"/>
      <name val="Arial"/>
      <family val="2"/>
    </font>
    <font>
      <sz val="12"/>
      <color indexed="10"/>
      <name val="Arial"/>
      <family val="2"/>
    </font>
    <font>
      <sz val="10"/>
      <color indexed="10"/>
      <name val="Arial"/>
      <family val="2"/>
    </font>
    <font>
      <b/>
      <sz val="12"/>
      <color indexed="10"/>
      <name val="Arial"/>
      <family val="2"/>
    </font>
    <font>
      <b/>
      <sz val="8"/>
      <color indexed="10"/>
      <name val="Arial"/>
      <family val="2"/>
    </font>
    <font>
      <i/>
      <sz val="12"/>
      <name val="Arial"/>
      <family val="2"/>
    </font>
    <font>
      <sz val="12"/>
      <color indexed="10"/>
      <name val="Arial"/>
      <family val="2"/>
    </font>
    <font>
      <b/>
      <sz val="12"/>
      <color indexed="10"/>
      <name val="Arial"/>
      <family val="2"/>
    </font>
    <font>
      <sz val="10"/>
      <color indexed="10"/>
      <name val="Arial"/>
      <family val="2"/>
    </font>
    <font>
      <sz val="8"/>
      <color indexed="10"/>
      <name val="Arial"/>
      <family val="2"/>
    </font>
    <font>
      <sz val="11"/>
      <color indexed="10"/>
      <name val="Arial"/>
      <family val="2"/>
    </font>
    <font>
      <i/>
      <sz val="10"/>
      <name val="Arial"/>
      <family val="2"/>
    </font>
    <font>
      <sz val="12"/>
      <color indexed="44"/>
      <name val="Arial"/>
      <family val="2"/>
    </font>
    <font>
      <sz val="12"/>
      <color indexed="10"/>
      <name val="Arial"/>
      <family val="2"/>
    </font>
    <font>
      <b/>
      <sz val="12"/>
      <color indexed="10"/>
      <name val="Arial"/>
      <family val="2"/>
    </font>
    <font>
      <sz val="9"/>
      <name val="Arial"/>
      <family val="2"/>
    </font>
    <font>
      <b/>
      <i/>
      <sz val="12"/>
      <name val="Arial"/>
      <family val="2"/>
    </font>
    <font>
      <b/>
      <sz val="14"/>
      <color indexed="10"/>
      <name val="Arial"/>
      <family val="2"/>
    </font>
    <font>
      <b/>
      <sz val="11"/>
      <color indexed="10"/>
      <name val="Arial"/>
      <family val="2"/>
    </font>
    <font>
      <sz val="8"/>
      <color indexed="22"/>
      <name val="Arial"/>
      <family val="2"/>
    </font>
    <font>
      <sz val="10"/>
      <color indexed="22"/>
      <name val="Arial"/>
      <family val="2"/>
    </font>
    <font>
      <b/>
      <sz val="10"/>
      <name val="Arial"/>
      <family val="2"/>
    </font>
    <font>
      <b/>
      <u/>
      <sz val="10"/>
      <name val="Arial"/>
      <family val="2"/>
    </font>
    <font>
      <sz val="10"/>
      <name val="Arial"/>
      <family val="2"/>
    </font>
    <font>
      <u/>
      <sz val="10"/>
      <color indexed="10"/>
      <name val="Arial"/>
      <family val="2"/>
    </font>
    <font>
      <u/>
      <sz val="8"/>
      <color indexed="9"/>
      <name val="Arial"/>
      <family val="2"/>
    </font>
    <font>
      <b/>
      <sz val="8"/>
      <color indexed="22"/>
      <name val="Arial"/>
      <family val="2"/>
    </font>
    <font>
      <sz val="11"/>
      <color indexed="12"/>
      <name val="Arial"/>
      <family val="2"/>
    </font>
    <font>
      <b/>
      <sz val="18"/>
      <name val="Arial"/>
      <family val="2"/>
    </font>
    <font>
      <i/>
      <sz val="11"/>
      <name val="Arial"/>
      <family val="2"/>
    </font>
    <font>
      <b/>
      <sz val="12"/>
      <name val="Wingdings"/>
      <charset val="2"/>
    </font>
    <font>
      <sz val="12"/>
      <name val="Wingdings 2"/>
      <family val="1"/>
      <charset val="2"/>
    </font>
    <font>
      <b/>
      <sz val="12"/>
      <color rgb="FFFF0000"/>
      <name val="Arial"/>
      <family val="2"/>
    </font>
    <font>
      <sz val="10"/>
      <color theme="1"/>
      <name val="Arial"/>
      <family val="2"/>
    </font>
    <font>
      <sz val="11"/>
      <color theme="1"/>
      <name val="Calibri"/>
      <family val="2"/>
    </font>
    <font>
      <i/>
      <sz val="11"/>
      <color rgb="FFFF0000"/>
      <name val="Calibri"/>
      <family val="2"/>
    </font>
    <font>
      <b/>
      <sz val="10"/>
      <color rgb="FFFF0000"/>
      <name val="Arial"/>
      <family val="2"/>
    </font>
    <font>
      <sz val="12"/>
      <color rgb="FFFF0000"/>
      <name val="Arial"/>
      <family val="2"/>
    </font>
    <font>
      <sz val="12"/>
      <color theme="0"/>
      <name val="Arial"/>
      <family val="2"/>
    </font>
    <font>
      <b/>
      <sz val="12"/>
      <color theme="0"/>
      <name val="Arial"/>
      <family val="2"/>
    </font>
    <font>
      <b/>
      <sz val="8"/>
      <color theme="0"/>
      <name val="Arial"/>
      <family val="2"/>
    </font>
    <font>
      <sz val="10"/>
      <color theme="0"/>
      <name val="Arial"/>
      <family val="2"/>
    </font>
    <font>
      <b/>
      <sz val="10"/>
      <color theme="0"/>
      <name val="Arial"/>
      <family val="2"/>
    </font>
    <font>
      <b/>
      <sz val="11"/>
      <color rgb="FFFF0000"/>
      <name val="Arial"/>
      <family val="2"/>
    </font>
    <font>
      <sz val="11"/>
      <color rgb="FFFF0000"/>
      <name val="Calibri"/>
      <family val="2"/>
    </font>
    <font>
      <b/>
      <sz val="11"/>
      <color rgb="FF008000"/>
      <name val="Calibri"/>
      <family val="2"/>
    </font>
    <font>
      <b/>
      <sz val="8"/>
      <color theme="0" tint="-0.249977111117893"/>
      <name val="Arial"/>
      <family val="2"/>
    </font>
    <font>
      <sz val="14"/>
      <color rgb="FFFF0000"/>
      <name val="Arial"/>
      <family val="2"/>
    </font>
    <font>
      <sz val="10"/>
      <color rgb="FFFF0000"/>
      <name val="Arial"/>
      <family val="2"/>
    </font>
    <font>
      <strike/>
      <sz val="12"/>
      <color rgb="FFFF0000"/>
      <name val="Arial"/>
      <family val="2"/>
    </font>
    <font>
      <strike/>
      <sz val="10"/>
      <color rgb="FFFF0000"/>
      <name val="Arial"/>
      <family val="2"/>
    </font>
    <font>
      <b/>
      <sz val="16"/>
      <color rgb="FFFF0000"/>
      <name val="Arial"/>
      <family val="2"/>
    </font>
    <font>
      <b/>
      <sz val="12"/>
      <color rgb="FFFFFFCC"/>
      <name val="Arial"/>
      <family val="2"/>
    </font>
    <font>
      <b/>
      <sz val="12"/>
      <color indexed="10"/>
      <name val="Calibri"/>
      <family val="2"/>
    </font>
    <font>
      <b/>
      <sz val="11"/>
      <name val="Calibri"/>
      <family val="2"/>
    </font>
    <font>
      <i/>
      <u/>
      <sz val="14"/>
      <name val="Arial"/>
      <family val="2"/>
    </font>
    <font>
      <sz val="16"/>
      <color rgb="FFFF0000"/>
      <name val="Arial"/>
      <family val="2"/>
    </font>
    <font>
      <u/>
      <sz val="10"/>
      <color theme="10"/>
      <name val="Arial"/>
      <family val="2"/>
    </font>
    <font>
      <sz val="11"/>
      <color theme="1"/>
      <name val="Calibri"/>
      <family val="2"/>
      <scheme val="minor"/>
    </font>
    <font>
      <u/>
      <sz val="14"/>
      <name val="Arial"/>
      <family val="2"/>
    </font>
    <font>
      <sz val="10"/>
      <color rgb="FF141414"/>
      <name val="Arial"/>
      <family val="2"/>
    </font>
    <font>
      <b/>
      <sz val="12"/>
      <color theme="0" tint="-0.249977111117893"/>
      <name val="Arial"/>
      <family val="2"/>
    </font>
    <font>
      <b/>
      <sz val="11"/>
      <color rgb="FF008000"/>
      <name val="Calibri"/>
      <family val="2"/>
      <scheme val="minor"/>
    </font>
    <font>
      <sz val="11"/>
      <color rgb="FF008000"/>
      <name val="Calibri"/>
      <family val="2"/>
    </font>
    <font>
      <sz val="11"/>
      <name val="Calibri"/>
      <family val="2"/>
    </font>
    <font>
      <b/>
      <sz val="11"/>
      <color rgb="FFFF0000"/>
      <name val="Calibri"/>
      <family val="2"/>
    </font>
    <font>
      <b/>
      <sz val="11"/>
      <color indexed="17"/>
      <name val="Calibri"/>
      <family val="2"/>
    </font>
    <font>
      <b/>
      <sz val="11"/>
      <color theme="5" tint="-0.499984740745262"/>
      <name val="Calibri"/>
      <family val="2"/>
    </font>
    <font>
      <b/>
      <sz val="8"/>
      <name val="Arial"/>
      <family val="2"/>
    </font>
    <font>
      <sz val="11"/>
      <color rgb="FF7030A0"/>
      <name val="Calibri"/>
      <family val="2"/>
    </font>
    <font>
      <b/>
      <sz val="10"/>
      <color indexed="10"/>
      <name val="Arial"/>
      <family val="2"/>
    </font>
    <font>
      <sz val="10"/>
      <color theme="0" tint="-0.249977111117893"/>
      <name val="Arial"/>
      <family val="2"/>
    </font>
    <font>
      <b/>
      <sz val="14"/>
      <color rgb="FFFFFF99"/>
      <name val="Arial"/>
      <family val="2"/>
    </font>
    <font>
      <b/>
      <sz val="13"/>
      <name val="Arial"/>
      <family val="2"/>
    </font>
    <font>
      <sz val="10"/>
      <color indexed="9"/>
      <name val="Arial"/>
      <family val="2"/>
    </font>
    <font>
      <sz val="10"/>
      <color indexed="43"/>
      <name val="Arial"/>
      <family val="2"/>
    </font>
    <font>
      <sz val="18"/>
      <color indexed="9"/>
      <name val="Arial"/>
      <family val="2"/>
    </font>
    <font>
      <b/>
      <sz val="18"/>
      <color indexed="9"/>
      <name val="Arial"/>
      <family val="2"/>
    </font>
    <font>
      <u/>
      <sz val="12"/>
      <color indexed="12"/>
      <name val="Arial"/>
      <family val="2"/>
    </font>
    <font>
      <b/>
      <u/>
      <sz val="12"/>
      <color rgb="FFFF0000"/>
      <name val="Arial"/>
      <family val="2"/>
    </font>
    <font>
      <b/>
      <sz val="18"/>
      <color rgb="FFFF0000"/>
      <name val="Arial"/>
      <family val="2"/>
    </font>
    <font>
      <sz val="14"/>
      <color rgb="FFFFFF99"/>
      <name val="Arial"/>
      <family val="2"/>
    </font>
    <font>
      <sz val="11"/>
      <color theme="0"/>
      <name val="Arial"/>
      <family val="2"/>
    </font>
  </fonts>
  <fills count="5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theme="6" tint="0.39997558519241921"/>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1"/>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rgb="FF008000"/>
        <bgColor indexed="64"/>
      </patternFill>
    </fill>
    <fill>
      <patternFill patternType="solid">
        <fgColor theme="9" tint="0.59999389629810485"/>
        <bgColor indexed="64"/>
      </patternFill>
    </fill>
    <fill>
      <patternFill patternType="solid">
        <fgColor rgb="FF99CCFF"/>
        <bgColor indexed="64"/>
      </patternFill>
    </fill>
    <fill>
      <patternFill patternType="solid">
        <fgColor rgb="FFFDE9D9"/>
        <bgColor indexed="64"/>
      </patternFill>
    </fill>
    <fill>
      <patternFill patternType="solid">
        <fgColor rgb="FFCCFFFF"/>
        <bgColor indexed="64"/>
      </patternFill>
    </fill>
    <fill>
      <patternFill patternType="solid">
        <fgColor rgb="FFDDD9C4"/>
        <bgColor indexed="64"/>
      </patternFill>
    </fill>
    <fill>
      <patternFill patternType="solid">
        <fgColor rgb="FFFFFF99"/>
        <bgColor theme="2" tint="-0.24994659260841701"/>
      </patternFill>
    </fill>
    <fill>
      <patternFill patternType="solid">
        <fgColor theme="0" tint="-0.1499984740745262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theme="6" tint="0.39994506668294322"/>
        <bgColor indexed="64"/>
      </patternFill>
    </fill>
    <fill>
      <patternFill patternType="solid">
        <fgColor rgb="FF000080"/>
        <bgColor indexed="64"/>
      </patternFill>
    </fill>
    <fill>
      <patternFill patternType="solid">
        <fgColor indexed="18"/>
        <bgColor indexed="64"/>
      </patternFill>
    </fill>
    <fill>
      <patternFill patternType="solid">
        <fgColor theme="9"/>
        <bgColor indexed="64"/>
      </patternFill>
    </fill>
    <fill>
      <patternFill patternType="solid">
        <fgColor theme="8"/>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0000"/>
        <bgColor indexed="64"/>
      </patternFill>
    </fill>
  </fills>
  <borders count="157">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57"/>
      </left>
      <right/>
      <top style="medium">
        <color indexed="57"/>
      </top>
      <bottom/>
      <diagonal/>
    </border>
    <border>
      <left style="medium">
        <color indexed="57"/>
      </left>
      <right/>
      <top/>
      <bottom/>
      <diagonal/>
    </border>
    <border>
      <left style="medium">
        <color indexed="57"/>
      </left>
      <right/>
      <top/>
      <bottom style="medium">
        <color indexed="57"/>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53"/>
      </left>
      <right/>
      <top style="medium">
        <color indexed="53"/>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17"/>
      </left>
      <right style="thick">
        <color indexed="17"/>
      </right>
      <top style="thick">
        <color indexed="17"/>
      </top>
      <bottom style="thick">
        <color indexed="17"/>
      </bottom>
      <diagonal/>
    </border>
    <border>
      <left style="thick">
        <color indexed="39"/>
      </left>
      <right style="thick">
        <color indexed="39"/>
      </right>
      <top style="thick">
        <color indexed="39"/>
      </top>
      <bottom style="thick">
        <color indexed="39"/>
      </bottom>
      <diagonal/>
    </border>
    <border>
      <left/>
      <right/>
      <top style="medium">
        <color indexed="57"/>
      </top>
      <bottom/>
      <diagonal/>
    </border>
    <border>
      <left/>
      <right/>
      <top/>
      <bottom style="medium">
        <color indexed="57"/>
      </bottom>
      <diagonal/>
    </border>
    <border>
      <left/>
      <right style="medium">
        <color indexed="31"/>
      </right>
      <top/>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17"/>
      </left>
      <right style="medium">
        <color indexed="17"/>
      </right>
      <top style="medium">
        <color indexed="17"/>
      </top>
      <bottom style="medium">
        <color indexed="17"/>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dashed">
        <color indexed="64"/>
      </bottom>
      <diagonal/>
    </border>
    <border>
      <left/>
      <right/>
      <top style="dash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style="medium">
        <color indexed="44"/>
      </left>
      <right/>
      <top/>
      <bottom/>
      <diagonal/>
    </border>
    <border>
      <left/>
      <right style="medium">
        <color indexed="44"/>
      </right>
      <top/>
      <bottom/>
      <diagonal/>
    </border>
    <border>
      <left style="medium">
        <color indexed="44"/>
      </left>
      <right/>
      <top/>
      <bottom style="medium">
        <color indexed="44"/>
      </bottom>
      <diagonal/>
    </border>
    <border>
      <left/>
      <right/>
      <top/>
      <bottom style="medium">
        <color indexed="44"/>
      </bottom>
      <diagonal/>
    </border>
    <border>
      <left/>
      <right style="medium">
        <color indexed="44"/>
      </right>
      <top/>
      <bottom style="medium">
        <color indexed="4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53"/>
      </right>
      <top style="medium">
        <color indexed="53"/>
      </top>
      <bottom/>
      <diagonal/>
    </border>
    <border>
      <left/>
      <right style="medium">
        <color indexed="53"/>
      </right>
      <top/>
      <bottom/>
      <diagonal/>
    </border>
    <border>
      <left/>
      <right style="medium">
        <color indexed="53"/>
      </right>
      <top/>
      <bottom style="medium">
        <color indexed="53"/>
      </bottom>
      <diagonal/>
    </border>
    <border>
      <left/>
      <right style="medium">
        <color indexed="57"/>
      </right>
      <top style="medium">
        <color indexed="57"/>
      </top>
      <bottom/>
      <diagonal/>
    </border>
    <border>
      <left/>
      <right style="medium">
        <color indexed="57"/>
      </right>
      <top/>
      <bottom/>
      <diagonal/>
    </border>
    <border>
      <left/>
      <right style="medium">
        <color indexed="57"/>
      </right>
      <top/>
      <bottom style="medium">
        <color indexed="57"/>
      </bottom>
      <diagonal/>
    </border>
    <border>
      <left style="medium">
        <color indexed="30"/>
      </left>
      <right style="medium">
        <color indexed="30"/>
      </right>
      <top style="medium">
        <color indexed="30"/>
      </top>
      <bottom style="medium">
        <color indexed="30"/>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0"/>
      </left>
      <right/>
      <top style="medium">
        <color indexed="30"/>
      </top>
      <bottom style="medium">
        <color indexed="30"/>
      </bottom>
      <diagonal/>
    </border>
    <border>
      <left/>
      <right style="medium">
        <color indexed="30"/>
      </right>
      <top style="medium">
        <color indexed="30"/>
      </top>
      <bottom style="medium">
        <color indexed="30"/>
      </bottom>
      <diagonal/>
    </border>
    <border>
      <left/>
      <right/>
      <top/>
      <bottom style="medium">
        <color indexed="17"/>
      </bottom>
      <diagonal/>
    </border>
    <border>
      <left/>
      <right/>
      <top style="medium">
        <color indexed="17"/>
      </top>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indexed="31"/>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indexed="31"/>
      </right>
      <top/>
      <bottom style="medium">
        <color theme="3" tint="-0.24994659260841701"/>
      </bottom>
      <diagonal/>
    </border>
    <border>
      <left/>
      <right style="medium">
        <color theme="3" tint="-0.24994659260841701"/>
      </right>
      <top/>
      <bottom style="medium">
        <color theme="3" tint="-0.24994659260841701"/>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indexed="31"/>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indexed="31"/>
      </right>
      <top/>
      <bottom style="medium">
        <color theme="3" tint="-0.499984740745262"/>
      </bottom>
      <diagonal/>
    </border>
    <border>
      <left/>
      <right style="medium">
        <color theme="3" tint="-0.499984740745262"/>
      </right>
      <top/>
      <bottom style="medium">
        <color theme="3" tint="-0.499984740745262"/>
      </bottom>
      <diagonal/>
    </border>
    <border>
      <left style="medium">
        <color rgb="FFFF6600"/>
      </left>
      <right/>
      <top/>
      <bottom/>
      <diagonal/>
    </border>
    <border>
      <left style="medium">
        <color rgb="FFFF6600"/>
      </left>
      <right/>
      <top style="medium">
        <color indexed="53"/>
      </top>
      <bottom/>
      <diagonal/>
    </border>
    <border>
      <left style="medium">
        <color rgb="FFFF6600"/>
      </left>
      <right/>
      <top/>
      <bottom style="medium">
        <color indexed="53"/>
      </bottom>
      <diagonal/>
    </border>
    <border>
      <left style="medium">
        <color rgb="FFFF6600"/>
      </left>
      <right/>
      <top/>
      <bottom style="medium">
        <color rgb="FFFF6600"/>
      </bottom>
      <diagonal/>
    </border>
    <border>
      <left style="medium">
        <color rgb="FFFF6600"/>
      </left>
      <right/>
      <top style="medium">
        <color rgb="FFFF6600"/>
      </top>
      <bottom/>
      <diagonal/>
    </border>
    <border>
      <left style="medium">
        <color rgb="FF0066CC"/>
      </left>
      <right/>
      <top style="medium">
        <color rgb="FF0066CC"/>
      </top>
      <bottom style="medium">
        <color rgb="FF0066CC"/>
      </bottom>
      <diagonal/>
    </border>
    <border>
      <left/>
      <right style="medium">
        <color rgb="FF0066CC"/>
      </right>
      <top style="medium">
        <color rgb="FF0066CC"/>
      </top>
      <bottom style="medium">
        <color rgb="FF0066CC"/>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rgb="FFFF0000"/>
      </right>
      <top/>
      <bottom style="medium">
        <color rgb="FFFF0000"/>
      </bottom>
      <diagonal/>
    </border>
    <border>
      <left style="medium">
        <color rgb="FFFF0000"/>
      </left>
      <right/>
      <top/>
      <bottom style="medium">
        <color rgb="FFFF0000"/>
      </bottom>
      <diagonal/>
    </border>
    <border>
      <left/>
      <right style="medium">
        <color rgb="FFFF0000"/>
      </right>
      <top style="medium">
        <color rgb="FFFF0000"/>
      </top>
      <bottom/>
      <diagonal/>
    </border>
    <border>
      <left style="medium">
        <color rgb="FFFF0000"/>
      </left>
      <right/>
      <top style="medium">
        <color rgb="FFFF0000"/>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rgb="FF008000"/>
      </left>
      <right/>
      <top style="medium">
        <color indexed="17"/>
      </top>
      <bottom style="medium">
        <color rgb="FF008000"/>
      </bottom>
      <diagonal/>
    </border>
    <border>
      <left/>
      <right style="medium">
        <color rgb="FF008000"/>
      </right>
      <top style="medium">
        <color indexed="17"/>
      </top>
      <bottom style="medium">
        <color rgb="FF008000"/>
      </bottom>
      <diagonal/>
    </border>
    <border>
      <left/>
      <right/>
      <top style="medium">
        <color rgb="FF008000"/>
      </top>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thin">
        <color indexed="64"/>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right/>
      <top style="medium">
        <color indexed="53"/>
      </top>
      <bottom/>
      <diagonal/>
    </border>
    <border>
      <left style="medium">
        <color indexed="53"/>
      </left>
      <right/>
      <top style="medium">
        <color indexed="53"/>
      </top>
      <bottom/>
      <diagonal/>
    </border>
    <border>
      <left/>
      <right/>
      <top/>
      <bottom style="medium">
        <color rgb="FFFF6600"/>
      </bottom>
      <diagonal/>
    </border>
    <border>
      <left/>
      <right/>
      <top style="medium">
        <color rgb="FFFF6600"/>
      </top>
      <bottom/>
      <diagonal/>
    </border>
    <border>
      <left style="medium">
        <color rgb="FF008000"/>
      </left>
      <right style="medium">
        <color rgb="FF008000"/>
      </right>
      <top style="medium">
        <color rgb="FF008000"/>
      </top>
      <bottom style="medium">
        <color rgb="FF008000"/>
      </bottom>
      <diagonal/>
    </border>
    <border>
      <left style="medium">
        <color rgb="FF002060"/>
      </left>
      <right style="medium">
        <color rgb="FF002060"/>
      </right>
      <top style="medium">
        <color rgb="FF002060"/>
      </top>
      <bottom style="medium">
        <color rgb="FF002060"/>
      </bottom>
      <diagonal/>
    </border>
    <border>
      <left style="thin">
        <color rgb="FF008000"/>
      </left>
      <right style="thin">
        <color rgb="FF008000"/>
      </right>
      <top style="thin">
        <color rgb="FF008000"/>
      </top>
      <bottom style="thin">
        <color rgb="FF008000"/>
      </bottom>
      <diagonal/>
    </border>
    <border>
      <left/>
      <right/>
      <top/>
      <bottom style="medium">
        <color rgb="FF008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medium">
        <color rgb="FF008000"/>
      </right>
      <top style="medium">
        <color rgb="FF008000"/>
      </top>
      <bottom style="medium">
        <color rgb="FF008000"/>
      </bottom>
      <diagonal/>
    </border>
    <border>
      <left style="medium">
        <color rgb="FF008000"/>
      </left>
      <right style="thin">
        <color rgb="FFFF0000"/>
      </right>
      <top style="medium">
        <color rgb="FF008000"/>
      </top>
      <bottom style="medium">
        <color rgb="FF008000"/>
      </bottom>
      <diagonal/>
    </border>
    <border>
      <left style="thin">
        <color rgb="FFFF0000"/>
      </left>
      <right/>
      <top style="medium">
        <color rgb="FF008000"/>
      </top>
      <bottom/>
      <diagonal/>
    </border>
  </borders>
  <cellStyleXfs count="70">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3" fontId="4" fillId="17" borderId="2">
      <alignment horizontal="right"/>
    </xf>
    <xf numFmtId="3" fontId="2" fillId="17" borderId="2">
      <alignment horizontal="right"/>
    </xf>
    <xf numFmtId="3" fontId="3" fillId="17" borderId="3">
      <alignment horizontal="right"/>
    </xf>
    <xf numFmtId="3" fontId="4" fillId="17" borderId="3">
      <alignment horizontal="right"/>
    </xf>
    <xf numFmtId="3" fontId="2" fillId="17" borderId="3">
      <alignment horizontal="right"/>
    </xf>
    <xf numFmtId="0" fontId="19" fillId="18" borderId="4"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7" borderId="1" applyNumberFormat="0" applyAlignment="0" applyProtection="0"/>
    <xf numFmtId="0" fontId="27" fillId="0" borderId="8" applyNumberFormat="0" applyFill="0" applyAlignment="0" applyProtection="0"/>
    <xf numFmtId="0" fontId="28" fillId="7" borderId="0" applyNumberFormat="0" applyBorder="0" applyAlignment="0" applyProtection="0"/>
    <xf numFmtId="0" fontId="2" fillId="0" borderId="0"/>
    <xf numFmtId="0" fontId="2" fillId="4" borderId="9" applyNumberFormat="0" applyFont="0" applyAlignment="0" applyProtection="0"/>
    <xf numFmtId="0" fontId="29" fillId="16" borderId="10" applyNumberFormat="0" applyAlignment="0" applyProtection="0"/>
    <xf numFmtId="9" fontId="2" fillId="0" borderId="0" applyFon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27" fillId="0" borderId="0" applyNumberForma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01" fillId="0" borderId="0" applyNumberFormat="0" applyFill="0" applyBorder="0" applyAlignment="0" applyProtection="0"/>
    <xf numFmtId="0" fontId="102" fillId="0" borderId="0"/>
    <xf numFmtId="0" fontId="28" fillId="7" borderId="0" applyNumberFormat="0" applyBorder="0" applyAlignment="0" applyProtection="0"/>
    <xf numFmtId="0" fontId="1" fillId="0" borderId="0"/>
    <xf numFmtId="9" fontId="2" fillId="0" borderId="0" applyFont="0" applyFill="0" applyBorder="0" applyAlignment="0" applyProtection="0"/>
    <xf numFmtId="0" fontId="102" fillId="0" borderId="0"/>
    <xf numFmtId="0" fontId="2" fillId="0" borderId="0"/>
    <xf numFmtId="43" fontId="2" fillId="0" borderId="0" applyFont="0" applyFill="0" applyBorder="0" applyAlignment="0" applyProtection="0"/>
    <xf numFmtId="0" fontId="2" fillId="0" borderId="0"/>
    <xf numFmtId="0" fontId="2" fillId="0" borderId="0"/>
    <xf numFmtId="0" fontId="6" fillId="0" borderId="0"/>
    <xf numFmtId="0" fontId="122"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2" fillId="0" borderId="0"/>
  </cellStyleXfs>
  <cellXfs count="2622">
    <xf numFmtId="0" fontId="0" fillId="0" borderId="0" xfId="0"/>
    <xf numFmtId="0" fontId="0" fillId="19" borderId="0" xfId="0" applyFill="1" applyBorder="1" applyAlignment="1">
      <alignment horizontal="center"/>
    </xf>
    <xf numFmtId="0" fontId="0" fillId="19" borderId="0" xfId="0" applyFill="1" applyBorder="1"/>
    <xf numFmtId="0" fontId="3" fillId="19" borderId="0" xfId="0" applyFont="1" applyFill="1" applyBorder="1" applyAlignment="1">
      <alignment horizontal="center"/>
    </xf>
    <xf numFmtId="0" fontId="0" fillId="19" borderId="12" xfId="0" applyFill="1" applyBorder="1"/>
    <xf numFmtId="0" fontId="0" fillId="19" borderId="13" xfId="0" applyFill="1" applyBorder="1"/>
    <xf numFmtId="0" fontId="3" fillId="19" borderId="0" xfId="0" applyFont="1" applyFill="1" applyBorder="1"/>
    <xf numFmtId="0" fontId="0" fillId="19" borderId="14" xfId="0" applyFill="1" applyBorder="1"/>
    <xf numFmtId="0" fontId="6" fillId="17" borderId="0" xfId="0" applyFont="1" applyFill="1" applyBorder="1"/>
    <xf numFmtId="0" fontId="6" fillId="0" borderId="0" xfId="0" applyFont="1"/>
    <xf numFmtId="0" fontId="6" fillId="19" borderId="0" xfId="0" applyFont="1" applyFill="1" applyBorder="1"/>
    <xf numFmtId="0" fontId="6" fillId="19" borderId="15" xfId="0" applyFont="1" applyFill="1" applyBorder="1"/>
    <xf numFmtId="0" fontId="8" fillId="19" borderId="0" xfId="0" applyFont="1" applyFill="1" applyBorder="1" applyAlignment="1">
      <alignment horizontal="left"/>
    </xf>
    <xf numFmtId="0" fontId="8" fillId="19" borderId="0" xfId="0" applyFont="1" applyFill="1" applyBorder="1"/>
    <xf numFmtId="0" fontId="8" fillId="19" borderId="0" xfId="0" applyFont="1" applyFill="1" applyBorder="1" applyAlignment="1">
      <alignment horizontal="center"/>
    </xf>
    <xf numFmtId="0" fontId="6" fillId="19" borderId="0" xfId="0" applyFont="1" applyFill="1" applyBorder="1" applyAlignment="1">
      <alignment horizontal="left"/>
    </xf>
    <xf numFmtId="0" fontId="8" fillId="19" borderId="0" xfId="0" applyFont="1" applyFill="1" applyBorder="1" applyAlignment="1"/>
    <xf numFmtId="0" fontId="6" fillId="17" borderId="18" xfId="0" applyFont="1" applyFill="1" applyBorder="1"/>
    <xf numFmtId="0" fontId="6" fillId="17" borderId="19" xfId="0" applyFont="1" applyFill="1" applyBorder="1"/>
    <xf numFmtId="0" fontId="6" fillId="17" borderId="20" xfId="0" applyFont="1" applyFill="1" applyBorder="1"/>
    <xf numFmtId="0" fontId="8" fillId="17" borderId="0" xfId="0" applyFont="1" applyFill="1" applyBorder="1"/>
    <xf numFmtId="0" fontId="6" fillId="17" borderId="21" xfId="0" applyFont="1" applyFill="1" applyBorder="1"/>
    <xf numFmtId="0" fontId="6" fillId="17" borderId="22" xfId="0" applyFont="1" applyFill="1" applyBorder="1"/>
    <xf numFmtId="0" fontId="0" fillId="19" borderId="23" xfId="0" applyFill="1" applyBorder="1"/>
    <xf numFmtId="0" fontId="0" fillId="19" borderId="24" xfId="0" applyFill="1" applyBorder="1"/>
    <xf numFmtId="0" fontId="0" fillId="19" borderId="25" xfId="0" applyFill="1" applyBorder="1"/>
    <xf numFmtId="0" fontId="11" fillId="19" borderId="0" xfId="0" applyFont="1" applyFill="1" applyBorder="1"/>
    <xf numFmtId="0" fontId="12" fillId="19" borderId="0" xfId="0" applyFont="1" applyFill="1" applyBorder="1"/>
    <xf numFmtId="0" fontId="12" fillId="19" borderId="15" xfId="0" applyFont="1" applyFill="1" applyBorder="1"/>
    <xf numFmtId="0" fontId="12" fillId="17" borderId="0" xfId="0" applyFont="1" applyFill="1" applyBorder="1" applyAlignment="1">
      <alignment horizontal="center"/>
    </xf>
    <xf numFmtId="0" fontId="0" fillId="17" borderId="18" xfId="0" applyFill="1" applyBorder="1"/>
    <xf numFmtId="0" fontId="12" fillId="17" borderId="19" xfId="0" applyFont="1" applyFill="1" applyBorder="1"/>
    <xf numFmtId="0" fontId="0" fillId="17" borderId="20" xfId="0" applyFill="1" applyBorder="1"/>
    <xf numFmtId="0" fontId="11" fillId="17" borderId="0" xfId="0" applyFont="1" applyFill="1" applyBorder="1"/>
    <xf numFmtId="0" fontId="12" fillId="17" borderId="0" xfId="0" applyFont="1" applyFill="1" applyBorder="1"/>
    <xf numFmtId="0" fontId="0" fillId="17" borderId="21" xfId="0" applyFill="1" applyBorder="1"/>
    <xf numFmtId="0" fontId="12" fillId="17" borderId="22" xfId="0" applyFont="1" applyFill="1" applyBorder="1"/>
    <xf numFmtId="0" fontId="12" fillId="0" borderId="0" xfId="0" applyFont="1"/>
    <xf numFmtId="0" fontId="12" fillId="17" borderId="18" xfId="0" applyFont="1" applyFill="1" applyBorder="1"/>
    <xf numFmtId="0" fontId="12" fillId="17" borderId="20" xfId="0" applyFont="1" applyFill="1" applyBorder="1"/>
    <xf numFmtId="0" fontId="12" fillId="17" borderId="21" xfId="0" applyFont="1" applyFill="1" applyBorder="1"/>
    <xf numFmtId="0" fontId="11" fillId="19" borderId="23" xfId="0" applyFont="1" applyFill="1" applyBorder="1" applyAlignment="1">
      <alignment horizontal="left"/>
    </xf>
    <xf numFmtId="0" fontId="12" fillId="19" borderId="0" xfId="0" applyFont="1" applyFill="1" applyBorder="1" applyAlignment="1"/>
    <xf numFmtId="0" fontId="12" fillId="19" borderId="23" xfId="0" applyFont="1" applyFill="1" applyBorder="1" applyAlignment="1"/>
    <xf numFmtId="0" fontId="11" fillId="19" borderId="0" xfId="0" applyFont="1" applyFill="1" applyBorder="1" applyAlignment="1"/>
    <xf numFmtId="0" fontId="12" fillId="19" borderId="23" xfId="0" applyFont="1" applyFill="1" applyBorder="1"/>
    <xf numFmtId="1" fontId="2" fillId="20" borderId="26" xfId="0" applyNumberFormat="1" applyFont="1" applyFill="1" applyBorder="1"/>
    <xf numFmtId="0" fontId="2" fillId="20" borderId="16" xfId="0" applyFont="1" applyFill="1" applyBorder="1"/>
    <xf numFmtId="1" fontId="2" fillId="20" borderId="23" xfId="0" applyNumberFormat="1" applyFont="1" applyFill="1" applyBorder="1" applyAlignment="1">
      <alignment horizontal="center"/>
    </xf>
    <xf numFmtId="1" fontId="2" fillId="20" borderId="0" xfId="0" applyNumberFormat="1" applyFont="1" applyFill="1" applyBorder="1" applyAlignment="1">
      <alignment horizontal="center"/>
    </xf>
    <xf numFmtId="1" fontId="2" fillId="20" borderId="23" xfId="0" applyNumberFormat="1" applyFont="1" applyFill="1" applyBorder="1"/>
    <xf numFmtId="0" fontId="2" fillId="20" borderId="0"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23" xfId="0" applyFill="1" applyBorder="1" applyProtection="1">
      <protection locked="0"/>
    </xf>
    <xf numFmtId="0" fontId="0" fillId="20" borderId="0" xfId="0" applyFill="1" applyBorder="1" applyProtection="1">
      <protection locked="0"/>
    </xf>
    <xf numFmtId="0" fontId="0" fillId="20" borderId="0" xfId="0" applyNumberFormat="1" applyFill="1" applyBorder="1" applyProtection="1">
      <protection locked="0"/>
    </xf>
    <xf numFmtId="0" fontId="6" fillId="20" borderId="0" xfId="0" applyFont="1" applyFill="1" applyBorder="1" applyProtection="1">
      <protection locked="0"/>
    </xf>
    <xf numFmtId="0" fontId="0" fillId="20" borderId="16" xfId="0" applyFill="1" applyBorder="1" applyAlignment="1"/>
    <xf numFmtId="0" fontId="0" fillId="20" borderId="17" xfId="0" applyFill="1" applyBorder="1" applyAlignment="1"/>
    <xf numFmtId="0" fontId="0" fillId="20" borderId="23" xfId="0" applyFill="1" applyBorder="1" applyAlignment="1"/>
    <xf numFmtId="0" fontId="0" fillId="20" borderId="0" xfId="0" applyFill="1" applyBorder="1" applyAlignment="1"/>
    <xf numFmtId="0" fontId="0" fillId="20" borderId="15" xfId="0" applyFill="1" applyBorder="1" applyAlignment="1"/>
    <xf numFmtId="0" fontId="11" fillId="20" borderId="0" xfId="0" applyFont="1" applyFill="1" applyBorder="1" applyAlignment="1">
      <alignment horizontal="center"/>
    </xf>
    <xf numFmtId="0" fontId="0" fillId="20" borderId="24" xfId="0" applyFill="1" applyBorder="1" applyAlignment="1"/>
    <xf numFmtId="0" fontId="0" fillId="20" borderId="25" xfId="0" applyFill="1" applyBorder="1" applyAlignment="1"/>
    <xf numFmtId="0" fontId="3" fillId="20" borderId="27" xfId="0" applyFont="1" applyFill="1" applyBorder="1" applyAlignment="1">
      <alignment horizontal="right" indent="1"/>
    </xf>
    <xf numFmtId="0" fontId="0" fillId="0" borderId="0" xfId="0" applyAlignment="1"/>
    <xf numFmtId="0" fontId="0" fillId="17" borderId="26" xfId="0" applyFill="1" applyBorder="1" applyAlignment="1"/>
    <xf numFmtId="0" fontId="0" fillId="17" borderId="16" xfId="0" applyFill="1" applyBorder="1" applyAlignment="1"/>
    <xf numFmtId="0" fontId="0" fillId="17" borderId="17" xfId="0" applyFill="1" applyBorder="1" applyAlignment="1"/>
    <xf numFmtId="0" fontId="3" fillId="17" borderId="23" xfId="0" applyFont="1" applyFill="1" applyBorder="1" applyAlignment="1">
      <alignment horizontal="center"/>
    </xf>
    <xf numFmtId="0" fontId="0" fillId="17" borderId="15" xfId="0" applyFill="1" applyBorder="1" applyAlignment="1"/>
    <xf numFmtId="0" fontId="0" fillId="17" borderId="24" xfId="0" applyFill="1" applyBorder="1" applyAlignment="1"/>
    <xf numFmtId="0" fontId="0" fillId="17" borderId="25" xfId="0" applyFill="1" applyBorder="1" applyAlignment="1"/>
    <xf numFmtId="0" fontId="0" fillId="17" borderId="27" xfId="0" applyFill="1" applyBorder="1" applyAlignment="1"/>
    <xf numFmtId="0" fontId="0" fillId="0" borderId="23" xfId="0" applyBorder="1" applyAlignment="1"/>
    <xf numFmtId="0" fontId="0" fillId="0" borderId="0" xfId="0" applyBorder="1" applyAlignment="1"/>
    <xf numFmtId="0" fontId="0" fillId="0" borderId="15" xfId="0" applyBorder="1" applyAlignment="1"/>
    <xf numFmtId="0" fontId="38" fillId="17" borderId="0" xfId="0" applyFont="1" applyFill="1" applyBorder="1"/>
    <xf numFmtId="0" fontId="39" fillId="0" borderId="28" xfId="0" applyFont="1" applyBorder="1"/>
    <xf numFmtId="0" fontId="40" fillId="17" borderId="0" xfId="0" applyFont="1" applyFill="1" applyBorder="1"/>
    <xf numFmtId="0" fontId="6" fillId="17" borderId="29" xfId="0" applyFont="1" applyFill="1" applyBorder="1"/>
    <xf numFmtId="0" fontId="39" fillId="0" borderId="30" xfId="0" applyFont="1" applyBorder="1"/>
    <xf numFmtId="0" fontId="40" fillId="17" borderId="0" xfId="0" applyFont="1" applyFill="1" applyBorder="1" applyAlignment="1">
      <alignment wrapText="1"/>
    </xf>
    <xf numFmtId="0" fontId="0" fillId="0" borderId="0" xfId="0" applyAlignment="1">
      <alignment wrapText="1"/>
    </xf>
    <xf numFmtId="0" fontId="43" fillId="17" borderId="0" xfId="42" applyFont="1" applyFill="1" applyBorder="1" applyAlignment="1" applyProtection="1"/>
    <xf numFmtId="0" fontId="44" fillId="0" borderId="0" xfId="0" applyFont="1" applyFill="1"/>
    <xf numFmtId="0" fontId="36" fillId="0" borderId="0" xfId="0" applyFont="1"/>
    <xf numFmtId="0" fontId="44" fillId="0" borderId="0" xfId="0" applyFont="1" applyFill="1" applyAlignment="1">
      <alignment horizontal="center"/>
    </xf>
    <xf numFmtId="0" fontId="36" fillId="0" borderId="0" xfId="0" applyFont="1" applyAlignment="1">
      <alignment horizontal="center"/>
    </xf>
    <xf numFmtId="0" fontId="11" fillId="20" borderId="0" xfId="0" applyFont="1" applyFill="1" applyBorder="1" applyAlignment="1">
      <alignment horizontal="center" vertical="center"/>
    </xf>
    <xf numFmtId="0" fontId="45" fillId="0" borderId="0" xfId="0" applyFont="1" applyFill="1"/>
    <xf numFmtId="0" fontId="11" fillId="20" borderId="0" xfId="0" applyFont="1" applyFill="1" applyBorder="1"/>
    <xf numFmtId="0" fontId="12" fillId="20" borderId="0" xfId="0" applyFont="1" applyFill="1" applyBorder="1"/>
    <xf numFmtId="0" fontId="46" fillId="0" borderId="0" xfId="0" applyFont="1" applyFill="1"/>
    <xf numFmtId="0" fontId="0" fillId="17" borderId="0" xfId="0" applyFill="1" applyBorder="1"/>
    <xf numFmtId="0" fontId="0" fillId="17" borderId="0" xfId="0" applyFill="1" applyBorder="1" applyAlignment="1">
      <alignment vertical="top" wrapText="1"/>
    </xf>
    <xf numFmtId="0" fontId="12" fillId="17" borderId="0" xfId="0" applyFont="1" applyFill="1" applyBorder="1" applyAlignment="1">
      <alignment vertical="center"/>
    </xf>
    <xf numFmtId="0" fontId="0" fillId="17" borderId="0" xfId="0" applyFill="1" applyBorder="1" applyAlignment="1">
      <alignment vertical="center"/>
    </xf>
    <xf numFmtId="0" fontId="12" fillId="17" borderId="0" xfId="0" applyFont="1" applyFill="1" applyBorder="1" applyAlignment="1">
      <alignment horizontal="right" vertical="center" indent="2"/>
    </xf>
    <xf numFmtId="0" fontId="12" fillId="17" borderId="0" xfId="0" applyFont="1" applyFill="1" applyBorder="1" applyAlignment="1">
      <alignment vertical="top" wrapText="1"/>
    </xf>
    <xf numFmtId="0" fontId="0" fillId="17" borderId="0" xfId="0" applyFill="1" applyBorder="1" applyAlignment="1">
      <alignment vertical="top"/>
    </xf>
    <xf numFmtId="3" fontId="46" fillId="17" borderId="0" xfId="0" applyNumberFormat="1" applyFont="1" applyFill="1" applyBorder="1" applyAlignment="1">
      <alignment horizontal="center" vertical="center" wrapText="1"/>
    </xf>
    <xf numFmtId="3" fontId="48" fillId="17" borderId="0" xfId="0" applyNumberFormat="1" applyFont="1" applyFill="1" applyBorder="1" applyAlignment="1">
      <alignment horizontal="center" vertical="center" wrapText="1"/>
    </xf>
    <xf numFmtId="3" fontId="12" fillId="17" borderId="0" xfId="0" applyNumberFormat="1" applyFont="1" applyFill="1" applyBorder="1" applyAlignment="1" applyProtection="1">
      <alignment horizontal="right" vertical="center" indent="2"/>
      <protection locked="0"/>
    </xf>
    <xf numFmtId="164" fontId="12" fillId="17" borderId="0" xfId="34" applyFont="1" applyFill="1" applyBorder="1" applyAlignment="1">
      <alignment horizontal="center" vertical="center"/>
    </xf>
    <xf numFmtId="0" fontId="12" fillId="17" borderId="0" xfId="0" applyFont="1" applyFill="1" applyBorder="1" applyAlignment="1">
      <alignment vertical="top"/>
    </xf>
    <xf numFmtId="0" fontId="12" fillId="17" borderId="0" xfId="0" applyFont="1" applyFill="1" applyBorder="1" applyAlignment="1"/>
    <xf numFmtId="3" fontId="46" fillId="17" borderId="0" xfId="0" applyNumberFormat="1" applyFont="1" applyFill="1" applyBorder="1" applyAlignment="1">
      <alignment horizontal="center" vertical="center"/>
    </xf>
    <xf numFmtId="0" fontId="11" fillId="17" borderId="0" xfId="0" applyFont="1" applyFill="1" applyBorder="1" applyAlignment="1">
      <alignment vertical="center"/>
    </xf>
    <xf numFmtId="3" fontId="12" fillId="17" borderId="0" xfId="0" applyNumberFormat="1" applyFont="1" applyFill="1" applyBorder="1" applyAlignment="1">
      <alignment horizontal="right" vertical="center" indent="2"/>
    </xf>
    <xf numFmtId="0" fontId="14" fillId="17" borderId="0" xfId="0" applyFont="1" applyFill="1" applyBorder="1" applyAlignment="1">
      <alignment wrapText="1"/>
    </xf>
    <xf numFmtId="0" fontId="12" fillId="17" borderId="0" xfId="0" applyFont="1" applyFill="1" applyBorder="1" applyAlignment="1">
      <alignment wrapText="1"/>
    </xf>
    <xf numFmtId="0" fontId="11" fillId="17" borderId="0" xfId="0" applyFont="1" applyFill="1" applyBorder="1" applyAlignment="1">
      <alignment horizontal="center" vertical="center"/>
    </xf>
    <xf numFmtId="0" fontId="46" fillId="0" borderId="0" xfId="0" applyFont="1" applyFill="1" applyBorder="1"/>
    <xf numFmtId="0" fontId="0" fillId="0" borderId="0" xfId="0" applyBorder="1"/>
    <xf numFmtId="0" fontId="11" fillId="17" borderId="0" xfId="0" applyFont="1" applyFill="1" applyBorder="1" applyAlignment="1">
      <alignment horizontal="center" vertical="top" wrapText="1"/>
    </xf>
    <xf numFmtId="0" fontId="12" fillId="17" borderId="0" xfId="0" applyFont="1" applyFill="1" applyBorder="1" applyAlignment="1">
      <alignment horizontal="right" vertical="center" wrapText="1" indent="2"/>
    </xf>
    <xf numFmtId="3" fontId="12" fillId="17" borderId="0" xfId="0" applyNumberFormat="1" applyFont="1" applyFill="1" applyBorder="1" applyAlignment="1">
      <alignment horizontal="right" vertical="center" wrapText="1" indent="2"/>
    </xf>
    <xf numFmtId="0" fontId="0" fillId="17" borderId="0" xfId="0" applyFill="1"/>
    <xf numFmtId="0" fontId="0" fillId="17" borderId="0" xfId="0" applyFill="1" applyBorder="1" applyAlignment="1"/>
    <xf numFmtId="0" fontId="0" fillId="19" borderId="26" xfId="0" applyFill="1" applyBorder="1"/>
    <xf numFmtId="0" fontId="0" fillId="19" borderId="16" xfId="0" applyFill="1" applyBorder="1"/>
    <xf numFmtId="0" fontId="0" fillId="19" borderId="17" xfId="0" applyFill="1" applyBorder="1"/>
    <xf numFmtId="0" fontId="0" fillId="19" borderId="15" xfId="0" applyFill="1" applyBorder="1"/>
    <xf numFmtId="0" fontId="0" fillId="19" borderId="27" xfId="0" applyFill="1" applyBorder="1"/>
    <xf numFmtId="0" fontId="12" fillId="19" borderId="31" xfId="0" applyFont="1" applyFill="1" applyBorder="1"/>
    <xf numFmtId="0" fontId="12" fillId="19" borderId="32" xfId="0" applyFont="1" applyFill="1" applyBorder="1"/>
    <xf numFmtId="0" fontId="12" fillId="19" borderId="0" xfId="0" applyFont="1" applyFill="1" applyBorder="1" applyAlignment="1">
      <alignment horizontal="left"/>
    </xf>
    <xf numFmtId="0" fontId="11" fillId="17" borderId="0" xfId="0" applyFont="1" applyFill="1" applyBorder="1" applyAlignment="1">
      <alignment horizontal="center"/>
    </xf>
    <xf numFmtId="0" fontId="0" fillId="17" borderId="22" xfId="0" applyFill="1" applyBorder="1"/>
    <xf numFmtId="0" fontId="12" fillId="19" borderId="0" xfId="0" applyFont="1" applyFill="1" applyBorder="1" applyAlignment="1">
      <alignment vertical="top" wrapText="1"/>
    </xf>
    <xf numFmtId="0" fontId="12" fillId="19" borderId="0" xfId="0" applyFont="1" applyFill="1" applyBorder="1" applyAlignment="1">
      <alignment horizontal="center"/>
    </xf>
    <xf numFmtId="3" fontId="12" fillId="19" borderId="0" xfId="0" applyNumberFormat="1" applyFont="1" applyFill="1" applyBorder="1" applyAlignment="1">
      <alignment horizontal="right" vertical="center" indent="1"/>
    </xf>
    <xf numFmtId="3" fontId="11" fillId="19" borderId="0" xfId="0" applyNumberFormat="1" applyFont="1" applyFill="1" applyBorder="1" applyAlignment="1">
      <alignment horizontal="right" vertical="center" indent="1"/>
    </xf>
    <xf numFmtId="3" fontId="12" fillId="19" borderId="33" xfId="0" applyNumberFormat="1" applyFont="1" applyFill="1" applyBorder="1" applyAlignment="1">
      <alignment horizontal="right" vertical="center" indent="1"/>
    </xf>
    <xf numFmtId="3" fontId="11" fillId="19" borderId="31" xfId="0" applyNumberFormat="1" applyFont="1" applyFill="1" applyBorder="1" applyAlignment="1">
      <alignment horizontal="right" vertical="center" indent="1"/>
    </xf>
    <xf numFmtId="3" fontId="12" fillId="19" borderId="31" xfId="0" applyNumberFormat="1" applyFont="1" applyFill="1" applyBorder="1" applyAlignment="1">
      <alignment horizontal="right" vertical="center" indent="1"/>
    </xf>
    <xf numFmtId="3" fontId="11" fillId="19" borderId="32" xfId="0" applyNumberFormat="1" applyFont="1" applyFill="1" applyBorder="1" applyAlignment="1">
      <alignment horizontal="right" vertical="center" indent="1"/>
    </xf>
    <xf numFmtId="3" fontId="12" fillId="19" borderId="32" xfId="0" applyNumberFormat="1" applyFont="1" applyFill="1" applyBorder="1" applyAlignment="1">
      <alignment horizontal="right" vertical="center" indent="1"/>
    </xf>
    <xf numFmtId="3" fontId="12" fillId="17" borderId="19" xfId="0" applyNumberFormat="1" applyFont="1" applyFill="1" applyBorder="1" applyAlignment="1">
      <alignment horizontal="right" vertical="center" indent="1"/>
    </xf>
    <xf numFmtId="3" fontId="12" fillId="17" borderId="0" xfId="0" applyNumberFormat="1" applyFont="1" applyFill="1" applyBorder="1" applyAlignment="1">
      <alignment horizontal="right" vertical="center" indent="1"/>
    </xf>
    <xf numFmtId="3" fontId="11" fillId="17" borderId="0" xfId="0" applyNumberFormat="1" applyFont="1" applyFill="1" applyBorder="1" applyAlignment="1">
      <alignment horizontal="right" vertical="center" indent="1"/>
    </xf>
    <xf numFmtId="0" fontId="6" fillId="20" borderId="26" xfId="0" applyFont="1" applyFill="1" applyBorder="1" applyAlignment="1"/>
    <xf numFmtId="0" fontId="6" fillId="20" borderId="16" xfId="0" applyFont="1" applyFill="1" applyBorder="1" applyAlignment="1"/>
    <xf numFmtId="0" fontId="6" fillId="20" borderId="17" xfId="0" applyFont="1" applyFill="1" applyBorder="1" applyAlignment="1"/>
    <xf numFmtId="0" fontId="6" fillId="20" borderId="24" xfId="0" applyFont="1" applyFill="1" applyBorder="1" applyAlignment="1"/>
    <xf numFmtId="0" fontId="6" fillId="20" borderId="25" xfId="0" applyFont="1" applyFill="1" applyBorder="1" applyAlignment="1"/>
    <xf numFmtId="0" fontId="6" fillId="20" borderId="27" xfId="0" applyFont="1" applyFill="1" applyBorder="1" applyAlignment="1"/>
    <xf numFmtId="0" fontId="51" fillId="19" borderId="0" xfId="0" applyFont="1" applyFill="1" applyBorder="1" applyAlignment="1">
      <alignment horizontal="center"/>
    </xf>
    <xf numFmtId="0" fontId="34" fillId="19" borderId="0" xfId="0" applyFont="1" applyFill="1" applyBorder="1" applyAlignment="1">
      <alignment horizontal="left"/>
    </xf>
    <xf numFmtId="3" fontId="12" fillId="19" borderId="23" xfId="0" applyNumberFormat="1" applyFont="1" applyFill="1" applyBorder="1" applyAlignment="1">
      <alignment horizontal="right" vertical="center" indent="1"/>
    </xf>
    <xf numFmtId="0" fontId="36" fillId="17" borderId="0" xfId="0" applyFont="1" applyFill="1" applyBorder="1"/>
    <xf numFmtId="3" fontId="6" fillId="19" borderId="0" xfId="0" applyNumberFormat="1" applyFont="1" applyFill="1" applyBorder="1" applyAlignment="1">
      <alignment horizontal="right" vertical="center" indent="1"/>
    </xf>
    <xf numFmtId="3" fontId="9" fillId="19" borderId="0" xfId="0" applyNumberFormat="1" applyFont="1" applyFill="1" applyBorder="1" applyAlignment="1">
      <alignment horizontal="right" vertical="center" indent="1"/>
    </xf>
    <xf numFmtId="3" fontId="10" fillId="19" borderId="0" xfId="0" applyNumberFormat="1" applyFont="1" applyFill="1" applyBorder="1" applyAlignment="1">
      <alignment horizontal="right" vertical="center" indent="1"/>
    </xf>
    <xf numFmtId="3" fontId="6" fillId="17" borderId="19" xfId="0" applyNumberFormat="1" applyFont="1" applyFill="1" applyBorder="1" applyAlignment="1">
      <alignment horizontal="right" vertical="center" indent="1"/>
    </xf>
    <xf numFmtId="3" fontId="9"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center" vertical="center"/>
    </xf>
    <xf numFmtId="0" fontId="6" fillId="0" borderId="0" xfId="0" applyFont="1" applyAlignment="1">
      <alignment horizontal="center"/>
    </xf>
    <xf numFmtId="3" fontId="50" fillId="0" borderId="0" xfId="0" applyNumberFormat="1" applyFont="1" applyAlignment="1">
      <alignment horizontal="center"/>
    </xf>
    <xf numFmtId="0" fontId="12" fillId="19" borderId="25" xfId="0" applyFont="1" applyFill="1" applyBorder="1"/>
    <xf numFmtId="3" fontId="11" fillId="19" borderId="25" xfId="0" applyNumberFormat="1" applyFont="1" applyFill="1" applyBorder="1" applyAlignment="1">
      <alignment horizontal="right" vertical="center" indent="1"/>
    </xf>
    <xf numFmtId="3" fontId="12" fillId="19" borderId="25" xfId="0" applyNumberFormat="1" applyFont="1" applyFill="1" applyBorder="1" applyAlignment="1">
      <alignment horizontal="right" vertical="center" indent="1"/>
    </xf>
    <xf numFmtId="0" fontId="3" fillId="17" borderId="0" xfId="0" applyFont="1" applyFill="1" applyAlignment="1">
      <alignment horizontal="right" vertical="top" wrapText="1"/>
    </xf>
    <xf numFmtId="0" fontId="45" fillId="0" borderId="0" xfId="0" applyFont="1" applyFill="1" applyBorder="1"/>
    <xf numFmtId="0" fontId="6" fillId="0" borderId="0" xfId="0" applyFont="1" applyBorder="1"/>
    <xf numFmtId="0" fontId="6" fillId="0" borderId="25" xfId="0" applyFont="1" applyBorder="1"/>
    <xf numFmtId="0" fontId="6" fillId="0" borderId="16" xfId="0" applyFont="1" applyBorder="1"/>
    <xf numFmtId="0" fontId="6" fillId="0" borderId="0" xfId="0" applyFont="1" applyBorder="1" applyAlignment="1">
      <alignment horizontal="center"/>
    </xf>
    <xf numFmtId="0" fontId="6" fillId="17" borderId="25" xfId="0" applyFont="1" applyFill="1" applyBorder="1"/>
    <xf numFmtId="0" fontId="6" fillId="17" borderId="0" xfId="0" applyFont="1" applyFill="1"/>
    <xf numFmtId="0" fontId="6" fillId="17" borderId="0" xfId="0" applyFont="1" applyFill="1" applyBorder="1" applyAlignment="1">
      <alignment horizontal="center"/>
    </xf>
    <xf numFmtId="0" fontId="51" fillId="19" borderId="0" xfId="0" applyFont="1" applyFill="1" applyBorder="1" applyAlignment="1">
      <alignment horizontal="left"/>
    </xf>
    <xf numFmtId="3" fontId="6" fillId="0" borderId="0" xfId="0" applyNumberFormat="1" applyFont="1"/>
    <xf numFmtId="166" fontId="6" fillId="0" borderId="0" xfId="0" applyNumberFormat="1" applyFont="1"/>
    <xf numFmtId="3" fontId="12" fillId="19" borderId="0" xfId="0" applyNumberFormat="1" applyFont="1" applyFill="1" applyBorder="1" applyAlignment="1" applyProtection="1">
      <alignment horizontal="right" vertical="center" indent="1"/>
      <protection locked="0"/>
    </xf>
    <xf numFmtId="3" fontId="12" fillId="19" borderId="33" xfId="0" applyNumberFormat="1" applyFont="1" applyFill="1" applyBorder="1" applyAlignment="1" applyProtection="1">
      <alignment horizontal="right" vertical="center" indent="1"/>
      <protection locked="0"/>
    </xf>
    <xf numFmtId="0" fontId="8" fillId="19" borderId="0" xfId="0" applyFont="1" applyFill="1" applyBorder="1" applyAlignment="1">
      <alignment vertical="top"/>
    </xf>
    <xf numFmtId="0" fontId="6" fillId="19" borderId="34" xfId="0" applyFont="1" applyFill="1" applyBorder="1"/>
    <xf numFmtId="3" fontId="50" fillId="19" borderId="34" xfId="0" applyNumberFormat="1" applyFont="1" applyFill="1" applyBorder="1" applyAlignment="1">
      <alignment horizontal="right" vertical="center"/>
    </xf>
    <xf numFmtId="3" fontId="9" fillId="19" borderId="34" xfId="0" applyNumberFormat="1" applyFont="1" applyFill="1" applyBorder="1" applyAlignment="1">
      <alignment horizontal="right" vertical="center"/>
    </xf>
    <xf numFmtId="3" fontId="54" fillId="19" borderId="34" xfId="0" applyNumberFormat="1" applyFont="1" applyFill="1" applyBorder="1" applyAlignment="1">
      <alignment horizontal="left" vertical="center" indent="1"/>
    </xf>
    <xf numFmtId="3" fontId="6" fillId="19" borderId="34" xfId="0" applyNumberFormat="1" applyFont="1" applyFill="1" applyBorder="1" applyAlignment="1">
      <alignment horizontal="left" vertical="center" indent="1"/>
    </xf>
    <xf numFmtId="3" fontId="6" fillId="19" borderId="34" xfId="0" applyNumberFormat="1" applyFont="1" applyFill="1" applyBorder="1" applyAlignment="1">
      <alignment horizontal="right" vertical="center" indent="1"/>
    </xf>
    <xf numFmtId="0" fontId="6" fillId="19" borderId="35" xfId="0" applyFont="1" applyFill="1" applyBorder="1"/>
    <xf numFmtId="0" fontId="6" fillId="17" borderId="36" xfId="0" applyFont="1" applyFill="1" applyBorder="1"/>
    <xf numFmtId="3" fontId="50" fillId="17" borderId="36" xfId="0" applyNumberFormat="1" applyFont="1" applyFill="1" applyBorder="1" applyAlignment="1">
      <alignment horizontal="right" vertical="center"/>
    </xf>
    <xf numFmtId="3" fontId="9" fillId="17" borderId="36" xfId="0" applyNumberFormat="1" applyFont="1" applyFill="1" applyBorder="1" applyAlignment="1">
      <alignment horizontal="right" vertical="center"/>
    </xf>
    <xf numFmtId="3" fontId="54" fillId="17" borderId="36" xfId="0" applyNumberFormat="1" applyFont="1" applyFill="1" applyBorder="1" applyAlignment="1">
      <alignment horizontal="left" vertical="center" indent="1"/>
    </xf>
    <xf numFmtId="3" fontId="6" fillId="17" borderId="36" xfId="0" applyNumberFormat="1" applyFont="1" applyFill="1" applyBorder="1" applyAlignment="1">
      <alignment horizontal="left" vertical="center" indent="1"/>
    </xf>
    <xf numFmtId="3" fontId="6" fillId="17" borderId="36" xfId="0" applyNumberFormat="1" applyFont="1" applyFill="1" applyBorder="1" applyAlignment="1">
      <alignment horizontal="right" vertical="center" indent="1"/>
    </xf>
    <xf numFmtId="3" fontId="6" fillId="17" borderId="25" xfId="0" applyNumberFormat="1" applyFont="1" applyFill="1" applyBorder="1" applyAlignment="1">
      <alignment horizontal="left" vertical="center" indent="1"/>
    </xf>
    <xf numFmtId="3" fontId="6" fillId="17" borderId="25" xfId="0" applyNumberFormat="1" applyFont="1" applyFill="1" applyBorder="1" applyAlignment="1">
      <alignment horizontal="right" vertical="center" indent="1"/>
    </xf>
    <xf numFmtId="3" fontId="54" fillId="17" borderId="25" xfId="0" applyNumberFormat="1" applyFont="1" applyFill="1" applyBorder="1" applyAlignment="1">
      <alignment horizontal="left" vertical="center" indent="1"/>
    </xf>
    <xf numFmtId="0" fontId="6" fillId="17" borderId="37" xfId="0" applyFont="1" applyFill="1" applyBorder="1"/>
    <xf numFmtId="0" fontId="6" fillId="17" borderId="15" xfId="0" applyFont="1" applyFill="1" applyBorder="1"/>
    <xf numFmtId="0" fontId="6" fillId="17" borderId="27" xfId="0" applyFont="1" applyFill="1" applyBorder="1"/>
    <xf numFmtId="0" fontId="6" fillId="19" borderId="0" xfId="0" applyFont="1" applyFill="1" applyBorder="1" applyAlignment="1">
      <alignment vertical="top"/>
    </xf>
    <xf numFmtId="3" fontId="57" fillId="19" borderId="0" xfId="0" applyNumberFormat="1" applyFont="1" applyFill="1" applyBorder="1" applyAlignment="1">
      <alignment horizontal="left" vertical="center" indent="1"/>
    </xf>
    <xf numFmtId="3" fontId="8" fillId="19" borderId="0" xfId="0" applyNumberFormat="1" applyFont="1" applyFill="1" applyBorder="1" applyAlignment="1">
      <alignment horizontal="right" vertical="center" indent="1"/>
    </xf>
    <xf numFmtId="3" fontId="8" fillId="17" borderId="0" xfId="0" applyNumberFormat="1" applyFont="1" applyFill="1" applyBorder="1" applyAlignment="1">
      <alignment horizontal="right" vertical="center" indent="1"/>
    </xf>
    <xf numFmtId="3" fontId="6" fillId="17" borderId="0" xfId="0" applyNumberFormat="1" applyFont="1" applyFill="1" applyBorder="1"/>
    <xf numFmtId="3" fontId="59" fillId="17" borderId="0" xfId="0" applyNumberFormat="1" applyFont="1" applyFill="1" applyBorder="1"/>
    <xf numFmtId="0" fontId="49" fillId="17" borderId="0" xfId="0" applyFont="1" applyFill="1" applyBorder="1" applyAlignment="1">
      <alignment horizontal="left" vertical="top" wrapText="1" indent="1"/>
    </xf>
    <xf numFmtId="0" fontId="12" fillId="20" borderId="16" xfId="0" applyFont="1" applyFill="1" applyBorder="1"/>
    <xf numFmtId="0" fontId="12" fillId="20" borderId="17" xfId="0" applyFont="1" applyFill="1" applyBorder="1"/>
    <xf numFmtId="0" fontId="12" fillId="20" borderId="23" xfId="0" applyFont="1" applyFill="1" applyBorder="1" applyAlignment="1">
      <alignment horizontal="center" vertical="center"/>
    </xf>
    <xf numFmtId="0" fontId="12" fillId="20" borderId="15" xfId="0" applyFont="1" applyFill="1" applyBorder="1" applyAlignment="1">
      <alignment horizontal="center" vertical="center"/>
    </xf>
    <xf numFmtId="0" fontId="11" fillId="20" borderId="15" xfId="0" applyFont="1" applyFill="1" applyBorder="1" applyAlignment="1">
      <alignment horizontal="center" vertical="center"/>
    </xf>
    <xf numFmtId="0" fontId="11" fillId="20" borderId="23" xfId="0" applyFont="1" applyFill="1" applyBorder="1" applyAlignment="1">
      <alignment horizontal="center" vertical="center"/>
    </xf>
    <xf numFmtId="0" fontId="12" fillId="20" borderId="23" xfId="0" applyFont="1" applyFill="1" applyBorder="1"/>
    <xf numFmtId="0" fontId="12" fillId="20" borderId="15" xfId="0" applyFont="1" applyFill="1" applyBorder="1"/>
    <xf numFmtId="0" fontId="12" fillId="20" borderId="24" xfId="0" applyFont="1" applyFill="1" applyBorder="1"/>
    <xf numFmtId="0" fontId="12" fillId="20" borderId="25" xfId="0" applyFont="1" applyFill="1" applyBorder="1"/>
    <xf numFmtId="0" fontId="3" fillId="20" borderId="25" xfId="0" applyFont="1" applyFill="1" applyBorder="1" applyAlignment="1">
      <alignment horizontal="right"/>
    </xf>
    <xf numFmtId="0" fontId="11" fillId="21" borderId="26" xfId="0" applyFont="1" applyFill="1" applyBorder="1" applyAlignment="1">
      <alignment horizontal="left" vertical="center"/>
    </xf>
    <xf numFmtId="0" fontId="11" fillId="21" borderId="17" xfId="0" applyFont="1" applyFill="1" applyBorder="1" applyAlignment="1">
      <alignment horizontal="left" vertical="center" indent="2"/>
    </xf>
    <xf numFmtId="0" fontId="11" fillId="21" borderId="24" xfId="0" applyFont="1" applyFill="1" applyBorder="1" applyAlignment="1">
      <alignment horizontal="left" vertical="center"/>
    </xf>
    <xf numFmtId="0" fontId="11" fillId="21" borderId="27" xfId="0" applyFont="1" applyFill="1" applyBorder="1" applyAlignment="1">
      <alignment horizontal="left" vertical="center" indent="2"/>
    </xf>
    <xf numFmtId="0" fontId="0" fillId="17" borderId="23" xfId="0" applyFill="1" applyBorder="1"/>
    <xf numFmtId="0" fontId="0" fillId="17" borderId="15" xfId="0" applyFill="1" applyBorder="1"/>
    <xf numFmtId="0" fontId="12" fillId="17" borderId="23" xfId="0" applyFont="1" applyFill="1" applyBorder="1"/>
    <xf numFmtId="0" fontId="12" fillId="17" borderId="15" xfId="0" applyFont="1" applyFill="1" applyBorder="1"/>
    <xf numFmtId="0" fontId="36" fillId="17" borderId="23" xfId="0" applyFont="1" applyFill="1" applyBorder="1"/>
    <xf numFmtId="3" fontId="12" fillId="17" borderId="38" xfId="0" applyNumberFormat="1" applyFont="1" applyFill="1" applyBorder="1" applyAlignment="1" applyProtection="1">
      <alignment horizontal="right" vertical="center" indent="2"/>
      <protection locked="0"/>
    </xf>
    <xf numFmtId="0" fontId="0" fillId="17" borderId="15" xfId="0" applyFill="1" applyBorder="1" applyAlignment="1">
      <alignment wrapText="1"/>
    </xf>
    <xf numFmtId="3" fontId="12" fillId="17" borderId="39" xfId="0" applyNumberFormat="1" applyFont="1" applyFill="1" applyBorder="1" applyAlignment="1" applyProtection="1">
      <alignment horizontal="right" vertical="center" indent="2"/>
    </xf>
    <xf numFmtId="3" fontId="12" fillId="17" borderId="0" xfId="0" applyNumberFormat="1" applyFont="1" applyFill="1" applyBorder="1" applyAlignment="1" applyProtection="1">
      <alignment vertical="top"/>
      <protection locked="0"/>
    </xf>
    <xf numFmtId="0" fontId="46" fillId="17" borderId="0" xfId="0" applyFont="1" applyFill="1" applyBorder="1" applyAlignment="1">
      <alignment vertical="top"/>
    </xf>
    <xf numFmtId="0" fontId="49" fillId="17" borderId="0" xfId="0" applyFont="1" applyFill="1" applyBorder="1" applyAlignment="1">
      <alignment horizontal="left" indent="1"/>
    </xf>
    <xf numFmtId="0" fontId="46" fillId="17" borderId="0" xfId="0" applyFont="1" applyFill="1" applyBorder="1" applyAlignment="1">
      <alignment horizontal="center" wrapText="1"/>
    </xf>
    <xf numFmtId="0" fontId="60" fillId="17" borderId="0" xfId="0" applyFont="1" applyFill="1" applyBorder="1" applyAlignment="1">
      <alignment horizontal="left" indent="1"/>
    </xf>
    <xf numFmtId="0" fontId="12" fillId="17" borderId="0" xfId="0" applyFont="1" applyFill="1" applyBorder="1" applyAlignment="1">
      <alignment vertical="center" wrapText="1"/>
    </xf>
    <xf numFmtId="3" fontId="46" fillId="17" borderId="0" xfId="0" applyNumberFormat="1" applyFont="1" applyFill="1" applyBorder="1" applyAlignment="1">
      <alignment vertical="center" wrapText="1"/>
    </xf>
    <xf numFmtId="0" fontId="44" fillId="17" borderId="23" xfId="0" applyFont="1" applyFill="1" applyBorder="1"/>
    <xf numFmtId="0" fontId="45" fillId="17" borderId="0" xfId="0" applyFont="1" applyFill="1" applyBorder="1" applyAlignment="1">
      <alignment horizontal="right" vertical="center" indent="2"/>
    </xf>
    <xf numFmtId="0" fontId="46" fillId="17" borderId="15" xfId="0" applyFont="1" applyFill="1" applyBorder="1"/>
    <xf numFmtId="0" fontId="14" fillId="17" borderId="15" xfId="0" applyFont="1" applyFill="1" applyBorder="1"/>
    <xf numFmtId="0" fontId="11" fillId="17" borderId="15" xfId="0" applyFont="1" applyFill="1" applyBorder="1" applyAlignment="1">
      <alignment horizontal="center" vertical="center"/>
    </xf>
    <xf numFmtId="0" fontId="11" fillId="17" borderId="23" xfId="0" applyFont="1" applyFill="1" applyBorder="1" applyAlignment="1">
      <alignment horizontal="center" vertical="center"/>
    </xf>
    <xf numFmtId="0" fontId="0" fillId="20" borderId="26" xfId="0" applyFill="1" applyBorder="1"/>
    <xf numFmtId="0" fontId="0" fillId="20" borderId="16" xfId="0" applyFill="1" applyBorder="1"/>
    <xf numFmtId="0" fontId="0" fillId="20" borderId="17" xfId="0" applyFill="1" applyBorder="1"/>
    <xf numFmtId="0" fontId="0" fillId="20" borderId="24" xfId="0" applyFill="1" applyBorder="1"/>
    <xf numFmtId="0" fontId="0" fillId="20" borderId="25" xfId="0" applyFill="1" applyBorder="1"/>
    <xf numFmtId="4" fontId="12" fillId="17" borderId="0" xfId="0" applyNumberFormat="1" applyFont="1" applyFill="1" applyBorder="1" applyAlignment="1" applyProtection="1">
      <alignment horizontal="right" vertical="center" indent="2"/>
    </xf>
    <xf numFmtId="4" fontId="46" fillId="17" borderId="0" xfId="0" applyNumberFormat="1" applyFont="1" applyFill="1" applyBorder="1" applyAlignment="1">
      <alignment horizontal="center" vertical="center"/>
    </xf>
    <xf numFmtId="0" fontId="46" fillId="17" borderId="25" xfId="0" applyFont="1" applyFill="1" applyBorder="1" applyAlignment="1">
      <alignment horizontal="center" vertical="top" wrapText="1"/>
    </xf>
    <xf numFmtId="4" fontId="12" fillId="17" borderId="0" xfId="0" applyNumberFormat="1" applyFont="1" applyFill="1" applyBorder="1" applyAlignment="1" applyProtection="1">
      <alignment horizontal="right" vertical="center" indent="2"/>
      <protection locked="0"/>
    </xf>
    <xf numFmtId="3" fontId="12" fillId="17" borderId="0" xfId="0" applyNumberFormat="1" applyFont="1" applyFill="1" applyBorder="1" applyAlignment="1" applyProtection="1">
      <alignment horizontal="right" vertical="center" indent="2"/>
    </xf>
    <xf numFmtId="4" fontId="12" fillId="17" borderId="0" xfId="0" applyNumberFormat="1" applyFont="1" applyFill="1" applyBorder="1" applyAlignment="1">
      <alignment horizontal="right" vertical="center" indent="2"/>
    </xf>
    <xf numFmtId="1" fontId="11" fillId="17" borderId="0" xfId="0" quotePrefix="1" applyNumberFormat="1" applyFont="1" applyFill="1" applyBorder="1" applyAlignment="1">
      <alignment horizontal="center" vertical="top" wrapText="1"/>
    </xf>
    <xf numFmtId="4" fontId="12" fillId="17" borderId="0" xfId="0" applyNumberFormat="1" applyFont="1" applyFill="1" applyBorder="1" applyAlignment="1">
      <alignment horizontal="right" vertical="center" wrapText="1" indent="2"/>
    </xf>
    <xf numFmtId="4" fontId="46" fillId="17" borderId="0" xfId="0" applyNumberFormat="1" applyFont="1" applyFill="1" applyBorder="1" applyAlignment="1">
      <alignment horizontal="right" vertical="center" wrapText="1"/>
    </xf>
    <xf numFmtId="0" fontId="36" fillId="17" borderId="24" xfId="0" applyFont="1" applyFill="1" applyBorder="1"/>
    <xf numFmtId="0" fontId="12" fillId="17" borderId="26" xfId="0" applyFont="1" applyFill="1" applyBorder="1" applyAlignment="1" applyProtection="1">
      <alignment vertical="top"/>
      <protection locked="0"/>
    </xf>
    <xf numFmtId="0" fontId="12" fillId="17" borderId="23" xfId="0" applyFont="1" applyFill="1" applyBorder="1" applyAlignment="1" applyProtection="1">
      <alignment vertical="top"/>
      <protection locked="0"/>
    </xf>
    <xf numFmtId="0" fontId="12" fillId="17" borderId="24" xfId="0" applyFont="1" applyFill="1" applyBorder="1" applyAlignment="1" applyProtection="1">
      <alignment vertical="top"/>
      <protection locked="0"/>
    </xf>
    <xf numFmtId="0" fontId="6" fillId="22" borderId="36" xfId="0" applyFont="1" applyFill="1" applyBorder="1"/>
    <xf numFmtId="0" fontId="6" fillId="22" borderId="40" xfId="0" applyFont="1" applyFill="1" applyBorder="1"/>
    <xf numFmtId="0" fontId="6" fillId="22" borderId="0" xfId="0" applyFont="1" applyFill="1" applyBorder="1"/>
    <xf numFmtId="0" fontId="6" fillId="22" borderId="41" xfId="0" applyFont="1" applyFill="1" applyBorder="1"/>
    <xf numFmtId="0" fontId="6" fillId="22" borderId="34" xfId="0" applyFont="1" applyFill="1" applyBorder="1"/>
    <xf numFmtId="0" fontId="6" fillId="22" borderId="42" xfId="0" applyFont="1" applyFill="1" applyBorder="1"/>
    <xf numFmtId="0" fontId="47" fillId="22" borderId="40" xfId="0" applyFont="1" applyFill="1" applyBorder="1"/>
    <xf numFmtId="0" fontId="47" fillId="22" borderId="41" xfId="0" applyFont="1" applyFill="1" applyBorder="1"/>
    <xf numFmtId="0" fontId="51" fillId="22" borderId="34" xfId="0" applyFont="1" applyFill="1" applyBorder="1"/>
    <xf numFmtId="0" fontId="51" fillId="22" borderId="42" xfId="0" applyFont="1" applyFill="1" applyBorder="1"/>
    <xf numFmtId="0" fontId="47" fillId="22" borderId="36" xfId="0" applyFont="1" applyFill="1" applyBorder="1"/>
    <xf numFmtId="0" fontId="47" fillId="22" borderId="0" xfId="0" applyFont="1" applyFill="1" applyBorder="1"/>
    <xf numFmtId="3" fontId="47" fillId="22" borderId="0" xfId="0" applyNumberFormat="1" applyFont="1" applyFill="1" applyBorder="1" applyAlignment="1">
      <alignment horizontal="right" vertical="center"/>
    </xf>
    <xf numFmtId="3" fontId="62" fillId="22" borderId="0" xfId="0" applyNumberFormat="1" applyFont="1" applyFill="1" applyBorder="1" applyAlignment="1">
      <alignment horizontal="left" vertical="center" indent="1"/>
    </xf>
    <xf numFmtId="3" fontId="47" fillId="22" borderId="0" xfId="0" applyNumberFormat="1" applyFont="1" applyFill="1" applyBorder="1" applyAlignment="1">
      <alignment horizontal="left" vertical="center" indent="1"/>
    </xf>
    <xf numFmtId="3" fontId="47" fillId="22" borderId="0" xfId="0" applyNumberFormat="1" applyFont="1" applyFill="1" applyBorder="1" applyAlignment="1">
      <alignment horizontal="right" vertical="center" indent="1"/>
    </xf>
    <xf numFmtId="0" fontId="2" fillId="0" borderId="0" xfId="0" applyFont="1"/>
    <xf numFmtId="4" fontId="67" fillId="21" borderId="26" xfId="0" applyNumberFormat="1" applyFont="1" applyFill="1" applyBorder="1" applyAlignment="1">
      <alignment horizontal="center"/>
    </xf>
    <xf numFmtId="4" fontId="67" fillId="21" borderId="23" xfId="0" applyNumberFormat="1" applyFont="1" applyFill="1" applyBorder="1" applyAlignment="1">
      <alignment horizontal="center"/>
    </xf>
    <xf numFmtId="0" fontId="67" fillId="21" borderId="23" xfId="0" applyFont="1" applyFill="1" applyBorder="1" applyAlignment="1">
      <alignment horizontal="center"/>
    </xf>
    <xf numFmtId="4" fontId="67" fillId="21" borderId="24" xfId="0" applyNumberFormat="1" applyFont="1" applyFill="1" applyBorder="1" applyAlignment="1">
      <alignment horizontal="center"/>
    </xf>
    <xf numFmtId="1" fontId="2" fillId="20" borderId="15" xfId="0" applyNumberFormat="1" applyFont="1" applyFill="1" applyBorder="1" applyAlignment="1">
      <alignment horizontal="center"/>
    </xf>
    <xf numFmtId="0" fontId="2" fillId="20" borderId="17" xfId="0" applyFont="1" applyFill="1" applyBorder="1" applyAlignment="1">
      <alignment horizontal="center"/>
    </xf>
    <xf numFmtId="0" fontId="2" fillId="20" borderId="15" xfId="0" applyFont="1" applyFill="1" applyBorder="1" applyAlignment="1">
      <alignment horizontal="center"/>
    </xf>
    <xf numFmtId="1" fontId="67" fillId="20" borderId="24" xfId="0" applyNumberFormat="1" applyFont="1" applyFill="1" applyBorder="1"/>
    <xf numFmtId="0" fontId="67" fillId="20" borderId="25" xfId="0" applyFont="1" applyFill="1" applyBorder="1"/>
    <xf numFmtId="0" fontId="67" fillId="20" borderId="27" xfId="0" applyFont="1" applyFill="1" applyBorder="1" applyAlignment="1">
      <alignment horizontal="center"/>
    </xf>
    <xf numFmtId="1" fontId="67" fillId="21" borderId="23" xfId="0" applyNumberFormat="1" applyFont="1" applyFill="1" applyBorder="1" applyAlignment="1">
      <alignment horizontal="center"/>
    </xf>
    <xf numFmtId="4" fontId="67" fillId="21" borderId="47" xfId="0" applyNumberFormat="1" applyFont="1" applyFill="1" applyBorder="1"/>
    <xf numFmtId="4" fontId="67" fillId="21" borderId="48" xfId="0" applyNumberFormat="1" applyFont="1" applyFill="1" applyBorder="1"/>
    <xf numFmtId="0" fontId="67" fillId="21" borderId="48" xfId="0" applyFont="1" applyFill="1" applyBorder="1"/>
    <xf numFmtId="4" fontId="67" fillId="21" borderId="49" xfId="0" applyNumberFormat="1" applyFont="1" applyFill="1" applyBorder="1"/>
    <xf numFmtId="0" fontId="0" fillId="17" borderId="50" xfId="0" applyFill="1" applyBorder="1"/>
    <xf numFmtId="0" fontId="11" fillId="17" borderId="51" xfId="0" applyFont="1" applyFill="1" applyBorder="1"/>
    <xf numFmtId="0" fontId="12" fillId="17" borderId="51" xfId="0" applyFont="1" applyFill="1" applyBorder="1"/>
    <xf numFmtId="3" fontId="12" fillId="17" borderId="51" xfId="0" applyNumberFormat="1" applyFont="1" applyFill="1" applyBorder="1" applyAlignment="1">
      <alignment horizontal="right" vertical="center" indent="1"/>
    </xf>
    <xf numFmtId="0" fontId="12" fillId="17" borderId="52" xfId="0" applyFont="1" applyFill="1" applyBorder="1"/>
    <xf numFmtId="0" fontId="0" fillId="17" borderId="53" xfId="0" applyFill="1" applyBorder="1"/>
    <xf numFmtId="0" fontId="12" fillId="17" borderId="54" xfId="0" applyFont="1" applyFill="1" applyBorder="1"/>
    <xf numFmtId="0" fontId="12" fillId="17" borderId="54" xfId="0" applyFont="1" applyFill="1" applyBorder="1" applyAlignment="1">
      <alignment horizontal="center"/>
    </xf>
    <xf numFmtId="0" fontId="0" fillId="17" borderId="55" xfId="0" applyFill="1" applyBorder="1"/>
    <xf numFmtId="0" fontId="11" fillId="17" borderId="56" xfId="0" applyFont="1" applyFill="1" applyBorder="1"/>
    <xf numFmtId="0" fontId="12" fillId="17" borderId="56" xfId="0" applyFont="1" applyFill="1" applyBorder="1"/>
    <xf numFmtId="0" fontId="12" fillId="17" borderId="57" xfId="0" applyFont="1" applyFill="1" applyBorder="1"/>
    <xf numFmtId="0" fontId="47" fillId="19" borderId="15" xfId="0" applyFont="1" applyFill="1" applyBorder="1" applyAlignment="1">
      <alignment horizontal="center"/>
    </xf>
    <xf numFmtId="0" fontId="47" fillId="17" borderId="58" xfId="0" applyFont="1" applyFill="1" applyBorder="1" applyAlignment="1">
      <alignment horizontal="center"/>
    </xf>
    <xf numFmtId="0" fontId="47" fillId="17" borderId="59" xfId="0" applyFont="1" applyFill="1" applyBorder="1" applyAlignment="1">
      <alignment horizontal="center"/>
    </xf>
    <xf numFmtId="0" fontId="47" fillId="17" borderId="60" xfId="0" applyFont="1" applyFill="1" applyBorder="1" applyAlignment="1">
      <alignment horizontal="center"/>
    </xf>
    <xf numFmtId="0" fontId="12" fillId="19" borderId="24" xfId="0" applyFont="1" applyFill="1" applyBorder="1"/>
    <xf numFmtId="0" fontId="12" fillId="19" borderId="27" xfId="0" applyFont="1" applyFill="1" applyBorder="1"/>
    <xf numFmtId="3" fontId="14" fillId="17" borderId="0" xfId="33" applyNumberFormat="1" applyFont="1" applyFill="1" applyBorder="1" applyAlignment="1">
      <alignment horizontal="right" vertical="center"/>
    </xf>
    <xf numFmtId="1" fontId="66" fillId="20" borderId="23" xfId="0" applyNumberFormat="1" applyFont="1" applyFill="1" applyBorder="1" applyAlignment="1">
      <alignment horizontal="center" vertical="top"/>
    </xf>
    <xf numFmtId="0" fontId="66" fillId="20" borderId="0" xfId="0" applyFont="1" applyFill="1" applyBorder="1" applyAlignment="1">
      <alignment vertical="top"/>
    </xf>
    <xf numFmtId="0" fontId="66" fillId="20" borderId="15" xfId="0" applyFont="1" applyFill="1" applyBorder="1" applyAlignment="1">
      <alignment horizontal="center" vertical="top"/>
    </xf>
    <xf numFmtId="0" fontId="3" fillId="20" borderId="17" xfId="0" applyFont="1" applyFill="1" applyBorder="1" applyAlignment="1">
      <alignment vertical="top" wrapText="1"/>
    </xf>
    <xf numFmtId="3" fontId="46" fillId="17" borderId="0" xfId="0" applyNumberFormat="1" applyFont="1" applyFill="1" applyBorder="1" applyAlignment="1">
      <alignment horizontal="center" vertical="top" wrapText="1"/>
    </xf>
    <xf numFmtId="0" fontId="0" fillId="20" borderId="47" xfId="0" applyFill="1" applyBorder="1"/>
    <xf numFmtId="1" fontId="2" fillId="20" borderId="48" xfId="0" applyNumberFormat="1" applyFont="1" applyFill="1" applyBorder="1" applyAlignment="1">
      <alignment horizontal="center"/>
    </xf>
    <xf numFmtId="0" fontId="0" fillId="20" borderId="49" xfId="0" applyFill="1" applyBorder="1"/>
    <xf numFmtId="0" fontId="61" fillId="0" borderId="0" xfId="0" applyFont="1" applyFill="1" applyBorder="1" applyAlignment="1">
      <alignment horizontal="center"/>
    </xf>
    <xf numFmtId="0" fontId="45" fillId="0" borderId="0" xfId="0" applyFont="1"/>
    <xf numFmtId="0" fontId="46" fillId="0" borderId="0" xfId="0" applyFont="1" applyFill="1" applyBorder="1" applyProtection="1"/>
    <xf numFmtId="3" fontId="46" fillId="0" borderId="0" xfId="0" applyNumberFormat="1" applyFont="1" applyFill="1" applyBorder="1" applyAlignment="1" applyProtection="1">
      <alignment horizontal="center" vertical="center"/>
    </xf>
    <xf numFmtId="0" fontId="25" fillId="17" borderId="0" xfId="41" applyFill="1" applyBorder="1" applyAlignment="1" applyProtection="1">
      <alignment horizontal="center" vertical="center" wrapText="1"/>
    </xf>
    <xf numFmtId="0" fontId="68" fillId="0" borderId="0" xfId="41" quotePrefix="1" applyNumberFormat="1" applyFont="1" applyFill="1" applyBorder="1" applyAlignment="1" applyProtection="1">
      <alignment horizontal="left" vertical="top" wrapText="1"/>
    </xf>
    <xf numFmtId="0" fontId="25" fillId="17" borderId="0" xfId="41" applyFill="1" applyBorder="1" applyAlignment="1" applyProtection="1">
      <alignment vertical="center" wrapText="1"/>
    </xf>
    <xf numFmtId="0" fontId="37" fillId="20" borderId="23" xfId="0" applyFont="1" applyFill="1" applyBorder="1"/>
    <xf numFmtId="0" fontId="37" fillId="20" borderId="0" xfId="0" applyFont="1" applyFill="1" applyBorder="1"/>
    <xf numFmtId="4" fontId="42" fillId="20" borderId="0" xfId="0" applyNumberFormat="1" applyFont="1" applyFill="1" applyBorder="1" applyAlignment="1">
      <alignment horizontal="right"/>
    </xf>
    <xf numFmtId="0" fontId="37" fillId="20" borderId="15" xfId="0" applyFont="1" applyFill="1" applyBorder="1"/>
    <xf numFmtId="0" fontId="0" fillId="20" borderId="47" xfId="0" applyFill="1" applyBorder="1" applyAlignment="1">
      <alignment vertical="top" wrapText="1"/>
    </xf>
    <xf numFmtId="0" fontId="0" fillId="20" borderId="49" xfId="0" applyFill="1" applyBorder="1" applyAlignment="1">
      <alignment vertical="top" wrapText="1"/>
    </xf>
    <xf numFmtId="0" fontId="3" fillId="20" borderId="49" xfId="0" applyFont="1" applyFill="1" applyBorder="1" applyAlignment="1">
      <alignment vertical="top" wrapText="1"/>
    </xf>
    <xf numFmtId="3" fontId="0" fillId="0" borderId="0" xfId="0" applyNumberFormat="1"/>
    <xf numFmtId="0" fontId="6" fillId="20" borderId="0" xfId="0" applyFont="1" applyFill="1" applyBorder="1" applyAlignment="1">
      <alignment horizontal="center"/>
    </xf>
    <xf numFmtId="0" fontId="6" fillId="20" borderId="15" xfId="0" applyFont="1" applyFill="1" applyBorder="1" applyAlignment="1">
      <alignment horizontal="center"/>
    </xf>
    <xf numFmtId="0" fontId="8" fillId="22" borderId="34" xfId="0" applyFont="1" applyFill="1" applyBorder="1"/>
    <xf numFmtId="0" fontId="58" fillId="22" borderId="44" xfId="0" applyFont="1" applyFill="1" applyBorder="1"/>
    <xf numFmtId="0" fontId="58" fillId="22" borderId="36" xfId="0" applyFont="1" applyFill="1" applyBorder="1"/>
    <xf numFmtId="0" fontId="58" fillId="22" borderId="43" xfId="0" applyFont="1" applyFill="1" applyBorder="1"/>
    <xf numFmtId="0" fontId="58" fillId="22" borderId="0" xfId="0" applyFont="1" applyFill="1" applyBorder="1"/>
    <xf numFmtId="0" fontId="57" fillId="22" borderId="36" xfId="0" applyFont="1" applyFill="1" applyBorder="1"/>
    <xf numFmtId="0" fontId="57" fillId="22" borderId="0" xfId="0" applyFont="1" applyFill="1" applyBorder="1"/>
    <xf numFmtId="0" fontId="57" fillId="22" borderId="34" xfId="0" applyFont="1" applyFill="1" applyBorder="1"/>
    <xf numFmtId="0" fontId="45" fillId="23" borderId="61" xfId="0" applyFont="1" applyFill="1" applyBorder="1" applyAlignment="1">
      <alignment horizontal="center"/>
    </xf>
    <xf numFmtId="0" fontId="45" fillId="23" borderId="62" xfId="0" applyFont="1" applyFill="1" applyBorder="1" applyAlignment="1">
      <alignment horizontal="center"/>
    </xf>
    <xf numFmtId="1" fontId="45" fillId="23" borderId="62" xfId="0" applyNumberFormat="1" applyFont="1" applyFill="1" applyBorder="1" applyAlignment="1">
      <alignment horizontal="center"/>
    </xf>
    <xf numFmtId="1" fontId="45" fillId="23" borderId="63" xfId="0" applyNumberFormat="1" applyFont="1" applyFill="1" applyBorder="1" applyAlignment="1">
      <alignment horizontal="center"/>
    </xf>
    <xf numFmtId="0" fontId="51" fillId="19" borderId="15" xfId="0" applyFont="1" applyFill="1" applyBorder="1" applyAlignment="1">
      <alignment horizontal="center"/>
    </xf>
    <xf numFmtId="0" fontId="12" fillId="0" borderId="0" xfId="0" applyFont="1" applyAlignment="1">
      <alignment horizontal="center"/>
    </xf>
    <xf numFmtId="0" fontId="46" fillId="17" borderId="0" xfId="0" applyFont="1" applyFill="1" applyBorder="1" applyAlignment="1">
      <alignment horizontal="center" vertical="top" wrapText="1"/>
    </xf>
    <xf numFmtId="0" fontId="0" fillId="17" borderId="25" xfId="0" applyFill="1" applyBorder="1"/>
    <xf numFmtId="0" fontId="4" fillId="17" borderId="0" xfId="0" applyFont="1" applyFill="1" applyBorder="1" applyAlignment="1">
      <alignment vertical="top"/>
    </xf>
    <xf numFmtId="0" fontId="67" fillId="20" borderId="25" xfId="0" applyFont="1" applyFill="1" applyBorder="1" applyAlignment="1"/>
    <xf numFmtId="0" fontId="3" fillId="20" borderId="47" xfId="0" applyFont="1" applyFill="1" applyBorder="1" applyAlignment="1">
      <alignment vertical="top" wrapText="1"/>
    </xf>
    <xf numFmtId="0" fontId="2" fillId="20" borderId="47" xfId="0" applyFont="1" applyFill="1" applyBorder="1" applyAlignment="1"/>
    <xf numFmtId="0" fontId="65" fillId="20" borderId="49" xfId="0" applyFont="1" applyFill="1" applyBorder="1" applyAlignment="1" applyProtection="1"/>
    <xf numFmtId="3" fontId="69" fillId="17" borderId="0" xfId="41" applyNumberFormat="1" applyFont="1" applyFill="1" applyBorder="1" applyAlignment="1" applyProtection="1">
      <alignment vertical="top"/>
    </xf>
    <xf numFmtId="3" fontId="12" fillId="0" borderId="38" xfId="0" applyNumberFormat="1" applyFont="1" applyFill="1" applyBorder="1" applyAlignment="1" applyProtection="1">
      <alignment horizontal="right" vertical="center" indent="2"/>
      <protection locked="0"/>
    </xf>
    <xf numFmtId="3" fontId="46" fillId="17" borderId="0" xfId="0" applyNumberFormat="1" applyFont="1" applyFill="1" applyBorder="1" applyAlignment="1">
      <alignment horizontal="right" vertical="center" wrapText="1"/>
    </xf>
    <xf numFmtId="0" fontId="12" fillId="19" borderId="18" xfId="0" applyFont="1" applyFill="1" applyBorder="1" applyAlignment="1"/>
    <xf numFmtId="0" fontId="12" fillId="19" borderId="19" xfId="0" applyFont="1" applyFill="1" applyBorder="1" applyAlignment="1">
      <alignment wrapText="1"/>
    </xf>
    <xf numFmtId="0" fontId="12" fillId="19" borderId="19" xfId="0" applyFont="1" applyFill="1" applyBorder="1" applyAlignment="1"/>
    <xf numFmtId="3" fontId="11" fillId="19" borderId="19" xfId="0" applyNumberFormat="1" applyFont="1" applyFill="1" applyBorder="1" applyAlignment="1">
      <alignment horizontal="right" vertical="center" indent="1"/>
    </xf>
    <xf numFmtId="0" fontId="12" fillId="19" borderId="20" xfId="0" applyFont="1" applyFill="1" applyBorder="1" applyAlignment="1"/>
    <xf numFmtId="0" fontId="11" fillId="19" borderId="20" xfId="0" applyFont="1" applyFill="1" applyBorder="1" applyAlignment="1"/>
    <xf numFmtId="0" fontId="12" fillId="19" borderId="21" xfId="0" applyFont="1" applyFill="1" applyBorder="1" applyAlignment="1"/>
    <xf numFmtId="0" fontId="12" fillId="19" borderId="22" xfId="0" applyFont="1" applyFill="1" applyBorder="1" applyAlignment="1"/>
    <xf numFmtId="3" fontId="12" fillId="19" borderId="22" xfId="0" applyNumberFormat="1" applyFont="1" applyFill="1" applyBorder="1" applyAlignment="1">
      <alignment horizontal="right" vertical="center" indent="1"/>
    </xf>
    <xf numFmtId="0" fontId="34" fillId="17" borderId="0" xfId="0" applyFont="1" applyFill="1" applyBorder="1"/>
    <xf numFmtId="3" fontId="12" fillId="24" borderId="0" xfId="0" applyNumberFormat="1" applyFont="1" applyFill="1" applyBorder="1" applyAlignment="1">
      <alignment horizontal="right" vertical="center" indent="1"/>
    </xf>
    <xf numFmtId="3" fontId="11" fillId="24" borderId="0" xfId="0" applyNumberFormat="1" applyFont="1" applyFill="1" applyBorder="1" applyAlignment="1">
      <alignment horizontal="right" vertical="center" indent="1"/>
    </xf>
    <xf numFmtId="3" fontId="11" fillId="24" borderId="19" xfId="0" applyNumberFormat="1" applyFont="1" applyFill="1" applyBorder="1" applyAlignment="1">
      <alignment horizontal="right" vertical="center" indent="1"/>
    </xf>
    <xf numFmtId="3" fontId="12" fillId="24" borderId="19" xfId="0" applyNumberFormat="1" applyFont="1" applyFill="1" applyBorder="1" applyAlignment="1">
      <alignment horizontal="right" vertical="center" indent="1"/>
    </xf>
    <xf numFmtId="3" fontId="12" fillId="24" borderId="22" xfId="0" applyNumberFormat="1" applyFont="1" applyFill="1" applyBorder="1" applyAlignment="1">
      <alignment horizontal="right" vertical="center" indent="1"/>
    </xf>
    <xf numFmtId="0" fontId="0" fillId="24" borderId="0" xfId="0" applyFill="1" applyBorder="1"/>
    <xf numFmtId="3" fontId="11" fillId="24" borderId="31" xfId="0" applyNumberFormat="1" applyFont="1" applyFill="1" applyBorder="1" applyAlignment="1">
      <alignment horizontal="right" vertical="center" indent="1"/>
    </xf>
    <xf numFmtId="3" fontId="12" fillId="24" borderId="31" xfId="0" applyNumberFormat="1" applyFont="1" applyFill="1" applyBorder="1" applyAlignment="1">
      <alignment horizontal="right" vertical="center" indent="1"/>
    </xf>
    <xf numFmtId="3" fontId="11" fillId="24" borderId="32" xfId="0" applyNumberFormat="1" applyFont="1" applyFill="1" applyBorder="1" applyAlignment="1">
      <alignment horizontal="right" vertical="center" indent="1"/>
    </xf>
    <xf numFmtId="3" fontId="12" fillId="24" borderId="32" xfId="0" applyNumberFormat="1" applyFont="1" applyFill="1" applyBorder="1" applyAlignment="1">
      <alignment horizontal="right" vertical="center" indent="1"/>
    </xf>
    <xf numFmtId="3" fontId="11" fillId="24" borderId="25" xfId="0" applyNumberFormat="1" applyFont="1" applyFill="1" applyBorder="1" applyAlignment="1">
      <alignment horizontal="right" vertical="center" indent="1"/>
    </xf>
    <xf numFmtId="3" fontId="12" fillId="24" borderId="25" xfId="0" applyNumberFormat="1" applyFont="1" applyFill="1" applyBorder="1" applyAlignment="1">
      <alignment horizontal="right" vertical="center" indent="1"/>
    </xf>
    <xf numFmtId="0" fontId="12" fillId="24" borderId="0" xfId="0" applyFont="1" applyFill="1" applyBorder="1"/>
    <xf numFmtId="3" fontId="11" fillId="24" borderId="0" xfId="0" applyNumberFormat="1" applyFont="1" applyFill="1" applyBorder="1" applyAlignment="1">
      <alignment horizontal="right" vertical="center" indent="1"/>
    </xf>
    <xf numFmtId="0" fontId="76" fillId="19" borderId="0" xfId="0" applyFont="1" applyFill="1" applyBorder="1"/>
    <xf numFmtId="0" fontId="12" fillId="24" borderId="0" xfId="0" applyFont="1" applyFill="1" applyBorder="1" applyAlignment="1">
      <alignment horizontal="center"/>
    </xf>
    <xf numFmtId="0" fontId="12" fillId="24" borderId="64" xfId="0" applyFont="1" applyFill="1" applyBorder="1" applyAlignment="1">
      <alignment horizontal="center"/>
    </xf>
    <xf numFmtId="0" fontId="12" fillId="24" borderId="65" xfId="0" applyFont="1" applyFill="1" applyBorder="1"/>
    <xf numFmtId="0" fontId="12" fillId="24" borderId="66" xfId="0" applyFont="1" applyFill="1" applyBorder="1"/>
    <xf numFmtId="0" fontId="12" fillId="24" borderId="64" xfId="0" applyFont="1" applyFill="1" applyBorder="1"/>
    <xf numFmtId="0" fontId="0" fillId="24" borderId="64" xfId="0" applyFill="1" applyBorder="1"/>
    <xf numFmtId="0" fontId="0" fillId="24" borderId="65" xfId="0" applyFill="1" applyBorder="1"/>
    <xf numFmtId="0" fontId="0" fillId="24" borderId="66" xfId="0" applyFill="1" applyBorder="1"/>
    <xf numFmtId="0" fontId="0" fillId="24" borderId="67" xfId="0" applyFill="1" applyBorder="1"/>
    <xf numFmtId="0" fontId="0" fillId="24" borderId="68" xfId="0" applyFill="1" applyBorder="1"/>
    <xf numFmtId="0" fontId="0" fillId="24" borderId="69" xfId="0" applyFill="1" applyBorder="1"/>
    <xf numFmtId="0" fontId="0" fillId="24" borderId="25" xfId="0" applyFill="1" applyBorder="1"/>
    <xf numFmtId="0" fontId="0" fillId="24" borderId="16" xfId="0" applyFill="1" applyBorder="1"/>
    <xf numFmtId="0" fontId="12" fillId="24" borderId="22" xfId="0" applyFont="1" applyFill="1" applyBorder="1"/>
    <xf numFmtId="0" fontId="12" fillId="0" borderId="0" xfId="0" applyFont="1" applyAlignment="1">
      <alignment vertical="center"/>
    </xf>
    <xf numFmtId="0" fontId="12" fillId="19" borderId="83" xfId="0" applyFont="1" applyFill="1" applyBorder="1"/>
    <xf numFmtId="3" fontId="12" fillId="19" borderId="84" xfId="0" applyNumberFormat="1" applyFont="1" applyFill="1" applyBorder="1" applyAlignment="1">
      <alignment horizontal="right" vertical="center" indent="1"/>
    </xf>
    <xf numFmtId="3" fontId="12" fillId="19" borderId="85" xfId="0" applyNumberFormat="1" applyFont="1" applyFill="1" applyBorder="1" applyAlignment="1">
      <alignment horizontal="right" vertical="center" indent="1"/>
    </xf>
    <xf numFmtId="3" fontId="12" fillId="24" borderId="84" xfId="0" applyNumberFormat="1" applyFont="1" applyFill="1" applyBorder="1" applyAlignment="1">
      <alignment horizontal="right" vertical="center" indent="1"/>
    </xf>
    <xf numFmtId="0" fontId="0" fillId="24" borderId="86" xfId="0" applyFill="1" applyBorder="1"/>
    <xf numFmtId="0" fontId="12" fillId="19" borderId="87" xfId="0" applyFont="1" applyFill="1" applyBorder="1"/>
    <xf numFmtId="0" fontId="0" fillId="24" borderId="88" xfId="0" applyFill="1" applyBorder="1"/>
    <xf numFmtId="0" fontId="12" fillId="19" borderId="89" xfId="0" applyFont="1" applyFill="1" applyBorder="1"/>
    <xf numFmtId="3" fontId="11" fillId="19" borderId="90" xfId="0" applyNumberFormat="1" applyFont="1" applyFill="1" applyBorder="1" applyAlignment="1">
      <alignment horizontal="right" vertical="center" indent="1"/>
    </xf>
    <xf numFmtId="3" fontId="12" fillId="19" borderId="90" xfId="0" applyNumberFormat="1" applyFont="1" applyFill="1" applyBorder="1" applyAlignment="1">
      <alignment horizontal="right" vertical="center" indent="1"/>
    </xf>
    <xf numFmtId="3" fontId="12" fillId="19" borderId="91" xfId="0" applyNumberFormat="1" applyFont="1" applyFill="1" applyBorder="1" applyAlignment="1">
      <alignment horizontal="right" vertical="center" indent="1"/>
    </xf>
    <xf numFmtId="3" fontId="12" fillId="24" borderId="90" xfId="0" applyNumberFormat="1" applyFont="1" applyFill="1" applyBorder="1" applyAlignment="1">
      <alignment horizontal="right" vertical="center" indent="1"/>
    </xf>
    <xf numFmtId="3" fontId="11" fillId="24" borderId="90" xfId="0" applyNumberFormat="1" applyFont="1" applyFill="1" applyBorder="1" applyAlignment="1">
      <alignment horizontal="right" vertical="center" indent="1"/>
    </xf>
    <xf numFmtId="0" fontId="0" fillId="24" borderId="92" xfId="0" applyFill="1" applyBorder="1"/>
    <xf numFmtId="0" fontId="12" fillId="19" borderId="93" xfId="0" applyFont="1" applyFill="1" applyBorder="1"/>
    <xf numFmtId="3" fontId="12" fillId="19" borderId="94" xfId="0" applyNumberFormat="1" applyFont="1" applyFill="1" applyBorder="1" applyAlignment="1">
      <alignment horizontal="right" vertical="center" indent="1"/>
    </xf>
    <xf numFmtId="3" fontId="12" fillId="19" borderId="95" xfId="0" applyNumberFormat="1" applyFont="1" applyFill="1" applyBorder="1" applyAlignment="1">
      <alignment horizontal="right" vertical="center" indent="1"/>
    </xf>
    <xf numFmtId="3" fontId="12" fillId="24" borderId="94" xfId="0" applyNumberFormat="1" applyFont="1" applyFill="1" applyBorder="1" applyAlignment="1">
      <alignment horizontal="right" vertical="center" indent="1"/>
    </xf>
    <xf numFmtId="0" fontId="0" fillId="24" borderId="96" xfId="0" applyFill="1" applyBorder="1"/>
    <xf numFmtId="0" fontId="12" fillId="19" borderId="97" xfId="0" applyFont="1" applyFill="1" applyBorder="1"/>
    <xf numFmtId="0" fontId="0" fillId="24" borderId="98" xfId="0" applyFill="1" applyBorder="1"/>
    <xf numFmtId="0" fontId="12" fillId="19" borderId="99" xfId="0" applyFont="1" applyFill="1" applyBorder="1"/>
    <xf numFmtId="3" fontId="11" fillId="19" borderId="100" xfId="0" applyNumberFormat="1" applyFont="1" applyFill="1" applyBorder="1" applyAlignment="1">
      <alignment horizontal="right" vertical="center" indent="1"/>
    </xf>
    <xf numFmtId="3" fontId="12" fillId="19" borderId="100" xfId="0" applyNumberFormat="1" applyFont="1" applyFill="1" applyBorder="1" applyAlignment="1">
      <alignment horizontal="right" vertical="center" indent="1"/>
    </xf>
    <xf numFmtId="3" fontId="12" fillId="19" borderId="101" xfId="0" applyNumberFormat="1" applyFont="1" applyFill="1" applyBorder="1" applyAlignment="1">
      <alignment horizontal="right" vertical="center" indent="1"/>
    </xf>
    <xf numFmtId="3" fontId="12" fillId="24" borderId="100" xfId="0" applyNumberFormat="1" applyFont="1" applyFill="1" applyBorder="1" applyAlignment="1">
      <alignment horizontal="right" vertical="center" indent="1"/>
    </xf>
    <xf numFmtId="3" fontId="11" fillId="24" borderId="100" xfId="0" applyNumberFormat="1" applyFont="1" applyFill="1" applyBorder="1" applyAlignment="1">
      <alignment horizontal="right" vertical="center" indent="1"/>
    </xf>
    <xf numFmtId="0" fontId="0" fillId="24" borderId="102" xfId="0" applyFill="1" applyBorder="1"/>
    <xf numFmtId="3" fontId="11" fillId="19" borderId="94" xfId="0" applyNumberFormat="1" applyFont="1" applyFill="1" applyBorder="1" applyAlignment="1">
      <alignment horizontal="right" vertical="center" indent="1"/>
    </xf>
    <xf numFmtId="3" fontId="11" fillId="24" borderId="94" xfId="0" applyNumberFormat="1" applyFont="1" applyFill="1" applyBorder="1" applyAlignment="1">
      <alignment horizontal="right" vertical="center" indent="1"/>
    </xf>
    <xf numFmtId="0" fontId="11" fillId="19" borderId="0" xfId="0" applyFont="1" applyFill="1" applyBorder="1" applyAlignment="1">
      <alignment horizontal="center" vertical="center"/>
    </xf>
    <xf numFmtId="0" fontId="0" fillId="24" borderId="0" xfId="0" applyFill="1" applyBorder="1" applyAlignment="1">
      <alignment horizontal="right" vertical="center" indent="1"/>
    </xf>
    <xf numFmtId="3" fontId="11" fillId="24" borderId="0" xfId="0" applyNumberFormat="1" applyFont="1" applyFill="1" applyBorder="1" applyAlignment="1">
      <alignment horizontal="right" vertical="center" indent="1"/>
    </xf>
    <xf numFmtId="0" fontId="13" fillId="17" borderId="0" xfId="0" applyFont="1" applyFill="1" applyAlignment="1">
      <alignment horizontal="left" vertical="center"/>
    </xf>
    <xf numFmtId="0" fontId="12" fillId="0" borderId="0" xfId="0" applyFont="1" applyBorder="1"/>
    <xf numFmtId="3" fontId="76" fillId="19" borderId="0" xfId="0" applyNumberFormat="1" applyFont="1" applyFill="1" applyBorder="1" applyAlignment="1">
      <alignment horizontal="left" vertical="center" indent="1"/>
    </xf>
    <xf numFmtId="0" fontId="80" fillId="0" borderId="0" xfId="0" applyFont="1"/>
    <xf numFmtId="0" fontId="81" fillId="17" borderId="0" xfId="0" applyFont="1" applyFill="1" applyBorder="1"/>
    <xf numFmtId="0" fontId="11" fillId="0" borderId="0" xfId="0" applyFont="1" applyBorder="1" applyAlignment="1">
      <alignment horizontal="center"/>
    </xf>
    <xf numFmtId="0" fontId="12" fillId="0" borderId="0" xfId="0" applyFont="1" applyBorder="1" applyAlignment="1">
      <alignment horizontal="center"/>
    </xf>
    <xf numFmtId="0" fontId="11" fillId="25" borderId="0" xfId="0" applyFont="1" applyFill="1" applyBorder="1" applyAlignment="1">
      <alignment horizontal="left"/>
    </xf>
    <xf numFmtId="0" fontId="12" fillId="25" borderId="0" xfId="0" applyFont="1" applyFill="1"/>
    <xf numFmtId="0" fontId="12" fillId="25" borderId="0" xfId="0" applyFont="1" applyFill="1" applyBorder="1"/>
    <xf numFmtId="0" fontId="12" fillId="25" borderId="0" xfId="0" applyFont="1" applyFill="1" applyAlignment="1">
      <alignment horizontal="center"/>
    </xf>
    <xf numFmtId="0" fontId="12" fillId="25" borderId="0" xfId="0" applyFont="1" applyFill="1" applyBorder="1" applyAlignment="1">
      <alignment horizontal="left"/>
    </xf>
    <xf numFmtId="0" fontId="11" fillId="25" borderId="0" xfId="0" applyFont="1" applyFill="1" applyBorder="1" applyAlignment="1">
      <alignment horizontal="right"/>
    </xf>
    <xf numFmtId="3" fontId="12" fillId="25" borderId="0" xfId="0" applyNumberFormat="1" applyFont="1" applyFill="1" applyBorder="1" applyAlignment="1">
      <alignment vertical="center"/>
    </xf>
    <xf numFmtId="3" fontId="12" fillId="25" borderId="0" xfId="0" applyNumberFormat="1" applyFont="1" applyFill="1" applyBorder="1"/>
    <xf numFmtId="0" fontId="12" fillId="25" borderId="0" xfId="0" applyFont="1" applyFill="1" applyBorder="1" applyAlignment="1">
      <alignment horizontal="center"/>
    </xf>
    <xf numFmtId="0" fontId="12" fillId="25" borderId="0" xfId="0" applyFont="1" applyFill="1" applyBorder="1" applyAlignment="1">
      <alignment horizontal="center" vertical="center"/>
    </xf>
    <xf numFmtId="0" fontId="12" fillId="25" borderId="0" xfId="0" applyFont="1" applyFill="1" applyBorder="1" applyAlignment="1">
      <alignment vertical="center"/>
    </xf>
    <xf numFmtId="0" fontId="7" fillId="25" borderId="0" xfId="0" applyFont="1" applyFill="1" applyBorder="1" applyAlignment="1">
      <alignment horizontal="center"/>
    </xf>
    <xf numFmtId="0" fontId="12" fillId="25" borderId="23" xfId="0" applyFont="1" applyFill="1" applyBorder="1"/>
    <xf numFmtId="0" fontId="12" fillId="25" borderId="15" xfId="0" applyFont="1" applyFill="1" applyBorder="1"/>
    <xf numFmtId="0" fontId="12" fillId="25" borderId="24" xfId="0" applyFont="1" applyFill="1" applyBorder="1"/>
    <xf numFmtId="0" fontId="12" fillId="25" borderId="25" xfId="0" applyFont="1" applyFill="1" applyBorder="1"/>
    <xf numFmtId="0" fontId="12" fillId="25" borderId="25" xfId="0" applyFont="1" applyFill="1" applyBorder="1" applyAlignment="1">
      <alignment horizontal="center"/>
    </xf>
    <xf numFmtId="0" fontId="12" fillId="25" borderId="27" xfId="0" applyFont="1" applyFill="1" applyBorder="1"/>
    <xf numFmtId="0" fontId="33" fillId="20" borderId="16" xfId="0" applyFont="1" applyFill="1" applyBorder="1" applyAlignment="1">
      <alignment horizontal="center"/>
    </xf>
    <xf numFmtId="0" fontId="33" fillId="20" borderId="17" xfId="0" applyFont="1" applyFill="1" applyBorder="1" applyAlignment="1">
      <alignment horizontal="center"/>
    </xf>
    <xf numFmtId="0" fontId="11" fillId="0" borderId="0" xfId="0" applyFont="1" applyFill="1" applyBorder="1" applyAlignment="1">
      <alignment horizontal="center" vertical="center"/>
    </xf>
    <xf numFmtId="0" fontId="12" fillId="25" borderId="0" xfId="0" applyFont="1" applyFill="1" applyBorder="1" applyAlignment="1">
      <alignment wrapText="1"/>
    </xf>
    <xf numFmtId="0" fontId="3" fillId="25" borderId="0" xfId="0" applyFont="1" applyFill="1" applyBorder="1" applyAlignment="1" applyProtection="1">
      <alignment horizontal="center" vertical="center" wrapText="1"/>
    </xf>
    <xf numFmtId="0" fontId="3" fillId="25" borderId="0" xfId="0" quotePrefix="1" applyFont="1" applyFill="1" applyBorder="1" applyAlignment="1" applyProtection="1">
      <alignment horizontal="center" vertical="center" wrapText="1"/>
    </xf>
    <xf numFmtId="0" fontId="64" fillId="25" borderId="0" xfId="0" applyFont="1" applyFill="1" applyBorder="1" applyAlignment="1">
      <alignment horizontal="center" vertical="center"/>
    </xf>
    <xf numFmtId="0" fontId="0" fillId="25" borderId="0" xfId="0" applyFill="1" applyBorder="1" applyAlignment="1">
      <alignment horizontal="center" vertical="center"/>
    </xf>
    <xf numFmtId="3" fontId="0" fillId="25" borderId="0" xfId="0" applyNumberFormat="1" applyFill="1" applyBorder="1" applyAlignment="1">
      <alignment vertical="center"/>
    </xf>
    <xf numFmtId="0" fontId="81" fillId="0" borderId="0" xfId="0" applyFont="1"/>
    <xf numFmtId="3" fontId="49" fillId="19" borderId="0" xfId="0" applyNumberFormat="1" applyFont="1" applyFill="1" applyBorder="1" applyAlignment="1">
      <alignment horizontal="right" vertical="center" indent="1"/>
    </xf>
    <xf numFmtId="0" fontId="75" fillId="25" borderId="0" xfId="0" applyFont="1" applyFill="1" applyBorder="1"/>
    <xf numFmtId="3" fontId="11" fillId="24" borderId="0" xfId="0" applyNumberFormat="1" applyFont="1" applyFill="1" applyBorder="1" applyAlignment="1">
      <alignment horizontal="right" vertical="center" indent="1"/>
    </xf>
    <xf numFmtId="3" fontId="8" fillId="19" borderId="0" xfId="0" applyNumberFormat="1" applyFont="1" applyFill="1" applyBorder="1" applyAlignment="1">
      <alignment horizontal="center" vertical="top" wrapText="1"/>
    </xf>
    <xf numFmtId="3" fontId="6" fillId="19" borderId="0" xfId="0" applyNumberFormat="1" applyFont="1" applyFill="1" applyBorder="1" applyAlignment="1">
      <alignment horizontal="right" vertical="top"/>
    </xf>
    <xf numFmtId="3" fontId="11" fillId="24" borderId="0" xfId="0" applyNumberFormat="1" applyFont="1" applyFill="1" applyBorder="1" applyAlignment="1">
      <alignment horizontal="right" vertical="center" indent="1"/>
    </xf>
    <xf numFmtId="0" fontId="49" fillId="19" borderId="0" xfId="0" applyFont="1" applyFill="1" applyBorder="1"/>
    <xf numFmtId="0" fontId="81" fillId="0" borderId="0" xfId="0" applyFont="1" applyAlignment="1">
      <alignment horizontal="left"/>
    </xf>
    <xf numFmtId="0" fontId="2" fillId="19" borderId="0" xfId="0" applyFont="1" applyFill="1" applyBorder="1"/>
    <xf numFmtId="0" fontId="81" fillId="0" borderId="0" xfId="0" applyFont="1" applyAlignment="1">
      <alignment horizontal="center"/>
    </xf>
    <xf numFmtId="0" fontId="82" fillId="19" borderId="23" xfId="0" applyFont="1" applyFill="1" applyBorder="1"/>
    <xf numFmtId="0" fontId="82" fillId="19" borderId="71" xfId="0" applyFont="1" applyFill="1" applyBorder="1"/>
    <xf numFmtId="0" fontId="82" fillId="17" borderId="72" xfId="0" applyFont="1" applyFill="1" applyBorder="1"/>
    <xf numFmtId="3" fontId="83" fillId="17" borderId="23" xfId="0" applyNumberFormat="1" applyFont="1" applyFill="1" applyBorder="1"/>
    <xf numFmtId="1" fontId="84" fillId="17" borderId="23" xfId="0" applyNumberFormat="1" applyFont="1" applyFill="1" applyBorder="1" applyAlignment="1">
      <alignment horizontal="right"/>
    </xf>
    <xf numFmtId="0" fontId="82" fillId="17" borderId="23" xfId="0" applyFont="1" applyFill="1" applyBorder="1"/>
    <xf numFmtId="0" fontId="82" fillId="17" borderId="24" xfId="0" applyFont="1" applyFill="1" applyBorder="1"/>
    <xf numFmtId="0" fontId="85" fillId="19" borderId="23" xfId="0" applyFont="1" applyFill="1" applyBorder="1"/>
    <xf numFmtId="0" fontId="82" fillId="0" borderId="0" xfId="0" applyFont="1"/>
    <xf numFmtId="3" fontId="81" fillId="23" borderId="62" xfId="0" applyNumberFormat="1" applyFont="1" applyFill="1" applyBorder="1" applyAlignment="1">
      <alignment horizontal="center"/>
    </xf>
    <xf numFmtId="0" fontId="6" fillId="23" borderId="62" xfId="0" applyFont="1" applyFill="1" applyBorder="1"/>
    <xf numFmtId="3" fontId="6" fillId="23" borderId="62" xfId="0" applyNumberFormat="1" applyFont="1" applyFill="1" applyBorder="1"/>
    <xf numFmtId="0" fontId="6" fillId="23" borderId="63" xfId="0" applyFont="1" applyFill="1" applyBorder="1"/>
    <xf numFmtId="0" fontId="81" fillId="23" borderId="3" xfId="0" applyFont="1" applyFill="1" applyBorder="1" applyAlignment="1">
      <alignment horizontal="center"/>
    </xf>
    <xf numFmtId="0" fontId="81" fillId="23" borderId="62" xfId="0" applyFont="1" applyFill="1" applyBorder="1" applyAlignment="1">
      <alignment horizontal="center"/>
    </xf>
    <xf numFmtId="3" fontId="81" fillId="23" borderId="63" xfId="0" applyNumberFormat="1" applyFont="1" applyFill="1" applyBorder="1" applyAlignment="1">
      <alignment horizontal="center"/>
    </xf>
    <xf numFmtId="0" fontId="81" fillId="0" borderId="0" xfId="0" applyFont="1" applyBorder="1"/>
    <xf numFmtId="0" fontId="81" fillId="0" borderId="0" xfId="0" applyFont="1" applyBorder="1" applyAlignment="1">
      <alignment horizontal="center"/>
    </xf>
    <xf numFmtId="0" fontId="81" fillId="0" borderId="0" xfId="0" applyFont="1" applyAlignment="1">
      <alignment horizontal="center" vertical="center"/>
    </xf>
    <xf numFmtId="0" fontId="81" fillId="23" borderId="61" xfId="0" applyFont="1" applyFill="1" applyBorder="1" applyAlignment="1">
      <alignment horizontal="center" vertical="center"/>
    </xf>
    <xf numFmtId="0" fontId="81" fillId="23" borderId="62" xfId="0" applyFont="1" applyFill="1" applyBorder="1" applyAlignment="1">
      <alignment horizontal="center" vertical="center"/>
    </xf>
    <xf numFmtId="3" fontId="81" fillId="23" borderId="62" xfId="0" applyNumberFormat="1" applyFont="1" applyFill="1" applyBorder="1" applyAlignment="1">
      <alignment horizontal="center" vertical="center"/>
    </xf>
    <xf numFmtId="3" fontId="81" fillId="23" borderId="63" xfId="0" applyNumberFormat="1" applyFont="1" applyFill="1" applyBorder="1" applyAlignment="1">
      <alignment horizontal="center" vertical="center"/>
    </xf>
    <xf numFmtId="3" fontId="81" fillId="23" borderId="3" xfId="0" applyNumberFormat="1" applyFont="1" applyFill="1" applyBorder="1" applyAlignment="1">
      <alignment horizontal="center" vertical="center"/>
    </xf>
    <xf numFmtId="0" fontId="85" fillId="25" borderId="0" xfId="0" applyFont="1" applyFill="1" applyBorder="1"/>
    <xf numFmtId="0" fontId="74" fillId="25" borderId="15" xfId="0" applyFont="1" applyFill="1" applyBorder="1" applyAlignment="1">
      <alignment horizontal="center" vertical="top"/>
    </xf>
    <xf numFmtId="0" fontId="12" fillId="25" borderId="0" xfId="0" applyFont="1" applyFill="1" applyBorder="1" applyAlignment="1">
      <alignment horizontal="center" vertical="top"/>
    </xf>
    <xf numFmtId="0" fontId="12" fillId="25" borderId="0" xfId="0" applyFont="1" applyFill="1" applyBorder="1" applyAlignment="1">
      <alignment horizontal="left" vertical="top"/>
    </xf>
    <xf numFmtId="3" fontId="12" fillId="25" borderId="0" xfId="0" applyNumberFormat="1" applyFont="1" applyFill="1" applyBorder="1" applyAlignment="1">
      <alignment vertical="top"/>
    </xf>
    <xf numFmtId="9" fontId="12" fillId="25" borderId="0" xfId="49" applyFont="1" applyFill="1" applyBorder="1" applyAlignment="1">
      <alignment vertical="top"/>
    </xf>
    <xf numFmtId="3" fontId="12" fillId="25" borderId="0" xfId="0" applyNumberFormat="1" applyFont="1" applyFill="1" applyBorder="1" applyAlignment="1">
      <alignment horizontal="right" vertical="top"/>
    </xf>
    <xf numFmtId="9" fontId="12" fillId="25" borderId="0" xfId="49" applyFont="1" applyFill="1" applyBorder="1" applyAlignment="1">
      <alignment horizontal="right" vertical="top"/>
    </xf>
    <xf numFmtId="0" fontId="83" fillId="25" borderId="0" xfId="0" applyFont="1" applyFill="1" applyBorder="1" applyAlignment="1">
      <alignment horizontal="center" vertical="top"/>
    </xf>
    <xf numFmtId="0" fontId="12" fillId="25" borderId="15" xfId="0" applyFont="1" applyFill="1" applyBorder="1" applyAlignment="1">
      <alignment vertical="top"/>
    </xf>
    <xf numFmtId="0" fontId="11" fillId="25" borderId="0" xfId="0" applyFont="1" applyFill="1" applyBorder="1" applyAlignment="1">
      <alignment horizontal="left" vertical="top"/>
    </xf>
    <xf numFmtId="0" fontId="12" fillId="25" borderId="0" xfId="0" applyFont="1" applyFill="1" applyBorder="1" applyAlignment="1">
      <alignment vertical="top"/>
    </xf>
    <xf numFmtId="0" fontId="12" fillId="25" borderId="41" xfId="0" applyFont="1" applyFill="1" applyBorder="1" applyAlignment="1">
      <alignment horizontal="center" vertical="top"/>
    </xf>
    <xf numFmtId="0" fontId="11" fillId="25" borderId="0" xfId="0" applyFont="1" applyFill="1" applyBorder="1" applyAlignment="1">
      <alignment horizontal="center" vertical="top"/>
    </xf>
    <xf numFmtId="0" fontId="6" fillId="25" borderId="0" xfId="0" applyFont="1" applyFill="1" applyBorder="1" applyAlignment="1">
      <alignment horizontal="left" vertical="top"/>
    </xf>
    <xf numFmtId="0" fontId="8" fillId="25" borderId="0" xfId="0" applyFont="1" applyFill="1" applyBorder="1" applyAlignment="1">
      <alignment horizontal="left" vertical="top"/>
    </xf>
    <xf numFmtId="0" fontId="12" fillId="25" borderId="0" xfId="0" applyFont="1" applyFill="1" applyBorder="1" applyAlignment="1">
      <alignment horizontal="right" vertical="top"/>
    </xf>
    <xf numFmtId="0" fontId="83" fillId="25" borderId="0" xfId="0" applyFont="1" applyFill="1" applyBorder="1" applyAlignment="1">
      <alignment horizontal="left" vertical="top"/>
    </xf>
    <xf numFmtId="0" fontId="12" fillId="25" borderId="0" xfId="0" applyFont="1" applyFill="1" applyBorder="1" applyAlignment="1">
      <alignment horizontal="left" vertical="top" wrapText="1"/>
    </xf>
    <xf numFmtId="3" fontId="8" fillId="24" borderId="0" xfId="0" applyNumberFormat="1" applyFont="1" applyFill="1" applyBorder="1" applyAlignment="1">
      <alignment horizontal="center" vertical="center" wrapText="1"/>
    </xf>
    <xf numFmtId="3" fontId="6" fillId="24" borderId="0" xfId="0" applyNumberFormat="1" applyFont="1" applyFill="1" applyBorder="1" applyAlignment="1">
      <alignment horizontal="right" vertical="center" indent="1"/>
    </xf>
    <xf numFmtId="0" fontId="6" fillId="24" borderId="0" xfId="0" applyFont="1" applyFill="1" applyBorder="1"/>
    <xf numFmtId="3" fontId="8" fillId="24" borderId="0" xfId="0" applyNumberFormat="1" applyFont="1" applyFill="1" applyBorder="1" applyAlignment="1">
      <alignment horizontal="center" vertical="center"/>
    </xf>
    <xf numFmtId="3" fontId="8" fillId="24" borderId="0" xfId="0" applyNumberFormat="1" applyFont="1" applyFill="1" applyBorder="1" applyAlignment="1">
      <alignment horizontal="right" vertical="center" indent="1"/>
    </xf>
    <xf numFmtId="3" fontId="6" fillId="24" borderId="19" xfId="0" applyNumberFormat="1" applyFont="1" applyFill="1" applyBorder="1" applyAlignment="1">
      <alignment horizontal="right" vertical="center" indent="1"/>
    </xf>
    <xf numFmtId="0" fontId="6" fillId="24" borderId="64" xfId="0" applyFont="1" applyFill="1" applyBorder="1"/>
    <xf numFmtId="0" fontId="6" fillId="24" borderId="65" xfId="0" applyFont="1" applyFill="1" applyBorder="1"/>
    <xf numFmtId="0" fontId="6" fillId="24" borderId="22" xfId="0" applyFont="1" applyFill="1" applyBorder="1"/>
    <xf numFmtId="0" fontId="6" fillId="24" borderId="66" xfId="0" applyFont="1" applyFill="1" applyBorder="1"/>
    <xf numFmtId="0" fontId="8" fillId="24" borderId="0" xfId="0" applyFont="1" applyFill="1" applyBorder="1" applyAlignment="1">
      <alignment horizontal="right"/>
    </xf>
    <xf numFmtId="0" fontId="6" fillId="24" borderId="19" xfId="0" applyFont="1" applyFill="1" applyBorder="1"/>
    <xf numFmtId="0" fontId="11" fillId="19" borderId="0" xfId="0" applyFont="1" applyFill="1" applyBorder="1" applyAlignment="1">
      <alignment horizontal="right"/>
    </xf>
    <xf numFmtId="3" fontId="0" fillId="24" borderId="0" xfId="0" applyNumberFormat="1" applyFill="1" applyBorder="1"/>
    <xf numFmtId="0" fontId="0" fillId="24" borderId="100" xfId="0" applyFill="1" applyBorder="1"/>
    <xf numFmtId="0" fontId="34" fillId="17" borderId="0" xfId="0" applyFont="1" applyFill="1" applyBorder="1" applyAlignment="1">
      <alignment horizontal="center"/>
    </xf>
    <xf numFmtId="0" fontId="3" fillId="20" borderId="0" xfId="0" applyFont="1" applyFill="1" applyBorder="1" applyAlignment="1" applyProtection="1">
      <alignment horizontal="center" vertical="top" wrapText="1"/>
    </xf>
    <xf numFmtId="0" fontId="76" fillId="19" borderId="0" xfId="0" applyFont="1" applyFill="1" applyBorder="1" applyAlignment="1"/>
    <xf numFmtId="0" fontId="0" fillId="25" borderId="0" xfId="0" applyFill="1" applyBorder="1"/>
    <xf numFmtId="0" fontId="3" fillId="20" borderId="38" xfId="0" applyFont="1" applyFill="1" applyBorder="1" applyAlignment="1">
      <alignment vertical="top" wrapText="1"/>
    </xf>
    <xf numFmtId="0" fontId="12" fillId="25" borderId="26" xfId="0" applyFont="1" applyFill="1" applyBorder="1"/>
    <xf numFmtId="0" fontId="12" fillId="25" borderId="16" xfId="0" applyFont="1" applyFill="1" applyBorder="1"/>
    <xf numFmtId="0" fontId="12" fillId="25" borderId="16" xfId="0" applyFont="1" applyFill="1" applyBorder="1" applyAlignment="1">
      <alignment horizontal="center"/>
    </xf>
    <xf numFmtId="0" fontId="12" fillId="25" borderId="17" xfId="0" applyFont="1" applyFill="1" applyBorder="1"/>
    <xf numFmtId="0" fontId="0" fillId="25" borderId="0" xfId="0" applyFill="1"/>
    <xf numFmtId="3" fontId="6" fillId="24" borderId="0" xfId="0" applyNumberFormat="1" applyFont="1" applyFill="1" applyBorder="1" applyAlignment="1">
      <alignment vertical="center"/>
    </xf>
    <xf numFmtId="3" fontId="81" fillId="24" borderId="0" xfId="0" applyNumberFormat="1" applyFont="1" applyFill="1" applyBorder="1" applyAlignment="1">
      <alignment vertical="center"/>
    </xf>
    <xf numFmtId="3" fontId="6" fillId="24" borderId="19" xfId="0" applyNumberFormat="1" applyFont="1" applyFill="1" applyBorder="1" applyAlignment="1">
      <alignment vertical="center"/>
    </xf>
    <xf numFmtId="0" fontId="85" fillId="0" borderId="0" xfId="0" applyFont="1" applyBorder="1"/>
    <xf numFmtId="0" fontId="7" fillId="20" borderId="16" xfId="46" applyFont="1" applyFill="1" applyBorder="1" applyAlignment="1">
      <alignment horizontal="center"/>
    </xf>
    <xf numFmtId="0" fontId="7" fillId="20" borderId="17" xfId="46" applyFont="1" applyFill="1" applyBorder="1" applyAlignment="1">
      <alignment horizontal="center"/>
    </xf>
    <xf numFmtId="0" fontId="6" fillId="25" borderId="0" xfId="46" applyFont="1" applyFill="1"/>
    <xf numFmtId="0" fontId="7" fillId="25" borderId="0" xfId="46" applyFont="1" applyFill="1" applyBorder="1" applyAlignment="1">
      <alignment horizontal="center"/>
    </xf>
    <xf numFmtId="0" fontId="6" fillId="25" borderId="0" xfId="46" applyFont="1" applyFill="1" applyBorder="1"/>
    <xf numFmtId="0" fontId="6" fillId="25" borderId="23" xfId="46" applyFont="1" applyFill="1" applyBorder="1"/>
    <xf numFmtId="0" fontId="6" fillId="25" borderId="0" xfId="46" applyFont="1" applyFill="1" applyBorder="1" applyAlignment="1">
      <alignment horizontal="center"/>
    </xf>
    <xf numFmtId="0" fontId="6" fillId="25" borderId="15" xfId="46" applyFont="1" applyFill="1" applyBorder="1"/>
    <xf numFmtId="0" fontId="3" fillId="25" borderId="0" xfId="46" applyFont="1" applyFill="1" applyBorder="1" applyAlignment="1" applyProtection="1">
      <alignment horizontal="center" vertical="center" wrapText="1"/>
    </xf>
    <xf numFmtId="0" fontId="3" fillId="25" borderId="0" xfId="46" quotePrefix="1" applyFont="1" applyFill="1" applyBorder="1" applyAlignment="1" applyProtection="1">
      <alignment horizontal="center" vertical="center" wrapText="1"/>
    </xf>
    <xf numFmtId="0" fontId="8" fillId="25" borderId="0" xfId="46" applyFont="1" applyFill="1" applyBorder="1" applyAlignment="1">
      <alignment horizontal="left"/>
    </xf>
    <xf numFmtId="0" fontId="64" fillId="25" borderId="0" xfId="46" applyFont="1" applyFill="1" applyBorder="1" applyAlignment="1">
      <alignment horizontal="center" vertical="center"/>
    </xf>
    <xf numFmtId="0" fontId="2" fillId="25" borderId="0" xfId="46" applyFill="1" applyBorder="1" applyAlignment="1">
      <alignment horizontal="center" vertical="center"/>
    </xf>
    <xf numFmtId="3" fontId="2" fillId="25" borderId="0" xfId="46" applyNumberFormat="1" applyFill="1" applyBorder="1" applyAlignment="1">
      <alignment vertical="center"/>
    </xf>
    <xf numFmtId="0" fontId="6" fillId="25" borderId="0" xfId="46" applyFont="1" applyFill="1" applyBorder="1" applyAlignment="1">
      <alignment horizontal="left"/>
    </xf>
    <xf numFmtId="0" fontId="8" fillId="0" borderId="0" xfId="46" applyFont="1" applyBorder="1" applyAlignment="1">
      <alignment horizontal="center"/>
    </xf>
    <xf numFmtId="0" fontId="8" fillId="25" borderId="0" xfId="46" applyFont="1" applyFill="1" applyBorder="1" applyAlignment="1">
      <alignment horizontal="right"/>
    </xf>
    <xf numFmtId="0" fontId="6" fillId="0" borderId="0" xfId="46" applyFont="1" applyBorder="1" applyAlignment="1">
      <alignment horizontal="center"/>
    </xf>
    <xf numFmtId="0" fontId="6" fillId="25" borderId="0" xfId="46" applyFont="1" applyFill="1" applyBorder="1" applyAlignment="1">
      <alignment horizontal="center" vertical="top"/>
    </xf>
    <xf numFmtId="0" fontId="6" fillId="25" borderId="0" xfId="46" applyFont="1" applyFill="1" applyBorder="1" applyAlignment="1">
      <alignment horizontal="left" vertical="top"/>
    </xf>
    <xf numFmtId="3" fontId="6" fillId="25" borderId="0" xfId="46" applyNumberFormat="1" applyFont="1" applyFill="1" applyBorder="1" applyAlignment="1">
      <alignment vertical="top"/>
    </xf>
    <xf numFmtId="9" fontId="6" fillId="25" borderId="0" xfId="49" applyFont="1" applyFill="1" applyBorder="1" applyAlignment="1">
      <alignment horizontal="right" vertical="top"/>
    </xf>
    <xf numFmtId="9" fontId="6" fillId="25" borderId="0" xfId="49" applyFont="1" applyFill="1" applyBorder="1" applyAlignment="1">
      <alignment vertical="top"/>
    </xf>
    <xf numFmtId="3" fontId="6" fillId="25" borderId="0" xfId="46" applyNumberFormat="1" applyFont="1" applyFill="1" applyBorder="1" applyAlignment="1">
      <alignment horizontal="right" vertical="top"/>
    </xf>
    <xf numFmtId="0" fontId="83" fillId="25" borderId="0" xfId="46" applyFont="1" applyFill="1" applyBorder="1" applyAlignment="1">
      <alignment horizontal="center" vertical="top"/>
    </xf>
    <xf numFmtId="0" fontId="83" fillId="25" borderId="0" xfId="46" applyFont="1" applyFill="1" applyBorder="1" applyAlignment="1">
      <alignment horizontal="left" vertical="top"/>
    </xf>
    <xf numFmtId="0" fontId="8" fillId="25" borderId="0" xfId="46" applyFont="1" applyFill="1" applyBorder="1" applyAlignment="1">
      <alignment horizontal="left" vertical="top"/>
    </xf>
    <xf numFmtId="0" fontId="6" fillId="25" borderId="15" xfId="46" applyFont="1" applyFill="1" applyBorder="1" applyAlignment="1">
      <alignment vertical="top"/>
    </xf>
    <xf numFmtId="0" fontId="75" fillId="25" borderId="0" xfId="46" applyFont="1" applyFill="1" applyBorder="1"/>
    <xf numFmtId="0" fontId="75" fillId="25" borderId="0" xfId="46" applyFont="1" applyFill="1"/>
    <xf numFmtId="0" fontId="6" fillId="25" borderId="0" xfId="46" applyFont="1" applyFill="1" applyBorder="1" applyAlignment="1">
      <alignment vertical="top"/>
    </xf>
    <xf numFmtId="0" fontId="6" fillId="25" borderId="0" xfId="46" applyFont="1" applyFill="1" applyBorder="1" applyAlignment="1">
      <alignment horizontal="right" vertical="top"/>
    </xf>
    <xf numFmtId="3" fontId="6" fillId="25" borderId="0" xfId="46" applyNumberFormat="1" applyFont="1" applyFill="1" applyBorder="1"/>
    <xf numFmtId="0" fontId="6" fillId="25" borderId="25" xfId="46" applyFont="1" applyFill="1" applyBorder="1"/>
    <xf numFmtId="0" fontId="6" fillId="25" borderId="25" xfId="46" applyFont="1" applyFill="1" applyBorder="1" applyAlignment="1">
      <alignment horizontal="center"/>
    </xf>
    <xf numFmtId="0" fontId="6" fillId="25" borderId="24" xfId="46" applyFont="1" applyFill="1" applyBorder="1"/>
    <xf numFmtId="0" fontId="6" fillId="25" borderId="27" xfId="46" applyFont="1" applyFill="1" applyBorder="1"/>
    <xf numFmtId="0" fontId="6" fillId="25" borderId="0" xfId="46" applyFont="1" applyFill="1" applyBorder="1" applyProtection="1">
      <protection locked="0"/>
    </xf>
    <xf numFmtId="0" fontId="6" fillId="0" borderId="0" xfId="46" applyFont="1"/>
    <xf numFmtId="0" fontId="6" fillId="0" borderId="0" xfId="46" applyFont="1" applyBorder="1"/>
    <xf numFmtId="0" fontId="6" fillId="0" borderId="0" xfId="46" applyFont="1" applyAlignment="1">
      <alignment horizontal="center"/>
    </xf>
    <xf numFmtId="0" fontId="6" fillId="25" borderId="0" xfId="46" applyFont="1" applyFill="1" applyAlignment="1">
      <alignment horizontal="center"/>
    </xf>
    <xf numFmtId="0" fontId="8" fillId="17" borderId="0" xfId="0" applyFont="1" applyFill="1" applyBorder="1" applyAlignment="1">
      <alignment vertical="center"/>
    </xf>
    <xf numFmtId="0" fontId="6" fillId="17" borderId="0" xfId="0" applyFont="1" applyFill="1" applyBorder="1" applyAlignment="1">
      <alignment vertical="top"/>
    </xf>
    <xf numFmtId="0" fontId="2" fillId="17" borderId="23" xfId="0" applyFont="1" applyFill="1" applyBorder="1"/>
    <xf numFmtId="0" fontId="55" fillId="17" borderId="0" xfId="0" applyFont="1" applyFill="1" applyBorder="1" applyAlignment="1">
      <alignment horizontal="left" indent="1"/>
    </xf>
    <xf numFmtId="0" fontId="2" fillId="17" borderId="0" xfId="0" applyFont="1" applyFill="1" applyBorder="1" applyAlignment="1">
      <alignment vertical="top"/>
    </xf>
    <xf numFmtId="0" fontId="2" fillId="17" borderId="0" xfId="0" applyFont="1" applyFill="1" applyBorder="1" applyAlignment="1"/>
    <xf numFmtId="3" fontId="2" fillId="17" borderId="0" xfId="0" applyNumberFormat="1" applyFont="1" applyFill="1" applyBorder="1" applyAlignment="1" applyProtection="1">
      <alignment horizontal="right" vertical="center" indent="2"/>
      <protection locked="0"/>
    </xf>
    <xf numFmtId="0" fontId="2" fillId="17" borderId="15" xfId="0" applyFont="1" applyFill="1" applyBorder="1"/>
    <xf numFmtId="0" fontId="13" fillId="17" borderId="38" xfId="0" applyFont="1" applyFill="1" applyBorder="1" applyAlignment="1">
      <alignment horizontal="center" vertical="center" wrapText="1"/>
    </xf>
    <xf numFmtId="0" fontId="13" fillId="17" borderId="38" xfId="0" applyFont="1" applyFill="1" applyBorder="1" applyAlignment="1">
      <alignment horizontal="center" vertical="top" wrapText="1"/>
    </xf>
    <xf numFmtId="0" fontId="0" fillId="29" borderId="0" xfId="0" applyFill="1" applyBorder="1"/>
    <xf numFmtId="0" fontId="6" fillId="25" borderId="0" xfId="46" applyFont="1" applyFill="1" applyBorder="1" applyAlignment="1">
      <alignment vertical="top" wrapText="1"/>
    </xf>
    <xf numFmtId="0" fontId="6" fillId="25" borderId="23" xfId="46" applyFont="1" applyFill="1" applyBorder="1" applyAlignment="1">
      <alignment horizontal="center" vertical="top"/>
    </xf>
    <xf numFmtId="3" fontId="11" fillId="24" borderId="0" xfId="0" applyNumberFormat="1" applyFont="1" applyFill="1" applyBorder="1" applyAlignment="1">
      <alignment horizontal="right" vertical="center" indent="1"/>
    </xf>
    <xf numFmtId="0" fontId="11" fillId="19" borderId="0" xfId="0" applyFont="1" applyFill="1" applyBorder="1" applyAlignment="1">
      <alignment horizontal="left"/>
    </xf>
    <xf numFmtId="0" fontId="11" fillId="19" borderId="0" xfId="0" applyFont="1" applyFill="1" applyBorder="1" applyAlignment="1">
      <alignment horizontal="center"/>
    </xf>
    <xf numFmtId="0" fontId="0" fillId="19" borderId="58" xfId="0" applyFill="1" applyBorder="1"/>
    <xf numFmtId="0" fontId="0" fillId="19" borderId="59" xfId="0" applyFill="1" applyBorder="1"/>
    <xf numFmtId="0" fontId="12" fillId="19" borderId="59" xfId="0" applyFont="1" applyFill="1" applyBorder="1"/>
    <xf numFmtId="3" fontId="12" fillId="19" borderId="59" xfId="0" applyNumberFormat="1" applyFont="1" applyFill="1" applyBorder="1" applyAlignment="1">
      <alignment horizontal="right" vertical="center" indent="1"/>
    </xf>
    <xf numFmtId="3" fontId="12" fillId="24" borderId="59" xfId="0" applyNumberFormat="1" applyFont="1" applyFill="1" applyBorder="1" applyAlignment="1">
      <alignment horizontal="right" vertical="center" indent="1"/>
    </xf>
    <xf numFmtId="0" fontId="0" fillId="24" borderId="59" xfId="0" applyFill="1" applyBorder="1"/>
    <xf numFmtId="0" fontId="0" fillId="19" borderId="60" xfId="0" applyFill="1" applyBorder="1"/>
    <xf numFmtId="3" fontId="13" fillId="17" borderId="0" xfId="33" applyNumberFormat="1" applyFont="1" applyFill="1" applyBorder="1" applyAlignment="1">
      <alignment horizontal="right" vertical="center" wrapText="1"/>
    </xf>
    <xf numFmtId="0" fontId="6" fillId="25" borderId="0" xfId="46" applyFont="1" applyFill="1" applyBorder="1" applyAlignment="1">
      <alignment horizontal="left" vertical="center"/>
    </xf>
    <xf numFmtId="3" fontId="6" fillId="25" borderId="0" xfId="46" applyNumberFormat="1" applyFont="1" applyFill="1" applyBorder="1" applyAlignment="1">
      <alignment vertical="center"/>
    </xf>
    <xf numFmtId="9" fontId="6" fillId="25" borderId="0" xfId="49" applyFont="1" applyFill="1" applyBorder="1" applyAlignment="1">
      <alignment horizontal="right" vertical="center"/>
    </xf>
    <xf numFmtId="9" fontId="6" fillId="25" borderId="0" xfId="49" applyFont="1" applyFill="1" applyBorder="1" applyAlignment="1">
      <alignment vertical="center"/>
    </xf>
    <xf numFmtId="0" fontId="6" fillId="25" borderId="41" xfId="46" applyFont="1" applyFill="1" applyBorder="1" applyAlignment="1">
      <alignment horizontal="center" vertical="center"/>
    </xf>
    <xf numFmtId="0" fontId="12" fillId="25" borderId="23" xfId="0" applyFont="1" applyFill="1" applyBorder="1" applyAlignment="1">
      <alignment vertical="center"/>
    </xf>
    <xf numFmtId="0" fontId="12" fillId="25" borderId="15" xfId="0" applyFont="1" applyFill="1" applyBorder="1" applyAlignment="1">
      <alignment vertical="center"/>
    </xf>
    <xf numFmtId="0" fontId="12" fillId="25" borderId="0" xfId="0" applyFont="1" applyFill="1" applyAlignment="1">
      <alignment vertical="center"/>
    </xf>
    <xf numFmtId="3" fontId="6" fillId="25" borderId="0" xfId="46" applyNumberFormat="1" applyFont="1" applyFill="1" applyBorder="1" applyAlignment="1">
      <alignment horizontal="right" vertical="center"/>
    </xf>
    <xf numFmtId="0" fontId="6" fillId="20" borderId="23" xfId="0" applyFont="1" applyFill="1" applyBorder="1" applyAlignment="1">
      <alignment horizontal="center"/>
    </xf>
    <xf numFmtId="0" fontId="7" fillId="20" borderId="23" xfId="0" applyFont="1" applyFill="1" applyBorder="1" applyAlignment="1">
      <alignment horizontal="center"/>
    </xf>
    <xf numFmtId="3" fontId="12" fillId="24" borderId="0" xfId="0" applyNumberFormat="1" applyFont="1" applyFill="1" applyBorder="1" applyAlignment="1">
      <alignment horizontal="center" vertical="center"/>
    </xf>
    <xf numFmtId="0" fontId="6" fillId="25" borderId="0" xfId="0" applyFont="1" applyFill="1" applyBorder="1" applyAlignment="1">
      <alignment horizontal="right"/>
    </xf>
    <xf numFmtId="0" fontId="8" fillId="25" borderId="0" xfId="0" applyFont="1" applyFill="1" applyBorder="1"/>
    <xf numFmtId="3" fontId="12" fillId="17" borderId="18" xfId="0" applyNumberFormat="1" applyFont="1" applyFill="1" applyBorder="1" applyAlignment="1">
      <alignment horizontal="right" vertical="center" indent="1"/>
    </xf>
    <xf numFmtId="3" fontId="12" fillId="17" borderId="20" xfId="0" applyNumberFormat="1" applyFont="1" applyFill="1" applyBorder="1" applyAlignment="1">
      <alignment horizontal="right" vertical="center" indent="1"/>
    </xf>
    <xf numFmtId="0" fontId="12" fillId="0" borderId="20" xfId="0" applyFont="1" applyBorder="1"/>
    <xf numFmtId="3" fontId="12" fillId="24" borderId="104" xfId="0" applyNumberFormat="1" applyFont="1" applyFill="1" applyBorder="1" applyAlignment="1">
      <alignment horizontal="right" vertical="center" indent="1"/>
    </xf>
    <xf numFmtId="3" fontId="12" fillId="24" borderId="103" xfId="0" applyNumberFormat="1" applyFont="1" applyFill="1" applyBorder="1" applyAlignment="1">
      <alignment horizontal="center" vertical="top"/>
    </xf>
    <xf numFmtId="3" fontId="12" fillId="24" borderId="105" xfId="0" applyNumberFormat="1" applyFont="1" applyFill="1" applyBorder="1" applyAlignment="1">
      <alignment horizontal="right" vertical="center" indent="1"/>
    </xf>
    <xf numFmtId="3" fontId="11" fillId="19" borderId="106" xfId="0" applyNumberFormat="1" applyFont="1" applyFill="1" applyBorder="1" applyAlignment="1">
      <alignment horizontal="right" vertical="center" indent="1"/>
    </xf>
    <xf numFmtId="3" fontId="11" fillId="19" borderId="107" xfId="0" applyNumberFormat="1" applyFont="1" applyFill="1" applyBorder="1" applyAlignment="1">
      <alignment horizontal="right" vertical="center" indent="1"/>
    </xf>
    <xf numFmtId="3" fontId="8" fillId="19" borderId="0" xfId="0" applyNumberFormat="1" applyFont="1" applyFill="1" applyBorder="1" applyAlignment="1">
      <alignment horizontal="center" vertical="center" wrapText="1"/>
    </xf>
    <xf numFmtId="0" fontId="11" fillId="24" borderId="0" xfId="0" applyFont="1" applyFill="1" applyBorder="1" applyAlignment="1">
      <alignment horizontal="center"/>
    </xf>
    <xf numFmtId="0" fontId="3" fillId="19" borderId="0" xfId="0" applyFont="1" applyFill="1" applyBorder="1" applyAlignment="1">
      <alignment horizontal="left"/>
    </xf>
    <xf numFmtId="0" fontId="36" fillId="17" borderId="0" xfId="0" applyFont="1" applyFill="1" applyBorder="1" applyAlignment="1">
      <alignment vertical="top"/>
    </xf>
    <xf numFmtId="0" fontId="8" fillId="19" borderId="0" xfId="0" applyFont="1" applyFill="1" applyBorder="1" applyAlignment="1">
      <alignment wrapText="1"/>
    </xf>
    <xf numFmtId="0" fontId="8" fillId="19" borderId="16" xfId="0" applyFont="1" applyFill="1" applyBorder="1" applyAlignment="1">
      <alignment wrapText="1"/>
    </xf>
    <xf numFmtId="0" fontId="8" fillId="24" borderId="16" xfId="0" applyFont="1" applyFill="1" applyBorder="1" applyAlignment="1">
      <alignment wrapText="1"/>
    </xf>
    <xf numFmtId="0" fontId="8" fillId="24" borderId="0" xfId="0" applyFont="1" applyFill="1" applyBorder="1" applyAlignment="1">
      <alignment wrapText="1"/>
    </xf>
    <xf numFmtId="0" fontId="82" fillId="17" borderId="26" xfId="0" applyFont="1" applyFill="1" applyBorder="1"/>
    <xf numFmtId="0" fontId="6" fillId="19" borderId="16" xfId="0" applyFont="1" applyFill="1" applyBorder="1"/>
    <xf numFmtId="0" fontId="6" fillId="17" borderId="17" xfId="0" applyFont="1" applyFill="1" applyBorder="1"/>
    <xf numFmtId="0" fontId="83" fillId="19" borderId="23" xfId="0" applyFont="1" applyFill="1" applyBorder="1"/>
    <xf numFmtId="0" fontId="76" fillId="19" borderId="15" xfId="0" applyFont="1" applyFill="1" applyBorder="1"/>
    <xf numFmtId="0" fontId="6" fillId="19" borderId="0" xfId="0" applyFont="1" applyFill="1" applyBorder="1" applyAlignment="1">
      <alignment horizontal="right"/>
    </xf>
    <xf numFmtId="3" fontId="6" fillId="17" borderId="38" xfId="0" applyNumberFormat="1" applyFont="1" applyFill="1" applyBorder="1" applyAlignment="1" applyProtection="1">
      <alignment horizontal="right" vertical="center" indent="2"/>
      <protection locked="0"/>
    </xf>
    <xf numFmtId="3" fontId="11" fillId="24" borderId="0" xfId="0" applyNumberFormat="1" applyFont="1" applyFill="1" applyBorder="1" applyAlignment="1">
      <alignment horizontal="right" vertical="center" indent="1"/>
    </xf>
    <xf numFmtId="0" fontId="0" fillId="0" borderId="15" xfId="0" applyBorder="1" applyAlignment="1">
      <alignment wrapText="1"/>
    </xf>
    <xf numFmtId="3" fontId="6" fillId="17" borderId="15" xfId="0" applyNumberFormat="1" applyFont="1" applyFill="1" applyBorder="1" applyAlignment="1">
      <alignment vertical="center"/>
    </xf>
    <xf numFmtId="0" fontId="80" fillId="0" borderId="0" xfId="0" applyFont="1" applyBorder="1"/>
    <xf numFmtId="0" fontId="12" fillId="0" borderId="23" xfId="0" applyFont="1" applyBorder="1"/>
    <xf numFmtId="0" fontId="6" fillId="25" borderId="23" xfId="46" applyFont="1" applyFill="1" applyBorder="1" applyAlignment="1">
      <alignment wrapText="1"/>
    </xf>
    <xf numFmtId="0" fontId="6" fillId="25" borderId="15" xfId="46" applyFont="1" applyFill="1" applyBorder="1" applyAlignment="1">
      <alignment wrapText="1"/>
    </xf>
    <xf numFmtId="0" fontId="81" fillId="23" borderId="3" xfId="0" applyFont="1" applyFill="1" applyBorder="1" applyAlignment="1">
      <alignment horizontal="center" vertical="center" wrapText="1"/>
    </xf>
    <xf numFmtId="0" fontId="45" fillId="23" borderId="63" xfId="0" applyFont="1" applyFill="1" applyBorder="1" applyAlignment="1">
      <alignment horizontal="center"/>
    </xf>
    <xf numFmtId="3" fontId="0" fillId="25" borderId="0" xfId="0" applyNumberFormat="1" applyFill="1" applyBorder="1" applyAlignment="1"/>
    <xf numFmtId="0" fontId="67" fillId="25" borderId="0" xfId="0" applyFont="1" applyFill="1" applyBorder="1"/>
    <xf numFmtId="3" fontId="0" fillId="25" borderId="0" xfId="0" applyNumberFormat="1" applyFill="1" applyBorder="1"/>
    <xf numFmtId="3" fontId="0" fillId="25" borderId="0" xfId="0" applyNumberFormat="1" applyFill="1"/>
    <xf numFmtId="3" fontId="8" fillId="24" borderId="0" xfId="0" applyNumberFormat="1" applyFont="1" applyFill="1" applyBorder="1" applyAlignment="1">
      <alignment vertical="center"/>
    </xf>
    <xf numFmtId="0" fontId="94" fillId="19" borderId="0" xfId="0" applyFont="1" applyFill="1" applyBorder="1"/>
    <xf numFmtId="0" fontId="94" fillId="24" borderId="0" xfId="0" applyFont="1" applyFill="1" applyBorder="1"/>
    <xf numFmtId="3" fontId="93" fillId="24" borderId="0" xfId="0" applyNumberFormat="1" applyFont="1" applyFill="1" applyBorder="1" applyAlignment="1">
      <alignment horizontal="right" vertical="center" indent="1"/>
    </xf>
    <xf numFmtId="0" fontId="0" fillId="32" borderId="0" xfId="0" applyFill="1"/>
    <xf numFmtId="0" fontId="6" fillId="19" borderId="0" xfId="0" applyFont="1" applyFill="1" applyBorder="1" applyAlignment="1"/>
    <xf numFmtId="0" fontId="6" fillId="17" borderId="56" xfId="0" applyFont="1" applyFill="1" applyBorder="1"/>
    <xf numFmtId="3" fontId="94" fillId="24" borderId="0" xfId="0" applyNumberFormat="1" applyFont="1" applyFill="1" applyBorder="1"/>
    <xf numFmtId="0" fontId="6" fillId="20" borderId="23" xfId="0" applyFont="1" applyFill="1" applyBorder="1" applyAlignment="1">
      <alignment horizontal="center"/>
    </xf>
    <xf numFmtId="0" fontId="6" fillId="20" borderId="0" xfId="0" applyFont="1" applyFill="1" applyBorder="1" applyAlignment="1">
      <alignment horizontal="center"/>
    </xf>
    <xf numFmtId="0" fontId="6" fillId="20" borderId="15" xfId="0" applyFont="1" applyFill="1" applyBorder="1" applyAlignment="1">
      <alignment horizontal="center"/>
    </xf>
    <xf numFmtId="0" fontId="6" fillId="19" borderId="0" xfId="0" applyFont="1" applyFill="1" applyBorder="1" applyAlignment="1">
      <alignment wrapText="1"/>
    </xf>
    <xf numFmtId="0" fontId="6" fillId="17" borderId="0" xfId="0" applyFont="1" applyFill="1" applyBorder="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6" fillId="19" borderId="31" xfId="0" applyFont="1" applyFill="1" applyBorder="1"/>
    <xf numFmtId="0" fontId="0" fillId="0" borderId="0" xfId="0" applyProtection="1">
      <protection locked="0"/>
    </xf>
    <xf numFmtId="0" fontId="34" fillId="20" borderId="0" xfId="0" applyFont="1" applyFill="1" applyBorder="1" applyAlignment="1">
      <alignment vertical="top"/>
    </xf>
    <xf numFmtId="0" fontId="6" fillId="25" borderId="0" xfId="0" applyFont="1" applyFill="1" applyBorder="1" applyAlignment="1">
      <alignment horizontal="left"/>
    </xf>
    <xf numFmtId="3" fontId="76" fillId="19" borderId="0" xfId="0" applyNumberFormat="1" applyFont="1" applyFill="1" applyBorder="1" applyAlignment="1">
      <alignment horizontal="right" vertical="center" indent="1"/>
    </xf>
    <xf numFmtId="3" fontId="76" fillId="24" borderId="0" xfId="0" applyNumberFormat="1" applyFont="1" applyFill="1" applyBorder="1" applyAlignment="1">
      <alignment horizontal="right" vertical="center" indent="1"/>
    </xf>
    <xf numFmtId="0" fontId="6" fillId="25" borderId="26" xfId="46" applyFont="1" applyFill="1" applyBorder="1" applyAlignment="1">
      <alignment horizontal="center" vertical="center"/>
    </xf>
    <xf numFmtId="0" fontId="6" fillId="25" borderId="16" xfId="46" applyFont="1" applyFill="1" applyBorder="1" applyAlignment="1">
      <alignment horizontal="left" vertical="center"/>
    </xf>
    <xf numFmtId="3" fontId="14" fillId="17" borderId="16" xfId="33" applyNumberFormat="1" applyFont="1" applyFill="1" applyBorder="1" applyAlignment="1">
      <alignment horizontal="right" vertical="center"/>
    </xf>
    <xf numFmtId="3" fontId="6" fillId="25" borderId="16" xfId="46" applyNumberFormat="1" applyFont="1" applyFill="1" applyBorder="1" applyAlignment="1">
      <alignment vertical="center"/>
    </xf>
    <xf numFmtId="9" fontId="6" fillId="25" borderId="16" xfId="49" applyFont="1" applyFill="1" applyBorder="1" applyAlignment="1">
      <alignment horizontal="right" vertical="center"/>
    </xf>
    <xf numFmtId="9" fontId="6" fillId="25" borderId="16" xfId="49" applyFont="1" applyFill="1" applyBorder="1" applyAlignment="1">
      <alignment vertical="center"/>
    </xf>
    <xf numFmtId="3" fontId="6" fillId="25" borderId="16" xfId="46" applyNumberFormat="1" applyFont="1" applyFill="1" applyBorder="1" applyAlignment="1">
      <alignment horizontal="right" vertical="center"/>
    </xf>
    <xf numFmtId="0" fontId="6" fillId="25" borderId="110" xfId="46" applyFont="1" applyFill="1" applyBorder="1" applyAlignment="1">
      <alignment horizontal="center" vertical="center"/>
    </xf>
    <xf numFmtId="0" fontId="6" fillId="25" borderId="23" xfId="46" applyFont="1" applyFill="1" applyBorder="1" applyAlignment="1">
      <alignment horizontal="center" vertical="center"/>
    </xf>
    <xf numFmtId="0" fontId="6" fillId="25" borderId="24" xfId="46" applyFont="1" applyFill="1" applyBorder="1" applyAlignment="1">
      <alignment horizontal="center" vertical="center"/>
    </xf>
    <xf numFmtId="0" fontId="6" fillId="25" borderId="25" xfId="46" applyFont="1" applyFill="1" applyBorder="1" applyAlignment="1">
      <alignment horizontal="left" vertical="center"/>
    </xf>
    <xf numFmtId="3" fontId="14" fillId="17" borderId="25" xfId="33" applyNumberFormat="1" applyFont="1" applyFill="1" applyBorder="1" applyAlignment="1">
      <alignment horizontal="right" vertical="center"/>
    </xf>
    <xf numFmtId="3" fontId="6" fillId="25" borderId="25" xfId="46" applyNumberFormat="1" applyFont="1" applyFill="1" applyBorder="1" applyAlignment="1">
      <alignment vertical="center"/>
    </xf>
    <xf numFmtId="9" fontId="6" fillId="25" borderId="25" xfId="49" applyFont="1" applyFill="1" applyBorder="1" applyAlignment="1">
      <alignment horizontal="right" vertical="center"/>
    </xf>
    <xf numFmtId="9" fontId="6" fillId="25" borderId="25" xfId="49" applyFont="1" applyFill="1" applyBorder="1" applyAlignment="1">
      <alignment vertical="center"/>
    </xf>
    <xf numFmtId="3" fontId="6" fillId="25" borderId="25" xfId="46" applyNumberFormat="1" applyFont="1" applyFill="1" applyBorder="1" applyAlignment="1">
      <alignment horizontal="right" vertical="center"/>
    </xf>
    <xf numFmtId="0" fontId="6" fillId="25" borderId="113" xfId="46" applyFont="1" applyFill="1" applyBorder="1" applyAlignment="1">
      <alignment horizontal="center" vertical="center"/>
    </xf>
    <xf numFmtId="0" fontId="6" fillId="25" borderId="58" xfId="46" applyFont="1" applyFill="1" applyBorder="1" applyAlignment="1">
      <alignment horizontal="center" vertical="center" wrapText="1"/>
    </xf>
    <xf numFmtId="0" fontId="6" fillId="25" borderId="59" xfId="46" applyFont="1" applyFill="1" applyBorder="1" applyAlignment="1">
      <alignment vertical="center" wrapText="1"/>
    </xf>
    <xf numFmtId="3" fontId="14" fillId="17" borderId="59" xfId="33" applyNumberFormat="1" applyFont="1" applyFill="1" applyBorder="1" applyAlignment="1">
      <alignment horizontal="right" vertical="center" wrapText="1"/>
    </xf>
    <xf numFmtId="3" fontId="6" fillId="25" borderId="59" xfId="46" applyNumberFormat="1" applyFont="1" applyFill="1" applyBorder="1" applyAlignment="1">
      <alignment vertical="center" wrapText="1"/>
    </xf>
    <xf numFmtId="9" fontId="6" fillId="25" borderId="59" xfId="49" applyFont="1" applyFill="1" applyBorder="1" applyAlignment="1">
      <alignment horizontal="right" vertical="center" wrapText="1"/>
    </xf>
    <xf numFmtId="9" fontId="6" fillId="25" borderId="59" xfId="49" applyFont="1" applyFill="1" applyBorder="1" applyAlignment="1">
      <alignment vertical="center" wrapText="1"/>
    </xf>
    <xf numFmtId="3" fontId="6" fillId="25" borderId="59" xfId="46" applyNumberFormat="1" applyFont="1" applyFill="1" applyBorder="1" applyAlignment="1">
      <alignment horizontal="right" vertical="center" wrapText="1"/>
    </xf>
    <xf numFmtId="0" fontId="6" fillId="25" borderId="118" xfId="46" applyFont="1" applyFill="1" applyBorder="1" applyAlignment="1">
      <alignment horizontal="center" vertical="center" wrapText="1"/>
    </xf>
    <xf numFmtId="0" fontId="12" fillId="25" borderId="58" xfId="0" applyFont="1" applyFill="1" applyBorder="1" applyAlignment="1">
      <alignment horizontal="center" vertical="top"/>
    </xf>
    <xf numFmtId="0" fontId="12" fillId="25" borderId="59" xfId="0" applyFont="1" applyFill="1" applyBorder="1" applyAlignment="1">
      <alignment horizontal="left" vertical="top"/>
    </xf>
    <xf numFmtId="3" fontId="12" fillId="25" borderId="59" xfId="0" applyNumberFormat="1" applyFont="1" applyFill="1" applyBorder="1" applyAlignment="1">
      <alignment vertical="top"/>
    </xf>
    <xf numFmtId="9" fontId="12" fillId="25" borderId="59" xfId="49" applyFont="1" applyFill="1" applyBorder="1" applyAlignment="1">
      <alignment horizontal="right" vertical="top"/>
    </xf>
    <xf numFmtId="9" fontId="12" fillId="25" borderId="59" xfId="49" applyFont="1" applyFill="1" applyBorder="1" applyAlignment="1">
      <alignment vertical="top"/>
    </xf>
    <xf numFmtId="3" fontId="12" fillId="25" borderId="59" xfId="0" applyNumberFormat="1" applyFont="1" applyFill="1" applyBorder="1" applyAlignment="1">
      <alignment horizontal="right" vertical="top"/>
    </xf>
    <xf numFmtId="0" fontId="12" fillId="25" borderId="118" xfId="0" applyFont="1" applyFill="1" applyBorder="1" applyAlignment="1">
      <alignment horizontal="center" vertical="top"/>
    </xf>
    <xf numFmtId="0" fontId="12" fillId="25" borderId="26" xfId="0" applyFont="1" applyFill="1" applyBorder="1" applyAlignment="1">
      <alignment horizontal="center" vertical="top"/>
    </xf>
    <xf numFmtId="0" fontId="6" fillId="25" borderId="16" xfId="0" applyFont="1" applyFill="1" applyBorder="1" applyAlignment="1">
      <alignment horizontal="left" vertical="top"/>
    </xf>
    <xf numFmtId="3" fontId="12" fillId="25" borderId="16" xfId="0" applyNumberFormat="1" applyFont="1" applyFill="1" applyBorder="1" applyAlignment="1">
      <alignment vertical="top"/>
    </xf>
    <xf numFmtId="9" fontId="12" fillId="25" borderId="16" xfId="49" applyFont="1" applyFill="1" applyBorder="1" applyAlignment="1">
      <alignment horizontal="right" vertical="top"/>
    </xf>
    <xf numFmtId="9" fontId="12" fillId="25" borderId="16" xfId="49" applyFont="1" applyFill="1" applyBorder="1" applyAlignment="1">
      <alignment vertical="top"/>
    </xf>
    <xf numFmtId="3" fontId="12" fillId="25" borderId="16" xfId="0" applyNumberFormat="1" applyFont="1" applyFill="1" applyBorder="1" applyAlignment="1">
      <alignment horizontal="right" vertical="top"/>
    </xf>
    <xf numFmtId="0" fontId="12" fillId="25" borderId="110" xfId="0" applyFont="1" applyFill="1" applyBorder="1" applyAlignment="1">
      <alignment horizontal="center" vertical="top"/>
    </xf>
    <xf numFmtId="0" fontId="12" fillId="25" borderId="23" xfId="0" applyFont="1" applyFill="1" applyBorder="1" applyAlignment="1">
      <alignment horizontal="center" vertical="top"/>
    </xf>
    <xf numFmtId="0" fontId="12" fillId="25" borderId="24" xfId="0" applyFont="1" applyFill="1" applyBorder="1" applyAlignment="1">
      <alignment horizontal="center" vertical="top"/>
    </xf>
    <xf numFmtId="0" fontId="12" fillId="25" borderId="25" xfId="0" applyFont="1" applyFill="1" applyBorder="1" applyAlignment="1">
      <alignment horizontal="left" vertical="top"/>
    </xf>
    <xf numFmtId="3" fontId="12" fillId="25" borderId="25" xfId="0" applyNumberFormat="1" applyFont="1" applyFill="1" applyBorder="1" applyAlignment="1">
      <alignment vertical="top"/>
    </xf>
    <xf numFmtId="9" fontId="12" fillId="25" borderId="25" xfId="49" applyFont="1" applyFill="1" applyBorder="1" applyAlignment="1">
      <alignment horizontal="right" vertical="top"/>
    </xf>
    <xf numFmtId="9" fontId="12" fillId="25" borderId="25" xfId="49" applyFont="1" applyFill="1" applyBorder="1" applyAlignment="1">
      <alignment vertical="top"/>
    </xf>
    <xf numFmtId="3" fontId="12" fillId="25" borderId="25" xfId="0" applyNumberFormat="1" applyFont="1" applyFill="1" applyBorder="1" applyAlignment="1">
      <alignment horizontal="right" vertical="top"/>
    </xf>
    <xf numFmtId="0" fontId="12" fillId="25" borderId="113" xfId="0" applyFont="1" applyFill="1" applyBorder="1" applyAlignment="1">
      <alignment horizontal="center" vertical="top"/>
    </xf>
    <xf numFmtId="0" fontId="12" fillId="25" borderId="16" xfId="0" applyFont="1" applyFill="1" applyBorder="1" applyAlignment="1">
      <alignment horizontal="left" vertical="top"/>
    </xf>
    <xf numFmtId="0" fontId="6" fillId="25" borderId="25" xfId="0" applyFont="1" applyFill="1" applyBorder="1" applyAlignment="1">
      <alignment horizontal="left" vertical="top"/>
    </xf>
    <xf numFmtId="0" fontId="6" fillId="25" borderId="59" xfId="0" applyFont="1" applyFill="1" applyBorder="1" applyAlignment="1">
      <alignment horizontal="left" vertical="top"/>
    </xf>
    <xf numFmtId="0" fontId="12" fillId="25" borderId="24" xfId="0" applyFont="1" applyFill="1" applyBorder="1" applyAlignment="1">
      <alignment horizontal="center" vertical="center"/>
    </xf>
    <xf numFmtId="0" fontId="6" fillId="25" borderId="25" xfId="0" applyFont="1" applyFill="1" applyBorder="1" applyAlignment="1">
      <alignment horizontal="left" vertical="center"/>
    </xf>
    <xf numFmtId="3" fontId="12" fillId="30" borderId="25" xfId="0" applyNumberFormat="1" applyFont="1" applyFill="1" applyBorder="1" applyAlignment="1">
      <alignment vertical="center"/>
    </xf>
    <xf numFmtId="3" fontId="12" fillId="25" borderId="25" xfId="0" applyNumberFormat="1" applyFont="1" applyFill="1" applyBorder="1" applyAlignment="1">
      <alignment vertical="center"/>
    </xf>
    <xf numFmtId="3" fontId="6" fillId="25" borderId="25" xfId="0" applyNumberFormat="1" applyFont="1" applyFill="1" applyBorder="1" applyAlignment="1">
      <alignment horizontal="right" vertical="center"/>
    </xf>
    <xf numFmtId="0" fontId="12" fillId="25" borderId="25" xfId="0" applyFont="1" applyFill="1" applyBorder="1" applyAlignment="1">
      <alignment vertical="center"/>
    </xf>
    <xf numFmtId="0" fontId="12" fillId="25" borderId="25" xfId="0" applyFont="1" applyFill="1" applyBorder="1" applyAlignment="1">
      <alignment horizontal="center" vertical="center"/>
    </xf>
    <xf numFmtId="0" fontId="12" fillId="25" borderId="113" xfId="0" applyFont="1" applyFill="1" applyBorder="1" applyAlignment="1">
      <alignment horizontal="center" vertical="center"/>
    </xf>
    <xf numFmtId="0" fontId="8" fillId="25" borderId="38" xfId="46" applyFont="1" applyFill="1" applyBorder="1" applyAlignment="1">
      <alignment horizontal="left"/>
    </xf>
    <xf numFmtId="0" fontId="11" fillId="25" borderId="25" xfId="0" applyFont="1" applyFill="1" applyBorder="1" applyAlignment="1">
      <alignment horizontal="center" vertical="top"/>
    </xf>
    <xf numFmtId="0" fontId="11" fillId="25" borderId="16" xfId="0" applyFont="1" applyFill="1" applyBorder="1" applyAlignment="1">
      <alignment horizontal="center" vertical="top"/>
    </xf>
    <xf numFmtId="3" fontId="11" fillId="24" borderId="0" xfId="0" applyNumberFormat="1" applyFont="1" applyFill="1" applyBorder="1" applyAlignment="1">
      <alignment horizontal="right" vertical="center" indent="1"/>
    </xf>
    <xf numFmtId="0" fontId="2" fillId="0" borderId="0" xfId="0" applyFont="1" applyAlignment="1">
      <alignment wrapText="1"/>
    </xf>
    <xf numFmtId="3" fontId="11" fillId="19" borderId="0" xfId="0" applyNumberFormat="1" applyFont="1" applyFill="1" applyBorder="1" applyAlignment="1">
      <alignment vertical="center"/>
    </xf>
    <xf numFmtId="3" fontId="76" fillId="19" borderId="0" xfId="0" applyNumberFormat="1" applyFont="1" applyFill="1" applyBorder="1" applyAlignment="1">
      <alignment vertical="center"/>
    </xf>
    <xf numFmtId="3" fontId="96" fillId="19" borderId="0" xfId="0" applyNumberFormat="1" applyFont="1" applyFill="1" applyBorder="1" applyAlignment="1">
      <alignment horizontal="right" vertical="center" indent="1"/>
    </xf>
    <xf numFmtId="3" fontId="11" fillId="19" borderId="0" xfId="0" applyNumberFormat="1" applyFont="1" applyFill="1" applyBorder="1" applyAlignment="1">
      <alignment wrapText="1"/>
    </xf>
    <xf numFmtId="3" fontId="76" fillId="19" borderId="0" xfId="0" applyNumberFormat="1" applyFont="1" applyFill="1" applyBorder="1" applyAlignment="1">
      <alignment wrapText="1"/>
    </xf>
    <xf numFmtId="0" fontId="81" fillId="17" borderId="0" xfId="0" applyFont="1" applyFill="1"/>
    <xf numFmtId="3" fontId="76" fillId="19" borderId="0" xfId="0" applyNumberFormat="1" applyFont="1" applyFill="1" applyBorder="1" applyAlignment="1">
      <alignment vertical="center" wrapText="1"/>
    </xf>
    <xf numFmtId="3" fontId="81" fillId="23" borderId="61" xfId="0" applyNumberFormat="1" applyFont="1" applyFill="1" applyBorder="1" applyAlignment="1">
      <alignment horizontal="center"/>
    </xf>
    <xf numFmtId="3" fontId="92" fillId="0" borderId="0" xfId="0" applyNumberFormat="1" applyFont="1"/>
    <xf numFmtId="0" fontId="92" fillId="0" borderId="0" xfId="0" applyFont="1"/>
    <xf numFmtId="0" fontId="6" fillId="25" borderId="0" xfId="0" applyFont="1" applyFill="1" applyAlignment="1">
      <alignment horizontal="center"/>
    </xf>
    <xf numFmtId="0" fontId="76" fillId="25" borderId="0" xfId="0" applyFont="1" applyFill="1" applyBorder="1"/>
    <xf numFmtId="0" fontId="6" fillId="25" borderId="0" xfId="0" applyFont="1" applyFill="1"/>
    <xf numFmtId="0" fontId="6" fillId="25" borderId="0" xfId="0" applyFont="1" applyFill="1" applyBorder="1"/>
    <xf numFmtId="1" fontId="45" fillId="23" borderId="61" xfId="0" applyNumberFormat="1" applyFont="1" applyFill="1" applyBorder="1" applyAlignment="1">
      <alignment horizontal="center"/>
    </xf>
    <xf numFmtId="0" fontId="85" fillId="0" borderId="0" xfId="0" applyFont="1"/>
    <xf numFmtId="0" fontId="34" fillId="17" borderId="0" xfId="0" applyFont="1" applyFill="1" applyBorder="1" applyAlignment="1">
      <alignment horizontal="left" vertical="top" wrapText="1"/>
    </xf>
    <xf numFmtId="0" fontId="34" fillId="20" borderId="23" xfId="0" applyFont="1" applyFill="1" applyBorder="1" applyAlignment="1">
      <alignment horizontal="center"/>
    </xf>
    <xf numFmtId="0" fontId="34" fillId="20" borderId="0" xfId="0" applyFont="1" applyFill="1" applyBorder="1" applyAlignment="1">
      <alignment horizontal="center"/>
    </xf>
    <xf numFmtId="0" fontId="34" fillId="20" borderId="15" xfId="0" applyFont="1" applyFill="1" applyBorder="1" applyAlignment="1">
      <alignment horizontal="center"/>
    </xf>
    <xf numFmtId="0" fontId="36" fillId="17" borderId="0" xfId="0" applyFont="1" applyFill="1" applyBorder="1" applyAlignment="1">
      <alignment horizontal="left" vertical="top" wrapText="1"/>
    </xf>
    <xf numFmtId="0" fontId="36" fillId="17" borderId="0" xfId="0" applyFont="1" applyFill="1" applyBorder="1" applyAlignment="1">
      <alignment horizontal="left" wrapText="1"/>
    </xf>
    <xf numFmtId="0" fontId="6" fillId="20" borderId="0" xfId="0" applyFont="1" applyFill="1" applyBorder="1" applyAlignment="1">
      <alignment horizontal="center"/>
    </xf>
    <xf numFmtId="0" fontId="6" fillId="20" borderId="15" xfId="0" applyFont="1" applyFill="1" applyBorder="1" applyAlignment="1">
      <alignment horizontal="center"/>
    </xf>
    <xf numFmtId="0" fontId="7" fillId="20" borderId="23" xfId="0" applyFont="1" applyFill="1" applyBorder="1" applyAlignment="1">
      <alignment horizontal="center"/>
    </xf>
    <xf numFmtId="0" fontId="7" fillId="20" borderId="0" xfId="0" applyFont="1" applyFill="1" applyBorder="1" applyAlignment="1">
      <alignment horizontal="center"/>
    </xf>
    <xf numFmtId="0" fontId="7" fillId="20" borderId="15" xfId="0" applyFont="1" applyFill="1" applyBorder="1" applyAlignment="1">
      <alignment horizontal="center"/>
    </xf>
    <xf numFmtId="0" fontId="92" fillId="0" borderId="0" xfId="0" applyFont="1" applyAlignment="1">
      <alignment wrapText="1"/>
    </xf>
    <xf numFmtId="0" fontId="6" fillId="0" borderId="0" xfId="0" applyFont="1" applyAlignment="1"/>
    <xf numFmtId="0" fontId="36" fillId="0" borderId="27" xfId="0" applyFont="1" applyBorder="1" applyAlignment="1"/>
    <xf numFmtId="0" fontId="36" fillId="0" borderId="25" xfId="0" applyFont="1" applyBorder="1" applyAlignment="1"/>
    <xf numFmtId="0" fontId="36" fillId="0" borderId="24" xfId="0" applyFont="1" applyBorder="1" applyAlignment="1"/>
    <xf numFmtId="0" fontId="36" fillId="0" borderId="15" xfId="0" applyFont="1" applyBorder="1" applyAlignment="1"/>
    <xf numFmtId="0" fontId="36" fillId="0" borderId="0" xfId="0" applyFont="1" applyBorder="1" applyAlignment="1"/>
    <xf numFmtId="0" fontId="36" fillId="0" borderId="23" xfId="0" applyFont="1" applyBorder="1" applyAlignment="1"/>
    <xf numFmtId="0" fontId="36" fillId="0" borderId="0" xfId="0" applyFont="1" applyBorder="1" applyAlignment="1">
      <alignment vertical="top" wrapText="1"/>
    </xf>
    <xf numFmtId="0" fontId="36" fillId="0" borderId="0" xfId="0" applyFont="1" applyAlignment="1">
      <alignment vertical="top"/>
    </xf>
    <xf numFmtId="0" fontId="36" fillId="0" borderId="15" xfId="0" applyFont="1" applyBorder="1" applyAlignment="1">
      <alignment vertical="top"/>
    </xf>
    <xf numFmtId="0" fontId="36" fillId="0" borderId="23" xfId="0" applyFont="1" applyBorder="1" applyAlignment="1">
      <alignment vertical="top"/>
    </xf>
    <xf numFmtId="0" fontId="36" fillId="17" borderId="0" xfId="0" applyFont="1" applyFill="1" applyBorder="1" applyAlignment="1">
      <alignment wrapText="1"/>
    </xf>
    <xf numFmtId="0" fontId="36" fillId="17" borderId="0" xfId="0" applyFont="1" applyFill="1" applyBorder="1" applyAlignment="1">
      <alignment horizontal="left"/>
    </xf>
    <xf numFmtId="0" fontId="2" fillId="25" borderId="0" xfId="0" applyFont="1" applyFill="1" applyAlignment="1">
      <alignment horizontal="left" vertical="top" wrapText="1" indent="1"/>
    </xf>
    <xf numFmtId="0" fontId="2" fillId="0" borderId="0" xfId="0" applyFont="1" applyAlignment="1">
      <alignment horizontal="left" wrapText="1" indent="2"/>
    </xf>
    <xf numFmtId="0" fontId="0" fillId="20" borderId="15" xfId="0" applyFill="1" applyBorder="1" applyAlignment="1">
      <alignment horizontal="center"/>
    </xf>
    <xf numFmtId="0" fontId="0" fillId="20" borderId="0" xfId="0" applyFill="1" applyBorder="1" applyAlignment="1">
      <alignment horizontal="center"/>
    </xf>
    <xf numFmtId="0" fontId="0" fillId="20" borderId="23" xfId="0" applyFill="1" applyBorder="1" applyAlignment="1">
      <alignment horizontal="center"/>
    </xf>
    <xf numFmtId="0" fontId="8" fillId="20" borderId="15" xfId="0" applyFont="1" applyFill="1" applyBorder="1" applyAlignment="1">
      <alignment horizontal="center"/>
    </xf>
    <xf numFmtId="0" fontId="8" fillId="20" borderId="23" xfId="0" applyFont="1" applyFill="1" applyBorder="1" applyAlignment="1">
      <alignment horizontal="center"/>
    </xf>
    <xf numFmtId="0" fontId="8" fillId="20" borderId="0" xfId="0" applyFont="1" applyFill="1" applyBorder="1" applyAlignment="1">
      <alignment horizontal="center"/>
    </xf>
    <xf numFmtId="0" fontId="8" fillId="20" borderId="15" xfId="0" applyFont="1" applyFill="1" applyBorder="1" applyAlignment="1">
      <alignment horizontal="center" vertical="top"/>
    </xf>
    <xf numFmtId="0" fontId="8" fillId="20" borderId="23" xfId="0" applyFont="1" applyFill="1" applyBorder="1" applyAlignment="1">
      <alignment horizontal="center" vertical="top"/>
    </xf>
    <xf numFmtId="0" fontId="35" fillId="20" borderId="15" xfId="0" applyFont="1" applyFill="1" applyBorder="1" applyAlignment="1">
      <alignment horizontal="center" shrinkToFit="1"/>
    </xf>
    <xf numFmtId="0" fontId="35" fillId="20" borderId="0" xfId="0" applyFont="1" applyFill="1" applyBorder="1" applyAlignment="1">
      <alignment horizontal="center" shrinkToFit="1"/>
    </xf>
    <xf numFmtId="0" fontId="35" fillId="20" borderId="23" xfId="0" applyFont="1" applyFill="1" applyBorder="1" applyAlignment="1">
      <alignment horizontal="center" shrinkToFit="1"/>
    </xf>
    <xf numFmtId="0" fontId="67" fillId="20" borderId="49" xfId="0" applyFont="1" applyFill="1" applyBorder="1" applyAlignment="1">
      <alignment horizontal="center"/>
    </xf>
    <xf numFmtId="3" fontId="65" fillId="21" borderId="38" xfId="0" applyNumberFormat="1" applyFont="1" applyFill="1" applyBorder="1" applyAlignment="1">
      <alignment horizontal="right"/>
    </xf>
    <xf numFmtId="1" fontId="2" fillId="20" borderId="26" xfId="0" applyNumberFormat="1" applyFont="1" applyFill="1" applyBorder="1" applyAlignment="1"/>
    <xf numFmtId="0" fontId="2" fillId="20" borderId="16" xfId="0" applyFont="1" applyFill="1" applyBorder="1" applyAlignment="1"/>
    <xf numFmtId="1" fontId="65" fillId="21" borderId="58" xfId="0" applyNumberFormat="1" applyFont="1" applyFill="1" applyBorder="1" applyAlignment="1">
      <alignment horizontal="center"/>
    </xf>
    <xf numFmtId="0" fontId="65" fillId="21" borderId="38" xfId="0" applyFont="1" applyFill="1" applyBorder="1"/>
    <xf numFmtId="0" fontId="65" fillId="21" borderId="38" xfId="0" applyFont="1" applyFill="1" applyBorder="1" applyAlignment="1">
      <alignment horizontal="center"/>
    </xf>
    <xf numFmtId="0" fontId="0" fillId="0" borderId="0" xfId="0" applyNumberFormat="1"/>
    <xf numFmtId="3" fontId="2" fillId="17" borderId="0" xfId="0" applyNumberFormat="1" applyFont="1" applyFill="1" applyBorder="1" applyAlignment="1">
      <alignment horizontal="right"/>
    </xf>
    <xf numFmtId="1" fontId="2" fillId="0" borderId="0" xfId="0" applyNumberFormat="1" applyFont="1" applyFill="1" applyBorder="1"/>
    <xf numFmtId="0" fontId="104" fillId="0" borderId="0" xfId="0" applyNumberFormat="1" applyFont="1" applyAlignment="1">
      <alignment horizontal="left" vertical="center" indent="1"/>
    </xf>
    <xf numFmtId="49" fontId="2" fillId="0" borderId="0" xfId="0" applyNumberFormat="1" applyFont="1"/>
    <xf numFmtId="0" fontId="2" fillId="0" borderId="0" xfId="0" applyNumberFormat="1" applyFont="1"/>
    <xf numFmtId="0" fontId="7" fillId="20" borderId="23" xfId="0" applyFont="1" applyFill="1" applyBorder="1" applyAlignment="1">
      <alignment horizontal="center"/>
    </xf>
    <xf numFmtId="3" fontId="47" fillId="22" borderId="0" xfId="0" applyNumberFormat="1" applyFont="1" applyFill="1" applyBorder="1" applyAlignment="1">
      <alignment horizontal="left"/>
    </xf>
    <xf numFmtId="0" fontId="12" fillId="19" borderId="0" xfId="0" applyFont="1" applyFill="1" applyBorder="1" applyAlignment="1">
      <alignment wrapText="1"/>
    </xf>
    <xf numFmtId="0" fontId="6" fillId="20" borderId="23" xfId="0" applyFont="1" applyFill="1" applyBorder="1" applyAlignment="1">
      <alignment horizontal="center"/>
    </xf>
    <xf numFmtId="0" fontId="6" fillId="20" borderId="0" xfId="0" applyFont="1" applyFill="1" applyBorder="1" applyAlignment="1">
      <alignment horizontal="center"/>
    </xf>
    <xf numFmtId="0" fontId="6" fillId="20" borderId="15" xfId="0" applyFont="1" applyFill="1" applyBorder="1" applyAlignment="1">
      <alignment horizontal="center"/>
    </xf>
    <xf numFmtId="0" fontId="8" fillId="19" borderId="0" xfId="0" applyFont="1" applyFill="1" applyBorder="1" applyAlignment="1">
      <alignment horizontal="left"/>
    </xf>
    <xf numFmtId="0" fontId="6" fillId="19" borderId="0" xfId="0" applyFont="1" applyFill="1" applyBorder="1" applyAlignment="1">
      <alignment wrapText="1"/>
    </xf>
    <xf numFmtId="0" fontId="6" fillId="20" borderId="16" xfId="0" applyFont="1" applyFill="1" applyBorder="1" applyAlignment="1">
      <alignment horizontal="center"/>
    </xf>
    <xf numFmtId="0" fontId="6" fillId="20" borderId="25" xfId="0" applyFont="1" applyFill="1" applyBorder="1" applyAlignment="1">
      <alignment horizontal="center"/>
    </xf>
    <xf numFmtId="3" fontId="58" fillId="22" borderId="0" xfId="0" applyNumberFormat="1" applyFont="1" applyFill="1" applyBorder="1" applyAlignment="1">
      <alignment horizontal="left"/>
    </xf>
    <xf numFmtId="0" fontId="11" fillId="19" borderId="0" xfId="0" applyFont="1" applyFill="1" applyBorder="1" applyAlignment="1">
      <alignment horizontal="left"/>
    </xf>
    <xf numFmtId="0" fontId="12" fillId="19" borderId="0" xfId="0" applyFont="1" applyFill="1" applyBorder="1" applyAlignment="1">
      <alignment horizontal="center"/>
    </xf>
    <xf numFmtId="0" fontId="76" fillId="19" borderId="0" xfId="0" applyFont="1" applyFill="1" applyBorder="1" applyAlignment="1">
      <alignment horizontal="left" vertical="center" wrapText="1"/>
    </xf>
    <xf numFmtId="0" fontId="82" fillId="25" borderId="58" xfId="0" applyFont="1" applyFill="1" applyBorder="1" applyAlignment="1">
      <alignment horizontal="center"/>
    </xf>
    <xf numFmtId="0" fontId="82" fillId="25" borderId="59" xfId="0" applyFont="1" applyFill="1" applyBorder="1" applyAlignment="1">
      <alignment horizontal="center"/>
    </xf>
    <xf numFmtId="0" fontId="82" fillId="25" borderId="60" xfId="0" applyFont="1" applyFill="1" applyBorder="1" applyAlignment="1">
      <alignment horizontal="center"/>
    </xf>
    <xf numFmtId="0" fontId="47" fillId="19" borderId="0" xfId="0" applyFont="1" applyFill="1" applyBorder="1" applyAlignment="1">
      <alignment horizontal="center"/>
    </xf>
    <xf numFmtId="3" fontId="11" fillId="24" borderId="0" xfId="0" applyNumberFormat="1" applyFont="1" applyFill="1" applyBorder="1" applyAlignment="1">
      <alignment horizontal="right" vertical="center" indent="1"/>
    </xf>
    <xf numFmtId="0" fontId="11" fillId="19" borderId="0" xfId="0" applyFont="1" applyFill="1" applyBorder="1" applyAlignment="1">
      <alignment horizontal="center" wrapText="1"/>
    </xf>
    <xf numFmtId="3" fontId="11" fillId="17" borderId="0" xfId="0" applyNumberFormat="1" applyFont="1" applyFill="1" applyBorder="1" applyAlignment="1">
      <alignment horizontal="center" vertical="center"/>
    </xf>
    <xf numFmtId="3" fontId="11" fillId="19" borderId="0" xfId="0" applyNumberFormat="1" applyFont="1" applyFill="1" applyBorder="1" applyAlignment="1">
      <alignment horizontal="center" wrapText="1"/>
    </xf>
    <xf numFmtId="0" fontId="11" fillId="19" borderId="0" xfId="0" applyFont="1" applyFill="1" applyBorder="1" applyAlignment="1">
      <alignment horizontal="center"/>
    </xf>
    <xf numFmtId="0" fontId="47" fillId="19" borderId="0" xfId="0" applyFont="1" applyFill="1" applyBorder="1" applyAlignment="1">
      <alignment horizontal="center" wrapText="1"/>
    </xf>
    <xf numFmtId="3" fontId="2" fillId="25" borderId="47" xfId="0" applyNumberFormat="1" applyFont="1" applyFill="1" applyBorder="1"/>
    <xf numFmtId="3" fontId="2" fillId="25" borderId="48" xfId="0" applyNumberFormat="1" applyFont="1" applyFill="1" applyBorder="1"/>
    <xf numFmtId="3" fontId="2" fillId="25" borderId="49" xfId="0" applyNumberFormat="1" applyFont="1" applyFill="1" applyBorder="1"/>
    <xf numFmtId="0" fontId="11" fillId="25" borderId="59" xfId="0" applyFont="1" applyFill="1" applyBorder="1" applyAlignment="1">
      <alignment horizontal="center" vertical="top"/>
    </xf>
    <xf numFmtId="0" fontId="8" fillId="25" borderId="38" xfId="0" applyFont="1" applyFill="1" applyBorder="1" applyAlignment="1">
      <alignment horizontal="center"/>
    </xf>
    <xf numFmtId="0" fontId="8" fillId="37" borderId="75" xfId="0" applyFont="1" applyFill="1" applyBorder="1" applyAlignment="1">
      <alignment horizontal="center"/>
    </xf>
    <xf numFmtId="0" fontId="81" fillId="25" borderId="0" xfId="0" applyFont="1" applyFill="1" applyBorder="1"/>
    <xf numFmtId="0" fontId="11" fillId="19" borderId="16" xfId="0" applyFont="1" applyFill="1" applyBorder="1"/>
    <xf numFmtId="0" fontId="12" fillId="19" borderId="16" xfId="0" applyFont="1" applyFill="1" applyBorder="1"/>
    <xf numFmtId="0" fontId="12" fillId="19" borderId="17" xfId="0" applyFont="1" applyFill="1" applyBorder="1"/>
    <xf numFmtId="0" fontId="58" fillId="22" borderId="36" xfId="0" applyFont="1" applyFill="1" applyBorder="1" applyAlignment="1">
      <alignment horizontal="left"/>
    </xf>
    <xf numFmtId="0" fontId="58" fillId="22" borderId="0" xfId="0" applyFont="1" applyFill="1" applyBorder="1" applyAlignment="1">
      <alignment horizontal="left"/>
    </xf>
    <xf numFmtId="0" fontId="47" fillId="22" borderId="44" xfId="0" applyFont="1" applyFill="1" applyBorder="1" applyAlignment="1">
      <alignment horizontal="left"/>
    </xf>
    <xf numFmtId="0" fontId="47" fillId="22" borderId="36" xfId="0" applyFont="1" applyFill="1" applyBorder="1" applyAlignment="1">
      <alignment horizontal="left"/>
    </xf>
    <xf numFmtId="0" fontId="47" fillId="22" borderId="43" xfId="0" applyFont="1" applyFill="1" applyBorder="1" applyAlignment="1">
      <alignment horizontal="left"/>
    </xf>
    <xf numFmtId="0" fontId="47" fillId="22" borderId="0" xfId="0" applyFont="1" applyFill="1" applyBorder="1" applyAlignment="1">
      <alignment horizontal="left"/>
    </xf>
    <xf numFmtId="0" fontId="51" fillId="22" borderId="34" xfId="0" applyFont="1" applyFill="1" applyBorder="1" applyAlignment="1">
      <alignment horizontal="left"/>
    </xf>
    <xf numFmtId="0" fontId="57" fillId="22" borderId="44" xfId="0" applyFont="1" applyFill="1" applyBorder="1" applyAlignment="1">
      <alignment horizontal="left"/>
    </xf>
    <xf numFmtId="0" fontId="57" fillId="22" borderId="36" xfId="0" applyFont="1" applyFill="1" applyBorder="1" applyAlignment="1">
      <alignment horizontal="left"/>
    </xf>
    <xf numFmtId="0" fontId="57" fillId="22" borderId="43" xfId="0" applyFont="1" applyFill="1" applyBorder="1" applyAlignment="1">
      <alignment horizontal="left"/>
    </xf>
    <xf numFmtId="0" fontId="57" fillId="22" borderId="0" xfId="0" applyFont="1" applyFill="1" applyBorder="1" applyAlignment="1">
      <alignment horizontal="left"/>
    </xf>
    <xf numFmtId="0" fontId="57" fillId="22" borderId="34" xfId="0" applyFont="1" applyFill="1" applyBorder="1" applyAlignment="1">
      <alignment horizontal="left"/>
    </xf>
    <xf numFmtId="0" fontId="6" fillId="20" borderId="16" xfId="0" applyFont="1" applyFill="1" applyBorder="1" applyProtection="1">
      <protection locked="0"/>
    </xf>
    <xf numFmtId="0" fontId="11" fillId="25" borderId="0" xfId="0" applyFont="1" applyFill="1" applyBorder="1" applyAlignment="1">
      <alignment horizontal="center" vertical="center"/>
    </xf>
    <xf numFmtId="0" fontId="12" fillId="25" borderId="60" xfId="0" applyFont="1" applyFill="1" applyBorder="1" applyAlignment="1">
      <alignment horizontal="center" vertical="top"/>
    </xf>
    <xf numFmtId="4" fontId="67" fillId="26" borderId="48" xfId="0" applyNumberFormat="1" applyFont="1" applyFill="1" applyBorder="1"/>
    <xf numFmtId="0" fontId="3" fillId="38" borderId="47" xfId="0" applyFont="1" applyFill="1" applyBorder="1" applyAlignment="1">
      <alignment horizontal="center" vertical="top" wrapText="1"/>
    </xf>
    <xf numFmtId="0" fontId="0" fillId="29" borderId="48" xfId="0" applyFill="1" applyBorder="1" applyAlignment="1">
      <alignment vertical="top" wrapText="1"/>
    </xf>
    <xf numFmtId="1" fontId="2" fillId="29" borderId="48" xfId="0" applyNumberFormat="1" applyFont="1" applyFill="1" applyBorder="1" applyAlignment="1">
      <alignment horizontal="center"/>
    </xf>
    <xf numFmtId="0" fontId="3" fillId="29" borderId="48" xfId="0" applyFont="1" applyFill="1" applyBorder="1" applyAlignment="1">
      <alignment vertical="top" wrapText="1"/>
    </xf>
    <xf numFmtId="0" fontId="0" fillId="29" borderId="48" xfId="0" applyFill="1" applyBorder="1"/>
    <xf numFmtId="3" fontId="0" fillId="26" borderId="48" xfId="0" applyNumberFormat="1" applyFill="1" applyBorder="1"/>
    <xf numFmtId="3" fontId="0" fillId="29" borderId="48" xfId="0" applyNumberFormat="1" applyFill="1" applyBorder="1"/>
    <xf numFmtId="3" fontId="65" fillId="29" borderId="48" xfId="0" applyNumberFormat="1" applyFont="1" applyFill="1" applyBorder="1" applyAlignment="1">
      <alignment horizontal="right"/>
    </xf>
    <xf numFmtId="0" fontId="78" fillId="26" borderId="16" xfId="45" applyFont="1" applyFill="1" applyBorder="1" applyAlignment="1">
      <alignment vertical="top"/>
    </xf>
    <xf numFmtId="0" fontId="78" fillId="26" borderId="0" xfId="45" applyFont="1" applyFill="1" applyBorder="1" applyAlignment="1">
      <alignment vertical="top"/>
    </xf>
    <xf numFmtId="0" fontId="21" fillId="6" borderId="0" xfId="36" applyBorder="1" applyAlignment="1">
      <alignment vertical="top" wrapText="1"/>
    </xf>
    <xf numFmtId="0" fontId="3" fillId="17" borderId="23" xfId="0" applyFont="1" applyFill="1" applyBorder="1" applyAlignment="1">
      <alignment vertical="top" wrapText="1"/>
    </xf>
    <xf numFmtId="0" fontId="3" fillId="17" borderId="0" xfId="0" applyFont="1" applyFill="1" applyBorder="1" applyAlignment="1">
      <alignment vertical="top" wrapText="1"/>
    </xf>
    <xf numFmtId="0" fontId="3" fillId="25" borderId="0" xfId="0" applyFont="1" applyFill="1" applyBorder="1" applyAlignment="1">
      <alignment vertical="top" wrapText="1"/>
    </xf>
    <xf numFmtId="3" fontId="21" fillId="6" borderId="0" xfId="36" applyNumberFormat="1" applyBorder="1" applyAlignment="1">
      <alignment vertical="top" wrapText="1"/>
    </xf>
    <xf numFmtId="0" fontId="88" fillId="6" borderId="0" xfId="36" applyFont="1" applyBorder="1" applyAlignment="1">
      <alignment vertical="top" wrapText="1"/>
    </xf>
    <xf numFmtId="0" fontId="107" fillId="26" borderId="0" xfId="45" applyFont="1" applyFill="1" applyBorder="1" applyAlignment="1">
      <alignment vertical="top"/>
    </xf>
    <xf numFmtId="0" fontId="77" fillId="26" borderId="0" xfId="0" applyFont="1" applyFill="1" applyBorder="1" applyAlignment="1">
      <alignment vertical="top"/>
    </xf>
    <xf numFmtId="0" fontId="0" fillId="26" borderId="0" xfId="0" applyFont="1" applyFill="1" applyBorder="1" applyAlignment="1">
      <alignment vertical="top" wrapText="1"/>
    </xf>
    <xf numFmtId="0" fontId="0" fillId="26" borderId="0" xfId="0" applyFont="1" applyFill="1" applyBorder="1" applyAlignment="1">
      <alignment vertical="top"/>
    </xf>
    <xf numFmtId="3" fontId="89" fillId="6" borderId="0" xfId="36" applyNumberFormat="1" applyFont="1" applyBorder="1" applyAlignment="1">
      <alignment vertical="top" wrapText="1"/>
    </xf>
    <xf numFmtId="0" fontId="0" fillId="26" borderId="0" xfId="45" applyFont="1" applyFill="1" applyBorder="1" applyAlignment="1">
      <alignment vertical="top"/>
    </xf>
    <xf numFmtId="0" fontId="0" fillId="42" borderId="0" xfId="0" applyFont="1" applyFill="1" applyBorder="1" applyAlignment="1">
      <alignment vertical="top" wrapText="1"/>
    </xf>
    <xf numFmtId="0" fontId="0" fillId="0" borderId="0" xfId="0" applyAlignment="1">
      <alignment vertical="top"/>
    </xf>
    <xf numFmtId="0" fontId="0" fillId="26" borderId="0" xfId="0" applyFill="1" applyAlignment="1">
      <alignment vertical="top"/>
    </xf>
    <xf numFmtId="0" fontId="106" fillId="6" borderId="0" xfId="36" applyFont="1" applyBorder="1" applyAlignment="1">
      <alignment vertical="top" wrapText="1"/>
    </xf>
    <xf numFmtId="0" fontId="77" fillId="26" borderId="0" xfId="0" applyFont="1" applyFill="1" applyAlignment="1">
      <alignment vertical="top"/>
    </xf>
    <xf numFmtId="3" fontId="88" fillId="6" borderId="0" xfId="36" applyNumberFormat="1" applyFont="1" applyBorder="1" applyAlignment="1">
      <alignment vertical="top" wrapText="1"/>
    </xf>
    <xf numFmtId="0" fontId="79" fillId="26" borderId="0" xfId="45" applyFont="1" applyFill="1" applyBorder="1" applyAlignment="1">
      <alignment vertical="top"/>
    </xf>
    <xf numFmtId="0" fontId="2" fillId="17" borderId="24" xfId="0" applyFont="1" applyFill="1" applyBorder="1" applyAlignment="1">
      <alignment vertical="top"/>
    </xf>
    <xf numFmtId="0" fontId="2" fillId="17" borderId="25" xfId="0" applyFont="1" applyFill="1" applyBorder="1" applyAlignment="1">
      <alignment vertical="top"/>
    </xf>
    <xf numFmtId="0" fontId="79" fillId="26" borderId="25" xfId="45" applyFont="1" applyFill="1" applyBorder="1" applyAlignment="1">
      <alignment vertical="top"/>
    </xf>
    <xf numFmtId="0" fontId="88" fillId="6" borderId="25" xfId="36" applyFont="1" applyBorder="1" applyAlignment="1">
      <alignment vertical="top" wrapText="1"/>
    </xf>
    <xf numFmtId="0" fontId="3" fillId="20" borderId="71" xfId="0" applyFont="1" applyFill="1" applyBorder="1" applyAlignment="1">
      <alignment vertical="center" wrapText="1"/>
    </xf>
    <xf numFmtId="0" fontId="3" fillId="20" borderId="34" xfId="0" applyFont="1" applyFill="1" applyBorder="1" applyAlignment="1">
      <alignment vertical="center" wrapText="1"/>
    </xf>
    <xf numFmtId="0" fontId="3" fillId="17" borderId="0" xfId="0" applyFont="1" applyFill="1" applyAlignment="1">
      <alignment horizontal="right" vertical="center" wrapText="1"/>
    </xf>
    <xf numFmtId="0" fontId="13" fillId="20" borderId="24" xfId="0" applyFont="1" applyFill="1" applyBorder="1" applyAlignment="1">
      <alignment horizontal="center" vertical="center"/>
    </xf>
    <xf numFmtId="0" fontId="13" fillId="20" borderId="25" xfId="0" applyFont="1" applyFill="1" applyBorder="1" applyAlignment="1">
      <alignment horizontal="center" vertical="center"/>
    </xf>
    <xf numFmtId="0" fontId="13" fillId="26" borderId="34" xfId="45" applyFont="1" applyFill="1" applyBorder="1" applyAlignment="1">
      <alignment horizontal="center" vertical="center"/>
    </xf>
    <xf numFmtId="3" fontId="13" fillId="6" borderId="34" xfId="36" applyNumberFormat="1" applyFont="1" applyBorder="1" applyAlignment="1">
      <alignment horizontal="center" vertical="center" wrapText="1"/>
    </xf>
    <xf numFmtId="0" fontId="98" fillId="26" borderId="34" xfId="45" applyFont="1" applyFill="1" applyBorder="1" applyAlignment="1">
      <alignment horizontal="center" vertical="center" wrapText="1"/>
    </xf>
    <xf numFmtId="0" fontId="13" fillId="31" borderId="124" xfId="0" applyFont="1" applyFill="1" applyBorder="1" applyAlignment="1">
      <alignment horizontal="center" vertical="center"/>
    </xf>
    <xf numFmtId="0" fontId="3" fillId="31" borderId="124" xfId="0" applyFont="1" applyFill="1" applyBorder="1" applyAlignment="1">
      <alignment horizontal="center" vertical="center" wrapText="1"/>
    </xf>
    <xf numFmtId="0" fontId="3" fillId="31" borderId="48" xfId="0" applyFont="1" applyFill="1" applyBorder="1" applyAlignment="1">
      <alignment horizontal="center" vertical="top" wrapText="1"/>
    </xf>
    <xf numFmtId="3" fontId="0" fillId="31" borderId="48" xfId="0" applyNumberFormat="1" applyFill="1" applyBorder="1" applyAlignment="1">
      <alignment horizontal="center" vertical="top"/>
    </xf>
    <xf numFmtId="3" fontId="0" fillId="41" borderId="48" xfId="0" applyNumberFormat="1" applyFill="1" applyBorder="1" applyAlignment="1">
      <alignment horizontal="center" vertical="top"/>
    </xf>
    <xf numFmtId="3" fontId="2" fillId="31" borderId="48" xfId="0" applyNumberFormat="1" applyFont="1" applyFill="1" applyBorder="1" applyAlignment="1">
      <alignment horizontal="center" vertical="top"/>
    </xf>
    <xf numFmtId="0" fontId="0" fillId="41" borderId="48" xfId="0" applyFill="1" applyBorder="1" applyAlignment="1">
      <alignment horizontal="center" vertical="top"/>
    </xf>
    <xf numFmtId="3" fontId="2" fillId="31" borderId="49" xfId="0" applyNumberFormat="1" applyFont="1" applyFill="1" applyBorder="1" applyAlignment="1">
      <alignment horizontal="center" vertical="top"/>
    </xf>
    <xf numFmtId="3" fontId="97" fillId="16" borderId="17" xfId="26" applyNumberFormat="1" applyFont="1" applyBorder="1" applyAlignment="1">
      <alignment vertical="top" wrapText="1"/>
    </xf>
    <xf numFmtId="0" fontId="21" fillId="6" borderId="23" xfId="36" applyBorder="1" applyAlignment="1">
      <alignment vertical="top" wrapText="1"/>
    </xf>
    <xf numFmtId="0" fontId="21" fillId="6" borderId="15" xfId="36" applyBorder="1" applyAlignment="1">
      <alignment vertical="top" wrapText="1"/>
    </xf>
    <xf numFmtId="3" fontId="13" fillId="6" borderId="71" xfId="36" applyNumberFormat="1" applyFont="1" applyBorder="1" applyAlignment="1">
      <alignment horizontal="center" vertical="center" wrapText="1"/>
    </xf>
    <xf numFmtId="3" fontId="13" fillId="6" borderId="35" xfId="36" applyNumberFormat="1" applyFont="1" applyBorder="1" applyAlignment="1">
      <alignment horizontal="center" vertical="center" wrapText="1"/>
    </xf>
    <xf numFmtId="3" fontId="21" fillId="6" borderId="23" xfId="36" applyNumberFormat="1" applyBorder="1" applyAlignment="1">
      <alignment vertical="top" wrapText="1"/>
    </xf>
    <xf numFmtId="3" fontId="21" fillId="6" borderId="15" xfId="36" applyNumberFormat="1" applyBorder="1" applyAlignment="1">
      <alignment vertical="top" wrapText="1"/>
    </xf>
    <xf numFmtId="0" fontId="88" fillId="6" borderId="23" xfId="36" applyFont="1" applyBorder="1" applyAlignment="1">
      <alignment vertical="top" wrapText="1"/>
    </xf>
    <xf numFmtId="0" fontId="88" fillId="6" borderId="15" xfId="36" applyFont="1" applyBorder="1" applyAlignment="1">
      <alignment vertical="top" wrapText="1"/>
    </xf>
    <xf numFmtId="3" fontId="89" fillId="6" borderId="23" xfId="36" applyNumberFormat="1" applyFont="1" applyBorder="1" applyAlignment="1">
      <alignment vertical="top" wrapText="1"/>
    </xf>
    <xf numFmtId="3" fontId="89" fillId="6" borderId="15" xfId="36" applyNumberFormat="1" applyFont="1" applyBorder="1" applyAlignment="1">
      <alignment vertical="top" wrapText="1"/>
    </xf>
    <xf numFmtId="0" fontId="106" fillId="6" borderId="23" xfId="36" applyFont="1" applyBorder="1" applyAlignment="1">
      <alignment vertical="top" wrapText="1"/>
    </xf>
    <xf numFmtId="3" fontId="106" fillId="40" borderId="23" xfId="0" applyNumberFormat="1" applyFont="1" applyFill="1" applyBorder="1" applyAlignment="1">
      <alignment vertical="top"/>
    </xf>
    <xf numFmtId="0" fontId="88" fillId="40" borderId="23" xfId="36" applyFont="1" applyFill="1" applyBorder="1" applyAlignment="1">
      <alignment vertical="top" wrapText="1"/>
    </xf>
    <xf numFmtId="3" fontId="88" fillId="6" borderId="23" xfId="36" applyNumberFormat="1" applyFont="1" applyBorder="1" applyAlignment="1">
      <alignment vertical="top" wrapText="1"/>
    </xf>
    <xf numFmtId="3" fontId="88" fillId="6" borderId="15" xfId="36" applyNumberFormat="1" applyFont="1" applyBorder="1" applyAlignment="1">
      <alignment vertical="top" wrapText="1"/>
    </xf>
    <xf numFmtId="0" fontId="88" fillId="6" borderId="24" xfId="36" applyFont="1" applyBorder="1" applyAlignment="1">
      <alignment vertical="top" wrapText="1"/>
    </xf>
    <xf numFmtId="0" fontId="88" fillId="6" borderId="27" xfId="36" applyFont="1" applyBorder="1" applyAlignment="1">
      <alignment vertical="top" wrapText="1"/>
    </xf>
    <xf numFmtId="0" fontId="13" fillId="28" borderId="124" xfId="0" applyFont="1" applyFill="1" applyBorder="1" applyAlignment="1">
      <alignment horizontal="center" vertical="center"/>
    </xf>
    <xf numFmtId="0" fontId="3" fillId="28" borderId="124" xfId="0" applyFont="1" applyFill="1" applyBorder="1" applyAlignment="1">
      <alignment horizontal="center" vertical="center" wrapText="1"/>
    </xf>
    <xf numFmtId="0" fontId="14" fillId="28" borderId="48" xfId="0" applyFont="1" applyFill="1" applyBorder="1" applyAlignment="1">
      <alignment horizontal="center" vertical="top"/>
    </xf>
    <xf numFmtId="0" fontId="14" fillId="39" borderId="48" xfId="0" applyFont="1" applyFill="1" applyBorder="1" applyAlignment="1">
      <alignment horizontal="center" vertical="top"/>
    </xf>
    <xf numFmtId="0" fontId="0" fillId="39" borderId="48" xfId="0" applyFill="1" applyBorder="1" applyAlignment="1">
      <alignment horizontal="center" vertical="top"/>
    </xf>
    <xf numFmtId="0" fontId="14" fillId="28" borderId="49" xfId="0" applyFont="1" applyFill="1" applyBorder="1" applyAlignment="1">
      <alignment horizontal="center" vertical="top"/>
    </xf>
    <xf numFmtId="0" fontId="77" fillId="25" borderId="0" xfId="0" applyFont="1" applyFill="1" applyAlignment="1">
      <alignment vertical="top"/>
    </xf>
    <xf numFmtId="0" fontId="3" fillId="20" borderId="34" xfId="0" applyFont="1" applyFill="1" applyBorder="1" applyAlignment="1">
      <alignment horizontal="center" vertical="center" wrapText="1"/>
    </xf>
    <xf numFmtId="0" fontId="3" fillId="17" borderId="0" xfId="0" applyFont="1" applyFill="1" applyBorder="1" applyAlignment="1">
      <alignment horizontal="center" vertical="top" wrapText="1"/>
    </xf>
    <xf numFmtId="0" fontId="0" fillId="0" borderId="0" xfId="0" applyAlignment="1">
      <alignment horizontal="center" vertical="top"/>
    </xf>
    <xf numFmtId="2" fontId="0" fillId="0" borderId="0" xfId="0" applyNumberFormat="1" applyAlignment="1">
      <alignment horizontal="center" vertical="top"/>
    </xf>
    <xf numFmtId="0" fontId="78" fillId="26" borderId="16" xfId="45" applyFont="1" applyFill="1" applyBorder="1" applyAlignment="1">
      <alignment horizontal="center" vertical="top"/>
    </xf>
    <xf numFmtId="0" fontId="78" fillId="26" borderId="0" xfId="45" applyFont="1" applyFill="1" applyBorder="1" applyAlignment="1">
      <alignment horizontal="center" vertical="top"/>
    </xf>
    <xf numFmtId="0" fontId="78" fillId="26" borderId="0" xfId="45" applyFont="1" applyFill="1" applyBorder="1" applyAlignment="1">
      <alignment horizontal="center" vertical="top" wrapText="1"/>
    </xf>
    <xf numFmtId="0" fontId="77" fillId="26" borderId="0" xfId="0" applyFont="1" applyFill="1" applyBorder="1" applyAlignment="1">
      <alignment horizontal="center" vertical="top"/>
    </xf>
    <xf numFmtId="0" fontId="0" fillId="26" borderId="0" xfId="0" applyFill="1" applyAlignment="1">
      <alignment horizontal="center" vertical="top"/>
    </xf>
    <xf numFmtId="0" fontId="79" fillId="26" borderId="25" xfId="45" applyFont="1" applyFill="1" applyBorder="1" applyAlignment="1">
      <alignment horizontal="center" vertical="top"/>
    </xf>
    <xf numFmtId="0" fontId="77" fillId="25" borderId="0" xfId="0" applyFont="1" applyFill="1" applyAlignment="1">
      <alignment horizontal="center" vertical="top"/>
    </xf>
    <xf numFmtId="0" fontId="77" fillId="26" borderId="0" xfId="0" applyFont="1" applyFill="1" applyAlignment="1">
      <alignment horizontal="center" vertical="top"/>
    </xf>
    <xf numFmtId="0" fontId="108" fillId="25" borderId="0" xfId="25" applyFont="1" applyFill="1"/>
    <xf numFmtId="3" fontId="0" fillId="0" borderId="0" xfId="0" applyNumberFormat="1" applyAlignment="1">
      <alignment horizontal="right"/>
    </xf>
    <xf numFmtId="0" fontId="3" fillId="38" borderId="48" xfId="0" applyFont="1" applyFill="1" applyBorder="1" applyAlignment="1">
      <alignment horizontal="center" vertical="top" wrapText="1"/>
    </xf>
    <xf numFmtId="0" fontId="0" fillId="38" borderId="48" xfId="0" applyFill="1" applyBorder="1" applyAlignment="1">
      <alignment horizontal="center" vertical="top" wrapText="1"/>
    </xf>
    <xf numFmtId="0" fontId="2" fillId="38" borderId="48" xfId="0" applyFont="1" applyFill="1" applyBorder="1" applyAlignment="1">
      <alignment horizontal="center" vertical="top" wrapText="1"/>
    </xf>
    <xf numFmtId="0" fontId="3" fillId="20" borderId="47" xfId="0" applyFont="1" applyFill="1" applyBorder="1" applyAlignment="1">
      <alignment horizontal="center" vertical="top" wrapText="1"/>
    </xf>
    <xf numFmtId="0" fontId="92" fillId="25" borderId="0" xfId="0" applyFont="1" applyFill="1" applyBorder="1"/>
    <xf numFmtId="0" fontId="0" fillId="0" borderId="0" xfId="0" applyFill="1"/>
    <xf numFmtId="0" fontId="12" fillId="32" borderId="0" xfId="0" applyFont="1" applyFill="1" applyBorder="1"/>
    <xf numFmtId="0" fontId="0" fillId="32" borderId="0" xfId="0" applyFill="1" applyBorder="1"/>
    <xf numFmtId="3" fontId="109" fillId="6" borderId="0" xfId="36" applyNumberFormat="1" applyFont="1" applyBorder="1" applyAlignment="1">
      <alignment vertical="top" wrapText="1"/>
    </xf>
    <xf numFmtId="0" fontId="109" fillId="6" borderId="23" xfId="36" applyFont="1" applyBorder="1" applyAlignment="1">
      <alignment vertical="top" wrapText="1"/>
    </xf>
    <xf numFmtId="0" fontId="109" fillId="6" borderId="0" xfId="36" applyFont="1" applyBorder="1" applyAlignment="1">
      <alignment vertical="top" wrapText="1"/>
    </xf>
    <xf numFmtId="0" fontId="109" fillId="6" borderId="15" xfId="36" applyFont="1" applyBorder="1" applyAlignment="1">
      <alignment vertical="top" wrapText="1"/>
    </xf>
    <xf numFmtId="0" fontId="81" fillId="25" borderId="0" xfId="0" applyFont="1" applyFill="1" applyBorder="1" applyAlignment="1">
      <alignment vertical="center"/>
    </xf>
    <xf numFmtId="0" fontId="2" fillId="0" borderId="0" xfId="0" applyFont="1" applyBorder="1"/>
    <xf numFmtId="0" fontId="108" fillId="16" borderId="0" xfId="26" applyFont="1" applyBorder="1"/>
    <xf numFmtId="0" fontId="6" fillId="20" borderId="25" xfId="0" applyFont="1" applyFill="1" applyBorder="1" applyAlignment="1">
      <alignment horizontal="right"/>
    </xf>
    <xf numFmtId="0" fontId="2" fillId="20" borderId="25" xfId="0" applyFont="1" applyFill="1" applyBorder="1" applyAlignment="1">
      <alignment horizontal="left"/>
    </xf>
    <xf numFmtId="3" fontId="6" fillId="19" borderId="0" xfId="0" applyNumberFormat="1" applyFont="1" applyFill="1" applyBorder="1" applyAlignment="1">
      <alignment horizontal="right" vertical="center"/>
    </xf>
    <xf numFmtId="0" fontId="12" fillId="20" borderId="27" xfId="0" applyFont="1" applyFill="1" applyBorder="1" applyAlignment="1">
      <alignment horizontal="left"/>
    </xf>
    <xf numFmtId="3" fontId="8" fillId="25" borderId="0" xfId="0" applyNumberFormat="1" applyFont="1" applyFill="1" applyBorder="1" applyAlignment="1">
      <alignment vertical="center"/>
    </xf>
    <xf numFmtId="3" fontId="97" fillId="16" borderId="26" xfId="26" applyNumberFormat="1" applyFont="1" applyBorder="1" applyAlignment="1">
      <alignment vertical="top" wrapText="1"/>
    </xf>
    <xf numFmtId="3" fontId="97" fillId="16" borderId="16" xfId="26" applyNumberFormat="1" applyFont="1" applyBorder="1" applyAlignment="1">
      <alignment vertical="top" wrapText="1"/>
    </xf>
    <xf numFmtId="169" fontId="6" fillId="17" borderId="70" xfId="0" applyNumberFormat="1" applyFont="1" applyFill="1" applyBorder="1" applyAlignment="1" applyProtection="1">
      <alignment horizontal="center"/>
    </xf>
    <xf numFmtId="3" fontId="12" fillId="24" borderId="0" xfId="0" applyNumberFormat="1" applyFont="1" applyFill="1" applyBorder="1" applyAlignment="1" applyProtection="1">
      <alignment horizontal="right" vertical="center" indent="1"/>
    </xf>
    <xf numFmtId="3" fontId="11" fillId="24" borderId="0" xfId="0" applyNumberFormat="1" applyFont="1" applyFill="1" applyBorder="1" applyAlignment="1" applyProtection="1">
      <alignment horizontal="right" vertical="center" indent="1"/>
    </xf>
    <xf numFmtId="3" fontId="12" fillId="24" borderId="100" xfId="0" applyNumberFormat="1" applyFont="1" applyFill="1" applyBorder="1" applyAlignment="1" applyProtection="1">
      <alignment horizontal="right" vertical="center" indent="1"/>
    </xf>
    <xf numFmtId="3" fontId="11" fillId="24" borderId="100" xfId="0" applyNumberFormat="1" applyFont="1" applyFill="1" applyBorder="1" applyAlignment="1" applyProtection="1">
      <alignment horizontal="right" vertical="center" indent="1"/>
    </xf>
    <xf numFmtId="3" fontId="12" fillId="24" borderId="19" xfId="0" applyNumberFormat="1" applyFont="1" applyFill="1" applyBorder="1" applyAlignment="1" applyProtection="1">
      <alignment horizontal="right" vertical="center" indent="1"/>
    </xf>
    <xf numFmtId="3" fontId="11" fillId="24" borderId="19" xfId="0" applyNumberFormat="1" applyFont="1" applyFill="1" applyBorder="1" applyAlignment="1" applyProtection="1">
      <alignment horizontal="right" vertical="center" indent="1"/>
    </xf>
    <xf numFmtId="3" fontId="12" fillId="24" borderId="22" xfId="0" applyNumberFormat="1" applyFont="1" applyFill="1" applyBorder="1" applyAlignment="1" applyProtection="1">
      <alignment horizontal="right" vertical="center" indent="1"/>
    </xf>
    <xf numFmtId="3" fontId="11" fillId="24" borderId="22" xfId="0" applyNumberFormat="1" applyFont="1" applyFill="1" applyBorder="1" applyAlignment="1" applyProtection="1">
      <alignment horizontal="right" vertical="center" indent="1"/>
    </xf>
    <xf numFmtId="0" fontId="0" fillId="0" borderId="0" xfId="0" applyNumberFormat="1" applyFont="1"/>
    <xf numFmtId="0" fontId="18" fillId="16" borderId="1" xfId="26"/>
    <xf numFmtId="0" fontId="0" fillId="0" borderId="0" xfId="0" applyBorder="1" applyAlignment="1">
      <alignment vertical="top"/>
    </xf>
    <xf numFmtId="0" fontId="6" fillId="0" borderId="0" xfId="0" applyFont="1" applyProtection="1">
      <protection locked="0"/>
    </xf>
    <xf numFmtId="0" fontId="82" fillId="20" borderId="26" xfId="0" applyFont="1" applyFill="1" applyBorder="1" applyProtection="1">
      <protection locked="0"/>
    </xf>
    <xf numFmtId="0" fontId="6" fillId="20" borderId="17" xfId="0" applyFont="1" applyFill="1" applyBorder="1" applyProtection="1">
      <protection locked="0"/>
    </xf>
    <xf numFmtId="0" fontId="6" fillId="17" borderId="0" xfId="0" applyFont="1" applyFill="1" applyBorder="1" applyProtection="1">
      <protection locked="0"/>
    </xf>
    <xf numFmtId="0" fontId="6" fillId="0" borderId="0" xfId="0" applyFont="1" applyAlignment="1" applyProtection="1">
      <alignment horizontal="center"/>
      <protection locked="0"/>
    </xf>
    <xf numFmtId="0" fontId="45" fillId="17" borderId="0" xfId="0" applyFont="1" applyFill="1" applyBorder="1" applyProtection="1">
      <protection locked="0"/>
    </xf>
    <xf numFmtId="0" fontId="82" fillId="20" borderId="23" xfId="0" applyFont="1" applyFill="1" applyBorder="1" applyProtection="1">
      <protection locked="0"/>
    </xf>
    <xf numFmtId="0" fontId="6" fillId="20" borderId="15" xfId="0" applyFont="1" applyFill="1" applyBorder="1" applyProtection="1">
      <protection locked="0"/>
    </xf>
    <xf numFmtId="0" fontId="6" fillId="0" borderId="0" xfId="0" applyFont="1" applyBorder="1" applyProtection="1">
      <protection locked="0"/>
    </xf>
    <xf numFmtId="0" fontId="45" fillId="17" borderId="0" xfId="0" applyFont="1" applyFill="1" applyBorder="1" applyAlignment="1" applyProtection="1">
      <alignment vertical="center"/>
      <protection locked="0"/>
    </xf>
    <xf numFmtId="0" fontId="81" fillId="20" borderId="0" xfId="0" applyFont="1" applyFill="1" applyBorder="1" applyProtection="1">
      <protection locked="0"/>
    </xf>
    <xf numFmtId="0" fontId="82" fillId="20" borderId="24" xfId="0" applyFont="1" applyFill="1" applyBorder="1" applyProtection="1">
      <protection locked="0"/>
    </xf>
    <xf numFmtId="0" fontId="6" fillId="20" borderId="25" xfId="0" applyFont="1" applyFill="1" applyBorder="1" applyProtection="1">
      <protection locked="0"/>
    </xf>
    <xf numFmtId="0" fontId="3" fillId="20" borderId="25" xfId="0" applyFont="1" applyFill="1" applyBorder="1" applyAlignment="1" applyProtection="1">
      <alignment horizontal="right"/>
      <protection locked="0"/>
    </xf>
    <xf numFmtId="0" fontId="2" fillId="20" borderId="25" xfId="0" applyFont="1" applyFill="1" applyBorder="1" applyAlignment="1" applyProtection="1">
      <alignment horizontal="left"/>
      <protection locked="0"/>
    </xf>
    <xf numFmtId="0" fontId="6" fillId="20" borderId="27" xfId="0" applyFont="1" applyFill="1" applyBorder="1" applyProtection="1">
      <protection locked="0"/>
    </xf>
    <xf numFmtId="0" fontId="56" fillId="20" borderId="16" xfId="0" applyFont="1" applyFill="1" applyBorder="1" applyProtection="1">
      <protection locked="0"/>
    </xf>
    <xf numFmtId="14" fontId="6" fillId="0" borderId="38" xfId="0" applyNumberFormat="1" applyFont="1" applyFill="1" applyBorder="1" applyAlignment="1" applyProtection="1">
      <alignment horizontal="right" vertical="center" indent="2"/>
      <protection locked="0"/>
    </xf>
    <xf numFmtId="14" fontId="2" fillId="0" borderId="0" xfId="0" applyNumberFormat="1" applyFont="1" applyFill="1" applyBorder="1"/>
    <xf numFmtId="0" fontId="2" fillId="28" borderId="47" xfId="0" applyFont="1" applyFill="1" applyBorder="1" applyAlignment="1">
      <alignment horizontal="center" vertical="top"/>
    </xf>
    <xf numFmtId="0" fontId="2" fillId="31" borderId="47" xfId="0" applyFont="1" applyFill="1" applyBorder="1" applyAlignment="1">
      <alignment horizontal="center" vertical="top"/>
    </xf>
    <xf numFmtId="0" fontId="2" fillId="17" borderId="0" xfId="0" applyFont="1" applyFill="1"/>
    <xf numFmtId="0" fontId="2" fillId="20" borderId="23" xfId="0" applyFont="1" applyFill="1" applyBorder="1" applyAlignment="1">
      <alignment vertical="top"/>
    </xf>
    <xf numFmtId="0" fontId="2" fillId="20" borderId="0" xfId="0" applyFont="1" applyFill="1" applyBorder="1" applyAlignment="1">
      <alignment vertical="top"/>
    </xf>
    <xf numFmtId="0" fontId="2" fillId="20" borderId="0" xfId="0" applyFont="1" applyFill="1" applyBorder="1" applyAlignment="1">
      <alignment horizontal="center" vertical="top"/>
    </xf>
    <xf numFmtId="0" fontId="2" fillId="28" borderId="48" xfId="0" applyFont="1" applyFill="1" applyBorder="1" applyAlignment="1">
      <alignment horizontal="center" vertical="top"/>
    </xf>
    <xf numFmtId="0" fontId="2" fillId="31" borderId="48" xfId="0" applyFont="1" applyFill="1" applyBorder="1" applyAlignment="1">
      <alignment horizontal="center" vertical="top"/>
    </xf>
    <xf numFmtId="0" fontId="6" fillId="28" borderId="48" xfId="0" applyFont="1" applyFill="1" applyBorder="1" applyAlignment="1">
      <alignment horizontal="center" vertical="top"/>
    </xf>
    <xf numFmtId="0" fontId="2" fillId="17" borderId="23" xfId="0" applyFont="1" applyFill="1" applyBorder="1" applyAlignment="1">
      <alignment vertical="top"/>
    </xf>
    <xf numFmtId="0" fontId="2" fillId="17" borderId="0" xfId="0" applyFont="1" applyFill="1" applyBorder="1" applyAlignment="1" applyProtection="1">
      <alignment vertical="top"/>
    </xf>
    <xf numFmtId="4" fontId="2" fillId="17" borderId="0" xfId="0" applyNumberFormat="1" applyFont="1" applyFill="1" applyBorder="1" applyAlignment="1">
      <alignment horizontal="center" vertical="top"/>
    </xf>
    <xf numFmtId="0" fontId="2" fillId="17" borderId="0" xfId="0" quotePrefix="1" applyFont="1" applyFill="1" applyBorder="1" applyAlignment="1" applyProtection="1">
      <alignment vertical="top"/>
    </xf>
    <xf numFmtId="0" fontId="2" fillId="17" borderId="0" xfId="0" quotePrefix="1" applyFont="1" applyFill="1" applyBorder="1" applyAlignment="1">
      <alignment vertical="top"/>
    </xf>
    <xf numFmtId="3" fontId="109" fillId="6" borderId="15" xfId="36" applyNumberFormat="1" applyFont="1" applyBorder="1" applyAlignment="1">
      <alignment vertical="top" wrapText="1"/>
    </xf>
    <xf numFmtId="0" fontId="2" fillId="26" borderId="0" xfId="0" applyFont="1" applyFill="1" applyBorder="1" applyAlignment="1">
      <alignment vertical="top" wrapText="1"/>
    </xf>
    <xf numFmtId="0" fontId="2" fillId="39" borderId="48" xfId="0" applyFont="1" applyFill="1" applyBorder="1" applyAlignment="1">
      <alignment horizontal="center" vertical="top"/>
    </xf>
    <xf numFmtId="4" fontId="2" fillId="17" borderId="25" xfId="0" applyNumberFormat="1" applyFont="1" applyFill="1" applyBorder="1" applyAlignment="1">
      <alignment horizontal="center" vertical="top"/>
    </xf>
    <xf numFmtId="0" fontId="2" fillId="25" borderId="25" xfId="0" applyFont="1" applyFill="1" applyBorder="1" applyAlignment="1">
      <alignment vertical="top"/>
    </xf>
    <xf numFmtId="0" fontId="2" fillId="17" borderId="0" xfId="0" applyFont="1" applyFill="1" applyAlignment="1">
      <alignment vertical="top"/>
    </xf>
    <xf numFmtId="0" fontId="2" fillId="17" borderId="0" xfId="0" applyFont="1" applyFill="1" applyAlignment="1">
      <alignment horizontal="center" vertical="top"/>
    </xf>
    <xf numFmtId="0" fontId="2" fillId="25" borderId="0" xfId="0" applyFont="1" applyFill="1" applyAlignment="1">
      <alignment horizontal="center" vertical="top"/>
    </xf>
    <xf numFmtId="0" fontId="2" fillId="25" borderId="0" xfId="0" applyFont="1" applyFill="1" applyAlignment="1">
      <alignment vertical="top"/>
    </xf>
    <xf numFmtId="4" fontId="2" fillId="25" borderId="0" xfId="0" applyNumberFormat="1" applyFont="1" applyFill="1" applyAlignment="1">
      <alignment horizontal="center" vertical="top"/>
    </xf>
    <xf numFmtId="3" fontId="2" fillId="17" borderId="0" xfId="0" applyNumberFormat="1" applyFont="1" applyFill="1" applyAlignment="1">
      <alignment vertical="top"/>
    </xf>
    <xf numFmtId="0" fontId="13" fillId="17" borderId="0" xfId="0" applyFont="1" applyFill="1" applyAlignment="1">
      <alignment horizontal="center" vertical="center"/>
    </xf>
    <xf numFmtId="3" fontId="82" fillId="23" borderId="62" xfId="0" applyNumberFormat="1" applyFont="1" applyFill="1" applyBorder="1" applyAlignment="1">
      <alignment horizontal="center"/>
    </xf>
    <xf numFmtId="0" fontId="6" fillId="27" borderId="60" xfId="0" applyFont="1" applyFill="1" applyBorder="1" applyAlignment="1" applyProtection="1">
      <alignment horizontal="left" vertical="top" wrapText="1"/>
      <protection locked="0"/>
    </xf>
    <xf numFmtId="0" fontId="6" fillId="27" borderId="111" xfId="0" applyFont="1" applyFill="1" applyBorder="1" applyAlignment="1" applyProtection="1">
      <alignment horizontal="left" vertical="top" wrapText="1"/>
      <protection locked="0"/>
    </xf>
    <xf numFmtId="0" fontId="6" fillId="27" borderId="112" xfId="0" applyFont="1" applyFill="1" applyBorder="1" applyAlignment="1" applyProtection="1">
      <alignment horizontal="left" vertical="top" wrapText="1"/>
      <protection locked="0"/>
    </xf>
    <xf numFmtId="0" fontId="6" fillId="27" borderId="114" xfId="0" applyFont="1" applyFill="1" applyBorder="1" applyAlignment="1" applyProtection="1">
      <alignment horizontal="left" vertical="top" wrapText="1"/>
      <protection locked="0"/>
    </xf>
    <xf numFmtId="0" fontId="6" fillId="27" borderId="111" xfId="0" applyFont="1" applyFill="1" applyBorder="1" applyAlignment="1" applyProtection="1">
      <alignment horizontal="center" vertical="top" wrapText="1"/>
      <protection locked="0"/>
    </xf>
    <xf numFmtId="0" fontId="6" fillId="27" borderId="119" xfId="0" applyFont="1" applyFill="1" applyBorder="1" applyAlignment="1" applyProtection="1">
      <alignment horizontal="left" vertical="top" wrapText="1"/>
      <protection locked="0"/>
    </xf>
    <xf numFmtId="0" fontId="6" fillId="27" borderId="114" xfId="0" applyFont="1" applyFill="1" applyBorder="1" applyAlignment="1" applyProtection="1">
      <alignment horizontal="left" vertical="center" wrapText="1"/>
      <protection locked="0"/>
    </xf>
    <xf numFmtId="0" fontId="6" fillId="27" borderId="111" xfId="46" applyFont="1" applyFill="1" applyBorder="1" applyAlignment="1" applyProtection="1">
      <alignment horizontal="left" vertical="center" wrapText="1"/>
      <protection locked="0"/>
    </xf>
    <xf numFmtId="0" fontId="6" fillId="27" borderId="112" xfId="46" applyFont="1" applyFill="1" applyBorder="1" applyAlignment="1" applyProtection="1">
      <alignment horizontal="left" vertical="center" wrapText="1"/>
      <protection locked="0"/>
    </xf>
    <xf numFmtId="0" fontId="6" fillId="27" borderId="114" xfId="46" applyFont="1" applyFill="1" applyBorder="1" applyAlignment="1" applyProtection="1">
      <alignment horizontal="left" vertical="center" wrapText="1"/>
      <protection locked="0"/>
    </xf>
    <xf numFmtId="0" fontId="6" fillId="27" borderId="115" xfId="46" applyFont="1" applyFill="1" applyBorder="1" applyAlignment="1" applyProtection="1">
      <alignment horizontal="left" vertical="center" wrapText="1"/>
      <protection locked="0"/>
    </xf>
    <xf numFmtId="0" fontId="6" fillId="27" borderId="116" xfId="46" applyFont="1" applyFill="1" applyBorder="1" applyAlignment="1" applyProtection="1">
      <alignment horizontal="left" vertical="center" wrapText="1"/>
      <protection locked="0"/>
    </xf>
    <xf numFmtId="0" fontId="6" fillId="27" borderId="117" xfId="46" applyFont="1" applyFill="1" applyBorder="1" applyAlignment="1" applyProtection="1">
      <alignment horizontal="left" vertical="center" wrapText="1"/>
      <protection locked="0"/>
    </xf>
    <xf numFmtId="0" fontId="6" fillId="27" borderId="119" xfId="46" applyFont="1" applyFill="1" applyBorder="1" applyAlignment="1" applyProtection="1">
      <alignment horizontal="left" vertical="center" wrapText="1"/>
      <protection locked="0"/>
    </xf>
    <xf numFmtId="3" fontId="11" fillId="19" borderId="0" xfId="0" applyNumberFormat="1" applyFont="1" applyFill="1" applyBorder="1" applyAlignment="1" applyProtection="1">
      <alignment horizontal="center" wrapText="1"/>
      <protection locked="0"/>
    </xf>
    <xf numFmtId="0" fontId="8" fillId="37" borderId="75" xfId="0" applyFont="1" applyFill="1" applyBorder="1" applyAlignment="1" applyProtection="1">
      <alignment horizontal="center"/>
    </xf>
    <xf numFmtId="3" fontId="2" fillId="17" borderId="0" xfId="0" applyNumberFormat="1" applyFont="1" applyFill="1"/>
    <xf numFmtId="4" fontId="6" fillId="19" borderId="0" xfId="0" applyNumberFormat="1" applyFont="1" applyFill="1" applyBorder="1" applyAlignment="1">
      <alignment horizontal="left" vertical="center"/>
    </xf>
    <xf numFmtId="2" fontId="0" fillId="19" borderId="0" xfId="0" applyNumberFormat="1" applyFill="1" applyBorder="1" applyAlignment="1">
      <alignment horizontal="left"/>
    </xf>
    <xf numFmtId="3" fontId="111" fillId="6" borderId="23" xfId="36" applyNumberFormat="1" applyFont="1" applyBorder="1" applyAlignment="1">
      <alignment vertical="top" wrapText="1"/>
    </xf>
    <xf numFmtId="3" fontId="111" fillId="6" borderId="0" xfId="36" applyNumberFormat="1" applyFont="1" applyBorder="1" applyAlignment="1">
      <alignment vertical="top" wrapText="1"/>
    </xf>
    <xf numFmtId="3" fontId="109" fillId="6" borderId="23" xfId="36" applyNumberFormat="1" applyFont="1" applyBorder="1" applyAlignment="1">
      <alignment vertical="top" wrapText="1"/>
    </xf>
    <xf numFmtId="3" fontId="110" fillId="6" borderId="0" xfId="36" applyNumberFormat="1" applyFont="1" applyBorder="1" applyAlignment="1">
      <alignment vertical="top" wrapText="1"/>
    </xf>
    <xf numFmtId="3" fontId="110" fillId="6" borderId="15" xfId="36" applyNumberFormat="1" applyFont="1" applyBorder="1" applyAlignment="1">
      <alignment vertical="top" wrapText="1"/>
    </xf>
    <xf numFmtId="3" fontId="106" fillId="40" borderId="0" xfId="0" applyNumberFormat="1" applyFont="1" applyFill="1" applyBorder="1" applyAlignment="1">
      <alignment vertical="top"/>
    </xf>
    <xf numFmtId="3" fontId="3" fillId="40" borderId="15" xfId="0" applyNumberFormat="1" applyFont="1" applyFill="1" applyBorder="1" applyAlignment="1">
      <alignment vertical="top"/>
    </xf>
    <xf numFmtId="3" fontId="11" fillId="17" borderId="0" xfId="0" applyNumberFormat="1" applyFont="1" applyFill="1" applyBorder="1" applyAlignment="1">
      <alignment horizontal="center" vertical="center"/>
    </xf>
    <xf numFmtId="0" fontId="6" fillId="24" borderId="0" xfId="0" applyFont="1" applyFill="1"/>
    <xf numFmtId="3" fontId="81" fillId="23" borderId="0" xfId="0" applyNumberFormat="1" applyFont="1" applyFill="1" applyBorder="1" applyAlignment="1">
      <alignment horizontal="center"/>
    </xf>
    <xf numFmtId="0" fontId="8" fillId="32" borderId="0" xfId="0" applyFont="1" applyFill="1" applyBorder="1"/>
    <xf numFmtId="0" fontId="6" fillId="25" borderId="23" xfId="0" applyFont="1" applyFill="1" applyBorder="1"/>
    <xf numFmtId="1" fontId="112" fillId="25" borderId="23" xfId="0" applyNumberFormat="1" applyFont="1" applyFill="1" applyBorder="1" applyAlignment="1">
      <alignment horizontal="right"/>
    </xf>
    <xf numFmtId="0" fontId="0" fillId="32" borderId="0" xfId="0" applyFill="1" applyBorder="1" applyProtection="1"/>
    <xf numFmtId="0" fontId="8" fillId="32" borderId="0" xfId="0" applyFont="1" applyFill="1" applyBorder="1" applyProtection="1"/>
    <xf numFmtId="0" fontId="12" fillId="32" borderId="0" xfId="0" applyFont="1" applyFill="1" applyBorder="1" applyProtection="1"/>
    <xf numFmtId="3" fontId="11" fillId="32" borderId="0" xfId="0" applyNumberFormat="1" applyFont="1" applyFill="1" applyBorder="1" applyAlignment="1" applyProtection="1">
      <alignment horizontal="right" vertical="center" indent="1"/>
    </xf>
    <xf numFmtId="3" fontId="12" fillId="32" borderId="0" xfId="0" applyNumberFormat="1" applyFont="1" applyFill="1" applyBorder="1" applyAlignment="1" applyProtection="1">
      <alignment horizontal="right" vertical="center" indent="1"/>
    </xf>
    <xf numFmtId="0" fontId="12" fillId="32" borderId="100" xfId="0" applyFont="1" applyFill="1" applyBorder="1" applyProtection="1"/>
    <xf numFmtId="3" fontId="12" fillId="32" borderId="100" xfId="0" applyNumberFormat="1" applyFont="1" applyFill="1" applyBorder="1" applyAlignment="1" applyProtection="1">
      <alignment horizontal="right" vertical="center" indent="1"/>
    </xf>
    <xf numFmtId="0" fontId="12" fillId="32" borderId="0" xfId="0" applyFont="1" applyFill="1" applyBorder="1" applyAlignment="1" applyProtection="1">
      <alignment vertical="top"/>
    </xf>
    <xf numFmtId="0" fontId="12" fillId="32" borderId="97" xfId="0" applyFont="1" applyFill="1" applyBorder="1" applyProtection="1"/>
    <xf numFmtId="3" fontId="12" fillId="32" borderId="33" xfId="0" applyNumberFormat="1" applyFont="1" applyFill="1" applyBorder="1" applyAlignment="1" applyProtection="1">
      <alignment horizontal="right" vertical="center" indent="1"/>
    </xf>
    <xf numFmtId="0" fontId="12" fillId="32" borderId="0" xfId="0" applyFont="1" applyFill="1" applyBorder="1" applyAlignment="1" applyProtection="1">
      <alignment vertical="top" wrapText="1"/>
    </xf>
    <xf numFmtId="0" fontId="12" fillId="32" borderId="99" xfId="0" applyFont="1" applyFill="1" applyBorder="1" applyProtection="1"/>
    <xf numFmtId="3" fontId="11" fillId="32" borderId="100" xfId="0" applyNumberFormat="1" applyFont="1" applyFill="1" applyBorder="1" applyAlignment="1" applyProtection="1">
      <alignment horizontal="right" vertical="center" indent="1"/>
    </xf>
    <xf numFmtId="3" fontId="12" fillId="32" borderId="101" xfId="0" applyNumberFormat="1" applyFont="1" applyFill="1" applyBorder="1" applyAlignment="1" applyProtection="1">
      <alignment horizontal="right" vertical="center" indent="1"/>
    </xf>
    <xf numFmtId="3" fontId="12" fillId="32" borderId="91" xfId="0" applyNumberFormat="1" applyFont="1" applyFill="1" applyBorder="1" applyAlignment="1" applyProtection="1">
      <alignment horizontal="right" vertical="center" indent="1"/>
    </xf>
    <xf numFmtId="0" fontId="0" fillId="32" borderId="18" xfId="0" applyFill="1" applyBorder="1" applyProtection="1"/>
    <xf numFmtId="0" fontId="12" fillId="32" borderId="19" xfId="0" applyFont="1" applyFill="1" applyBorder="1" applyProtection="1"/>
    <xf numFmtId="3" fontId="11" fillId="32" borderId="19" xfId="0" applyNumberFormat="1" applyFont="1" applyFill="1" applyBorder="1" applyAlignment="1" applyProtection="1">
      <alignment horizontal="right" vertical="center" indent="1"/>
    </xf>
    <xf numFmtId="3" fontId="12" fillId="32" borderId="19" xfId="0" applyNumberFormat="1" applyFont="1" applyFill="1" applyBorder="1" applyAlignment="1" applyProtection="1">
      <alignment horizontal="right" vertical="center" indent="1"/>
    </xf>
    <xf numFmtId="0" fontId="0" fillId="32" borderId="20" xfId="0" applyFill="1" applyBorder="1" applyProtection="1"/>
    <xf numFmtId="0" fontId="50" fillId="32" borderId="0" xfId="0" applyFont="1" applyFill="1" applyBorder="1" applyProtection="1"/>
    <xf numFmtId="0" fontId="6" fillId="32" borderId="0" xfId="0" applyFont="1" applyFill="1" applyBorder="1" applyProtection="1"/>
    <xf numFmtId="0" fontId="0" fillId="32" borderId="21" xfId="0" applyFill="1" applyBorder="1" applyProtection="1"/>
    <xf numFmtId="0" fontId="11" fillId="32" borderId="22" xfId="0" applyFont="1" applyFill="1" applyBorder="1" applyProtection="1"/>
    <xf numFmtId="0" fontId="12" fillId="32" borderId="22" xfId="0" applyFont="1" applyFill="1" applyBorder="1" applyProtection="1"/>
    <xf numFmtId="3" fontId="11" fillId="32" borderId="22" xfId="0" applyNumberFormat="1" applyFont="1" applyFill="1" applyBorder="1" applyAlignment="1" applyProtection="1">
      <alignment horizontal="right" vertical="center" indent="1"/>
    </xf>
    <xf numFmtId="3" fontId="12" fillId="32" borderId="22" xfId="0" applyNumberFormat="1" applyFont="1" applyFill="1" applyBorder="1" applyAlignment="1" applyProtection="1">
      <alignment horizontal="right" vertical="center" indent="1"/>
    </xf>
    <xf numFmtId="0" fontId="65" fillId="44" borderId="49" xfId="0" applyFont="1" applyFill="1" applyBorder="1" applyAlignment="1" applyProtection="1"/>
    <xf numFmtId="0" fontId="3" fillId="0" borderId="16" xfId="0" applyFont="1" applyFill="1" applyBorder="1" applyAlignment="1">
      <alignment vertical="top"/>
    </xf>
    <xf numFmtId="0" fontId="2" fillId="0" borderId="0" xfId="0" applyFont="1" applyFill="1" applyBorder="1" applyAlignment="1">
      <alignment horizontal="center" vertical="top"/>
    </xf>
    <xf numFmtId="0" fontId="1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38" borderId="16" xfId="0" applyFont="1" applyFill="1" applyBorder="1" applyAlignment="1">
      <alignment vertical="top"/>
    </xf>
    <xf numFmtId="0" fontId="2" fillId="38" borderId="16" xfId="0" applyFont="1" applyFill="1" applyBorder="1" applyAlignment="1">
      <alignment vertical="top"/>
    </xf>
    <xf numFmtId="0" fontId="2" fillId="38" borderId="0" xfId="0" applyFont="1" applyFill="1" applyBorder="1" applyAlignment="1">
      <alignment horizontal="center" vertical="top"/>
    </xf>
    <xf numFmtId="0" fontId="2" fillId="38" borderId="0" xfId="0" applyFont="1" applyFill="1" applyBorder="1" applyAlignment="1">
      <alignment vertical="top"/>
    </xf>
    <xf numFmtId="0" fontId="113" fillId="26" borderId="0" xfId="45" applyFont="1" applyFill="1" applyBorder="1" applyAlignment="1">
      <alignment horizontal="center" vertical="top"/>
    </xf>
    <xf numFmtId="0" fontId="113" fillId="26" borderId="0" xfId="45" applyFont="1" applyFill="1" applyBorder="1" applyAlignment="1">
      <alignment vertical="top"/>
    </xf>
    <xf numFmtId="0" fontId="88" fillId="26" borderId="0" xfId="45" applyFont="1" applyFill="1" applyBorder="1" applyAlignment="1">
      <alignment horizontal="center" vertical="top"/>
    </xf>
    <xf numFmtId="0" fontId="88" fillId="26" borderId="0" xfId="45" applyFont="1" applyFill="1" applyBorder="1" applyAlignment="1">
      <alignment vertical="top"/>
    </xf>
    <xf numFmtId="0" fontId="92" fillId="26" borderId="0" xfId="0" applyFont="1" applyFill="1" applyBorder="1" applyAlignment="1">
      <alignment horizontal="center" vertical="top"/>
    </xf>
    <xf numFmtId="0" fontId="92" fillId="26" borderId="0" xfId="0" applyFont="1" applyFill="1" applyBorder="1" applyAlignment="1">
      <alignment vertical="top" wrapText="1"/>
    </xf>
    <xf numFmtId="0" fontId="92" fillId="26" borderId="0" xfId="0" applyFont="1" applyFill="1" applyBorder="1" applyAlignment="1">
      <alignment vertical="top"/>
    </xf>
    <xf numFmtId="0" fontId="3" fillId="45" borderId="0" xfId="0" applyFont="1" applyFill="1" applyAlignment="1">
      <alignment horizontal="right" vertical="center" wrapText="1"/>
    </xf>
    <xf numFmtId="0" fontId="3" fillId="17" borderId="0" xfId="0" applyFont="1" applyFill="1"/>
    <xf numFmtId="3" fontId="8" fillId="24" borderId="0" xfId="0" applyNumberFormat="1" applyFont="1" applyFill="1" applyBorder="1" applyAlignment="1">
      <alignment horizontal="center" vertical="center"/>
    </xf>
    <xf numFmtId="0" fontId="6" fillId="32" borderId="0" xfId="0" applyFont="1" applyFill="1" applyBorder="1"/>
    <xf numFmtId="0" fontId="46" fillId="17" borderId="0" xfId="0" applyFont="1" applyFill="1" applyBorder="1" applyAlignment="1">
      <alignment horizontal="center" vertical="top"/>
    </xf>
    <xf numFmtId="0" fontId="12" fillId="24" borderId="130" xfId="0" applyFont="1" applyFill="1" applyBorder="1"/>
    <xf numFmtId="3" fontId="8" fillId="24" borderId="0" xfId="0" applyNumberFormat="1" applyFont="1" applyFill="1" applyBorder="1" applyAlignment="1">
      <alignment horizontal="center" vertical="center"/>
    </xf>
    <xf numFmtId="3" fontId="11" fillId="24" borderId="0" xfId="0" applyNumberFormat="1" applyFont="1" applyFill="1" applyBorder="1" applyAlignment="1">
      <alignment horizontal="right" vertical="center" indent="1"/>
    </xf>
    <xf numFmtId="0" fontId="12" fillId="19" borderId="0" xfId="0" applyFont="1" applyFill="1" applyBorder="1" applyAlignment="1">
      <alignment horizontal="center"/>
    </xf>
    <xf numFmtId="0" fontId="11" fillId="19" borderId="0" xfId="0" applyFont="1" applyFill="1" applyBorder="1" applyAlignment="1">
      <alignment horizontal="center"/>
    </xf>
    <xf numFmtId="0" fontId="0" fillId="19" borderId="23" xfId="61" applyFont="1" applyFill="1" applyBorder="1" applyProtection="1"/>
    <xf numFmtId="0" fontId="0" fillId="0" borderId="0" xfId="61" applyFont="1" applyProtection="1"/>
    <xf numFmtId="0" fontId="6" fillId="0" borderId="0" xfId="61" applyFont="1" applyProtection="1"/>
    <xf numFmtId="0" fontId="45" fillId="0" borderId="0" xfId="61" applyFont="1" applyProtection="1"/>
    <xf numFmtId="170" fontId="45" fillId="0" borderId="0" xfId="61" applyNumberFormat="1" applyFont="1" applyProtection="1"/>
    <xf numFmtId="0" fontId="46" fillId="17" borderId="0" xfId="61" applyFont="1" applyFill="1" applyProtection="1"/>
    <xf numFmtId="0" fontId="0" fillId="0" borderId="0" xfId="61" applyFont="1" applyBorder="1" applyProtection="1"/>
    <xf numFmtId="0" fontId="46" fillId="17" borderId="0" xfId="61" applyFont="1" applyFill="1" applyBorder="1" applyProtection="1"/>
    <xf numFmtId="0" fontId="114" fillId="19" borderId="0" xfId="61" applyFont="1" applyFill="1" applyBorder="1" applyAlignment="1" applyProtection="1">
      <alignment horizontal="left" vertical="center"/>
    </xf>
    <xf numFmtId="0" fontId="36" fillId="0" borderId="0" xfId="61" applyFont="1" applyAlignment="1" applyProtection="1">
      <alignment vertical="center"/>
    </xf>
    <xf numFmtId="0" fontId="115" fillId="0" borderId="0" xfId="0" applyFont="1"/>
    <xf numFmtId="0" fontId="44" fillId="0" borderId="0" xfId="61" applyFont="1" applyAlignment="1" applyProtection="1">
      <alignment vertical="center"/>
    </xf>
    <xf numFmtId="0" fontId="44" fillId="17" borderId="0" xfId="61" applyFont="1" applyFill="1" applyBorder="1" applyAlignment="1" applyProtection="1">
      <alignment vertical="center"/>
    </xf>
    <xf numFmtId="0" fontId="34" fillId="19" borderId="15" xfId="61" applyFont="1" applyFill="1" applyBorder="1" applyAlignment="1" applyProtection="1">
      <alignment horizontal="left" vertical="center" wrapText="1"/>
    </xf>
    <xf numFmtId="0" fontId="34" fillId="17" borderId="38" xfId="61" applyNumberFormat="1" applyFont="1" applyFill="1" applyBorder="1" applyAlignment="1" applyProtection="1">
      <alignment vertical="center"/>
      <protection locked="0"/>
    </xf>
    <xf numFmtId="0" fontId="34" fillId="19" borderId="0" xfId="61" applyFont="1" applyFill="1" applyBorder="1" applyAlignment="1" applyProtection="1">
      <alignment horizontal="right" vertical="center" indent="1"/>
    </xf>
    <xf numFmtId="0" fontId="116" fillId="19" borderId="0" xfId="61" applyFont="1" applyFill="1" applyBorder="1" applyAlignment="1" applyProtection="1">
      <alignment horizontal="left" vertical="center"/>
    </xf>
    <xf numFmtId="0" fontId="36" fillId="19" borderId="0" xfId="61" applyFont="1" applyFill="1" applyBorder="1" applyAlignment="1" applyProtection="1">
      <alignment horizontal="right" vertical="center" indent="1"/>
    </xf>
    <xf numFmtId="0" fontId="34" fillId="19" borderId="0" xfId="61" applyFont="1" applyFill="1" applyBorder="1" applyAlignment="1" applyProtection="1">
      <alignment horizontal="left" vertical="center"/>
    </xf>
    <xf numFmtId="0" fontId="36" fillId="17" borderId="0" xfId="61" applyFont="1" applyFill="1" applyAlignment="1" applyProtection="1">
      <alignment vertical="center"/>
    </xf>
    <xf numFmtId="0" fontId="44" fillId="17" borderId="0" xfId="61" applyFont="1" applyFill="1" applyAlignment="1" applyProtection="1">
      <alignment vertical="center"/>
    </xf>
    <xf numFmtId="43" fontId="44" fillId="17" borderId="0" xfId="61" applyNumberFormat="1" applyFont="1" applyFill="1" applyAlignment="1" applyProtection="1">
      <alignment vertical="center"/>
    </xf>
    <xf numFmtId="0" fontId="0" fillId="17" borderId="0" xfId="61" applyFont="1" applyFill="1" applyProtection="1"/>
    <xf numFmtId="0" fontId="45" fillId="17" borderId="0" xfId="61" applyFont="1" applyFill="1" applyProtection="1"/>
    <xf numFmtId="170" fontId="45" fillId="17" borderId="0" xfId="61" applyNumberFormat="1" applyFont="1" applyFill="1" applyProtection="1"/>
    <xf numFmtId="0" fontId="0" fillId="19" borderId="15" xfId="61" applyFont="1" applyFill="1" applyBorder="1" applyProtection="1"/>
    <xf numFmtId="0" fontId="3" fillId="19" borderId="0" xfId="61" applyFont="1" applyFill="1" applyBorder="1" applyAlignment="1" applyProtection="1">
      <alignment horizontal="center"/>
    </xf>
    <xf numFmtId="0" fontId="3" fillId="19" borderId="0" xfId="61" applyFont="1" applyFill="1" applyBorder="1" applyAlignment="1" applyProtection="1">
      <alignment horizontal="center" vertical="center"/>
    </xf>
    <xf numFmtId="0" fontId="3" fillId="19" borderId="0" xfId="61" applyFont="1" applyFill="1" applyBorder="1" applyAlignment="1" applyProtection="1">
      <alignment horizontal="left" vertical="center"/>
    </xf>
    <xf numFmtId="0" fontId="0" fillId="19" borderId="0" xfId="61" applyFont="1" applyFill="1" applyBorder="1" applyProtection="1"/>
    <xf numFmtId="0" fontId="0" fillId="19" borderId="0" xfId="61" applyFont="1" applyFill="1" applyBorder="1" applyAlignment="1" applyProtection="1">
      <alignment horizontal="left" vertical="center"/>
    </xf>
    <xf numFmtId="0" fontId="45" fillId="19" borderId="0" xfId="61" applyFont="1" applyFill="1" applyBorder="1" applyAlignment="1" applyProtection="1">
      <alignment vertical="center"/>
    </xf>
    <xf numFmtId="0" fontId="117" fillId="19" borderId="0" xfId="61" applyFont="1" applyFill="1" applyBorder="1" applyAlignment="1" applyProtection="1">
      <alignment horizontal="left" vertical="top" wrapText="1"/>
    </xf>
    <xf numFmtId="0" fontId="0" fillId="19" borderId="0" xfId="61" applyFont="1" applyFill="1" applyBorder="1" applyAlignment="1" applyProtection="1">
      <alignment vertical="center"/>
    </xf>
    <xf numFmtId="3" fontId="118" fillId="19" borderId="0" xfId="61" applyNumberFormat="1" applyFont="1" applyFill="1" applyBorder="1" applyAlignment="1" applyProtection="1">
      <alignment horizontal="right" vertical="center"/>
    </xf>
    <xf numFmtId="0" fontId="118" fillId="19" borderId="0" xfId="61" applyFont="1" applyFill="1" applyBorder="1" applyAlignment="1" applyProtection="1">
      <alignment horizontal="right" vertical="center"/>
    </xf>
    <xf numFmtId="0" fontId="34" fillId="19" borderId="0" xfId="61" applyFont="1" applyFill="1" applyBorder="1" applyAlignment="1" applyProtection="1">
      <alignment vertical="center"/>
    </xf>
    <xf numFmtId="0" fontId="46" fillId="0" borderId="0" xfId="61" applyFont="1" applyAlignment="1" applyProtection="1">
      <alignment vertical="center"/>
    </xf>
    <xf numFmtId="3" fontId="119" fillId="19" borderId="0" xfId="61" applyNumberFormat="1" applyFont="1" applyFill="1" applyBorder="1" applyAlignment="1" applyProtection="1">
      <alignment horizontal="right" vertical="center"/>
    </xf>
    <xf numFmtId="0" fontId="8" fillId="19" borderId="0" xfId="61" applyFont="1" applyFill="1" applyBorder="1" applyAlignment="1" applyProtection="1">
      <alignment horizontal="left" vertical="center"/>
    </xf>
    <xf numFmtId="0" fontId="6" fillId="0" borderId="0" xfId="61" applyFont="1" applyBorder="1" applyProtection="1"/>
    <xf numFmtId="0" fontId="45" fillId="0" borderId="0" xfId="61" applyFont="1" applyBorder="1" applyProtection="1"/>
    <xf numFmtId="170" fontId="45" fillId="0" borderId="0" xfId="61" applyNumberFormat="1" applyFont="1" applyBorder="1" applyProtection="1"/>
    <xf numFmtId="0" fontId="0" fillId="25" borderId="25" xfId="0" applyFill="1" applyBorder="1"/>
    <xf numFmtId="2" fontId="92" fillId="25" borderId="0" xfId="0" applyNumberFormat="1" applyFont="1" applyFill="1" applyBorder="1"/>
    <xf numFmtId="169" fontId="92" fillId="25" borderId="0" xfId="0" applyNumberFormat="1" applyFont="1" applyFill="1" applyBorder="1"/>
    <xf numFmtId="1" fontId="92" fillId="25" borderId="0" xfId="0" applyNumberFormat="1" applyFont="1" applyFill="1" applyBorder="1"/>
    <xf numFmtId="0" fontId="82" fillId="25" borderId="0" xfId="0" applyFont="1" applyFill="1" applyBorder="1"/>
    <xf numFmtId="0" fontId="92" fillId="25" borderId="0" xfId="0" applyFont="1" applyFill="1"/>
    <xf numFmtId="0" fontId="3" fillId="17" borderId="0" xfId="61" applyFont="1" applyFill="1" applyBorder="1"/>
    <xf numFmtId="0" fontId="80" fillId="25" borderId="0" xfId="0" applyFont="1" applyFill="1" applyBorder="1"/>
    <xf numFmtId="0" fontId="2" fillId="25" borderId="0" xfId="61" applyFont="1" applyFill="1" applyBorder="1"/>
    <xf numFmtId="0" fontId="0" fillId="49" borderId="136" xfId="61" applyFont="1" applyFill="1" applyBorder="1"/>
    <xf numFmtId="3" fontId="11" fillId="19" borderId="140" xfId="0" applyNumberFormat="1" applyFont="1" applyFill="1" applyBorder="1" applyAlignment="1">
      <alignment horizontal="right" vertical="center" indent="1"/>
    </xf>
    <xf numFmtId="3" fontId="11" fillId="19" borderId="141" xfId="0" applyNumberFormat="1" applyFont="1" applyFill="1" applyBorder="1" applyAlignment="1">
      <alignment horizontal="right" vertical="center" indent="1"/>
    </xf>
    <xf numFmtId="3" fontId="12" fillId="17" borderId="138" xfId="0" applyNumberFormat="1" applyFont="1" applyFill="1" applyBorder="1" applyAlignment="1">
      <alignment horizontal="right" vertical="center" indent="1"/>
    </xf>
    <xf numFmtId="0" fontId="12" fillId="32" borderId="138" xfId="0" applyFont="1" applyFill="1" applyBorder="1"/>
    <xf numFmtId="0" fontId="12" fillId="32" borderId="0" xfId="0" applyFont="1" applyFill="1" applyBorder="1" applyAlignment="1">
      <alignment horizontal="right"/>
    </xf>
    <xf numFmtId="0" fontId="12" fillId="32" borderId="22" xfId="0" applyFont="1" applyFill="1" applyBorder="1"/>
    <xf numFmtId="3" fontId="12" fillId="17" borderId="139" xfId="0" applyNumberFormat="1" applyFont="1" applyFill="1" applyBorder="1" applyAlignment="1">
      <alignment horizontal="right" vertical="center" indent="1"/>
    </xf>
    <xf numFmtId="3" fontId="12" fillId="19" borderId="103" xfId="0" applyNumberFormat="1" applyFont="1" applyFill="1" applyBorder="1" applyAlignment="1">
      <alignment horizontal="right" vertical="center" indent="1"/>
    </xf>
    <xf numFmtId="3" fontId="12" fillId="24" borderId="0" xfId="0" applyNumberFormat="1" applyFont="1" applyFill="1" applyBorder="1" applyAlignment="1">
      <alignment horizontal="center" vertical="top"/>
    </xf>
    <xf numFmtId="0" fontId="12" fillId="24" borderId="138" xfId="0" applyFont="1" applyFill="1" applyBorder="1"/>
    <xf numFmtId="0" fontId="34" fillId="17" borderId="142" xfId="61" applyNumberFormat="1" applyFont="1" applyFill="1" applyBorder="1" applyAlignment="1" applyProtection="1">
      <alignment vertical="center"/>
    </xf>
    <xf numFmtId="0" fontId="0" fillId="0" borderId="0" xfId="0" applyAlignment="1">
      <alignment wrapText="1"/>
    </xf>
    <xf numFmtId="0" fontId="82" fillId="43" borderId="26" xfId="0" applyFont="1" applyFill="1" applyBorder="1" applyProtection="1">
      <protection locked="0"/>
    </xf>
    <xf numFmtId="0" fontId="6" fillId="43" borderId="16" xfId="0" applyFont="1" applyFill="1" applyBorder="1" applyProtection="1">
      <protection locked="0"/>
    </xf>
    <xf numFmtId="0" fontId="56" fillId="43" borderId="16" xfId="0" applyFont="1" applyFill="1" applyBorder="1" applyProtection="1">
      <protection locked="0"/>
    </xf>
    <xf numFmtId="0" fontId="6" fillId="43" borderId="17" xfId="0" applyFont="1" applyFill="1" applyBorder="1" applyProtection="1">
      <protection locked="0"/>
    </xf>
    <xf numFmtId="0" fontId="6" fillId="43" borderId="0" xfId="0" applyFont="1" applyFill="1" applyBorder="1" applyProtection="1">
      <protection locked="0"/>
    </xf>
    <xf numFmtId="0" fontId="6" fillId="43" borderId="0" xfId="0" applyFont="1" applyFill="1" applyAlignment="1" applyProtection="1">
      <alignment horizontal="center"/>
      <protection locked="0"/>
    </xf>
    <xf numFmtId="0" fontId="6" fillId="43" borderId="0" xfId="0" applyFont="1" applyFill="1" applyBorder="1"/>
    <xf numFmtId="0" fontId="6" fillId="43" borderId="0" xfId="0" applyFont="1" applyFill="1" applyAlignment="1">
      <alignment horizontal="center"/>
    </xf>
    <xf numFmtId="0" fontId="81" fillId="43" borderId="0" xfId="0" applyFont="1" applyFill="1" applyBorder="1"/>
    <xf numFmtId="0" fontId="82" fillId="43" borderId="23" xfId="0" applyFont="1" applyFill="1" applyBorder="1" applyProtection="1">
      <protection locked="0"/>
    </xf>
    <xf numFmtId="0" fontId="0" fillId="43" borderId="0" xfId="0" applyNumberFormat="1" applyFill="1" applyBorder="1" applyAlignment="1" applyProtection="1">
      <alignment horizontal="center"/>
      <protection locked="0"/>
    </xf>
    <xf numFmtId="0" fontId="0" fillId="43" borderId="0" xfId="0" applyFill="1" applyBorder="1" applyAlignment="1" applyProtection="1">
      <alignment horizontal="center"/>
      <protection locked="0"/>
    </xf>
    <xf numFmtId="0" fontId="6" fillId="43" borderId="15" xfId="0" applyFont="1" applyFill="1" applyBorder="1" applyProtection="1">
      <protection locked="0"/>
    </xf>
    <xf numFmtId="0" fontId="0" fillId="43" borderId="0" xfId="0" applyFill="1" applyBorder="1" applyProtection="1">
      <protection locked="0"/>
    </xf>
    <xf numFmtId="0" fontId="0" fillId="43" borderId="0" xfId="0" applyNumberFormat="1" applyFill="1" applyBorder="1" applyProtection="1">
      <protection locked="0"/>
    </xf>
    <xf numFmtId="0" fontId="81" fillId="43" borderId="0" xfId="0" applyFont="1" applyFill="1" applyBorder="1" applyProtection="1">
      <protection locked="0"/>
    </xf>
    <xf numFmtId="0" fontId="0" fillId="43" borderId="23" xfId="0" applyFill="1" applyBorder="1" applyProtection="1">
      <protection locked="0"/>
    </xf>
    <xf numFmtId="0" fontId="82" fillId="43" borderId="24" xfId="0" applyFont="1" applyFill="1" applyBorder="1" applyProtection="1">
      <protection locked="0"/>
    </xf>
    <xf numFmtId="0" fontId="6" fillId="43" borderId="25" xfId="0" applyFont="1" applyFill="1" applyBorder="1" applyProtection="1">
      <protection locked="0"/>
    </xf>
    <xf numFmtId="0" fontId="3" fillId="43" borderId="25" xfId="0" applyFont="1" applyFill="1" applyBorder="1" applyAlignment="1" applyProtection="1">
      <alignment horizontal="right"/>
      <protection locked="0"/>
    </xf>
    <xf numFmtId="0" fontId="2" fillId="43" borderId="25" xfId="0" applyFont="1" applyFill="1" applyBorder="1" applyAlignment="1" applyProtection="1">
      <alignment horizontal="left"/>
      <protection locked="0"/>
    </xf>
    <xf numFmtId="0" fontId="6" fillId="43" borderId="27" xfId="0" applyFont="1" applyFill="1" applyBorder="1" applyProtection="1">
      <protection locked="0"/>
    </xf>
    <xf numFmtId="0" fontId="82" fillId="43" borderId="23" xfId="0" applyFont="1" applyFill="1" applyBorder="1"/>
    <xf numFmtId="0" fontId="6" fillId="43" borderId="15" xfId="0" applyFont="1" applyFill="1" applyBorder="1"/>
    <xf numFmtId="0" fontId="6" fillId="43" borderId="0" xfId="0" applyFont="1" applyFill="1" applyBorder="1" applyAlignment="1">
      <alignment vertical="top"/>
    </xf>
    <xf numFmtId="3" fontId="6" fillId="43" borderId="0" xfId="0" applyNumberFormat="1" applyFont="1" applyFill="1" applyBorder="1" applyAlignment="1">
      <alignment horizontal="right" vertical="center" indent="1"/>
    </xf>
    <xf numFmtId="3" fontId="9" fillId="43" borderId="0" xfId="0" applyNumberFormat="1" applyFont="1" applyFill="1" applyBorder="1" applyAlignment="1">
      <alignment horizontal="left" vertical="center" indent="1"/>
    </xf>
    <xf numFmtId="3" fontId="9" fillId="43" borderId="0" xfId="0" applyNumberFormat="1" applyFont="1" applyFill="1" applyBorder="1" applyAlignment="1">
      <alignment horizontal="right" vertical="center" indent="1"/>
    </xf>
    <xf numFmtId="3" fontId="10" fillId="43" borderId="0" xfId="0" applyNumberFormat="1" applyFont="1" applyFill="1" applyBorder="1" applyAlignment="1">
      <alignment horizontal="right" vertical="center" indent="1"/>
    </xf>
    <xf numFmtId="0" fontId="0" fillId="43" borderId="0" xfId="0" applyFill="1" applyBorder="1"/>
    <xf numFmtId="0" fontId="0" fillId="43" borderId="15" xfId="0" applyFill="1" applyBorder="1"/>
    <xf numFmtId="0" fontId="6" fillId="43" borderId="0" xfId="0" applyFont="1" applyFill="1" applyBorder="1" applyAlignment="1">
      <alignment horizontal="left"/>
    </xf>
    <xf numFmtId="3" fontId="76" fillId="43" borderId="0" xfId="0" applyNumberFormat="1" applyFont="1" applyFill="1" applyBorder="1" applyAlignment="1">
      <alignment horizontal="left" vertical="center" indent="1"/>
    </xf>
    <xf numFmtId="3" fontId="57" fillId="43" borderId="0" xfId="0" applyNumberFormat="1" applyFont="1" applyFill="1" applyBorder="1" applyAlignment="1">
      <alignment horizontal="left" vertical="center" indent="1"/>
    </xf>
    <xf numFmtId="3" fontId="8" fillId="43" borderId="0" xfId="0" applyNumberFormat="1" applyFont="1" applyFill="1" applyBorder="1" applyAlignment="1">
      <alignment horizontal="right" vertical="center" indent="1"/>
    </xf>
    <xf numFmtId="0" fontId="45" fillId="43" borderId="61" xfId="0" applyFont="1" applyFill="1" applyBorder="1" applyAlignment="1">
      <alignment horizontal="center"/>
    </xf>
    <xf numFmtId="0" fontId="45" fillId="43" borderId="63" xfId="0" applyFont="1" applyFill="1" applyBorder="1" applyAlignment="1">
      <alignment horizontal="center"/>
    </xf>
    <xf numFmtId="0" fontId="45" fillId="43" borderId="62" xfId="0" applyFont="1" applyFill="1" applyBorder="1" applyAlignment="1">
      <alignment horizontal="center"/>
    </xf>
    <xf numFmtId="1" fontId="45" fillId="43" borderId="62" xfId="0" applyNumberFormat="1" applyFont="1" applyFill="1" applyBorder="1" applyAlignment="1">
      <alignment horizontal="center"/>
    </xf>
    <xf numFmtId="0" fontId="12" fillId="43" borderId="0" xfId="0" applyFont="1" applyFill="1" applyBorder="1"/>
    <xf numFmtId="0" fontId="49" fillId="43" borderId="0" xfId="0" applyFont="1" applyFill="1" applyBorder="1"/>
    <xf numFmtId="1" fontId="45" fillId="43" borderId="63" xfId="0" applyNumberFormat="1" applyFont="1" applyFill="1" applyBorder="1" applyAlignment="1">
      <alignment horizontal="center"/>
    </xf>
    <xf numFmtId="0" fontId="8" fillId="43" borderId="0" xfId="0" applyFont="1" applyFill="1" applyBorder="1" applyAlignment="1"/>
    <xf numFmtId="3" fontId="6" fillId="43" borderId="0" xfId="0" applyNumberFormat="1" applyFont="1" applyFill="1" applyBorder="1" applyAlignment="1">
      <alignment horizontal="left" vertical="center" indent="1"/>
    </xf>
    <xf numFmtId="0" fontId="82" fillId="43" borderId="71" xfId="0" applyFont="1" applyFill="1" applyBorder="1"/>
    <xf numFmtId="0" fontId="6" fillId="43" borderId="34" xfId="0" applyFont="1" applyFill="1" applyBorder="1"/>
    <xf numFmtId="3" fontId="50" fillId="43" borderId="34" xfId="0" applyNumberFormat="1" applyFont="1" applyFill="1" applyBorder="1" applyAlignment="1">
      <alignment horizontal="right" vertical="center"/>
    </xf>
    <xf numFmtId="3" fontId="9" fillId="43" borderId="34" xfId="0" applyNumberFormat="1" applyFont="1" applyFill="1" applyBorder="1" applyAlignment="1">
      <alignment horizontal="right" vertical="center"/>
    </xf>
    <xf numFmtId="3" fontId="54" fillId="43" borderId="34" xfId="0" applyNumberFormat="1" applyFont="1" applyFill="1" applyBorder="1" applyAlignment="1">
      <alignment horizontal="left" vertical="center" indent="1"/>
    </xf>
    <xf numFmtId="3" fontId="6" fillId="43" borderId="34" xfId="0" applyNumberFormat="1" applyFont="1" applyFill="1" applyBorder="1" applyAlignment="1">
      <alignment horizontal="left" vertical="center" indent="1"/>
    </xf>
    <xf numFmtId="3" fontId="6" fillId="43" borderId="34" xfId="0" applyNumberFormat="1" applyFont="1" applyFill="1" applyBorder="1" applyAlignment="1">
      <alignment horizontal="right" vertical="center" indent="1"/>
    </xf>
    <xf numFmtId="0" fontId="6" fillId="43" borderId="35" xfId="0" applyFont="1" applyFill="1" applyBorder="1"/>
    <xf numFmtId="0" fontId="82" fillId="43" borderId="72" xfId="0" applyFont="1" applyFill="1" applyBorder="1"/>
    <xf numFmtId="0" fontId="6" fillId="43" borderId="36" xfId="0" applyFont="1" applyFill="1" applyBorder="1"/>
    <xf numFmtId="3" fontId="50" fillId="43" borderId="36" xfId="0" applyNumberFormat="1" applyFont="1" applyFill="1" applyBorder="1" applyAlignment="1">
      <alignment horizontal="right" vertical="center"/>
    </xf>
    <xf numFmtId="3" fontId="9" fillId="43" borderId="36" xfId="0" applyNumberFormat="1" applyFont="1" applyFill="1" applyBorder="1" applyAlignment="1">
      <alignment horizontal="right" vertical="center"/>
    </xf>
    <xf numFmtId="3" fontId="54" fillId="43" borderId="36" xfId="0" applyNumberFormat="1" applyFont="1" applyFill="1" applyBorder="1" applyAlignment="1">
      <alignment horizontal="left" vertical="center" indent="1"/>
    </xf>
    <xf numFmtId="3" fontId="6" fillId="43" borderId="36" xfId="0" applyNumberFormat="1" applyFont="1" applyFill="1" applyBorder="1" applyAlignment="1">
      <alignment horizontal="left" vertical="center" indent="1"/>
    </xf>
    <xf numFmtId="3" fontId="6" fillId="43" borderId="36" xfId="0" applyNumberFormat="1" applyFont="1" applyFill="1" applyBorder="1" applyAlignment="1">
      <alignment horizontal="right" vertical="center" indent="1"/>
    </xf>
    <xf numFmtId="0" fontId="6" fillId="43" borderId="37" xfId="0" applyFont="1" applyFill="1" applyBorder="1"/>
    <xf numFmtId="3" fontId="83" fillId="43" borderId="23" xfId="0" applyNumberFormat="1" applyFont="1" applyFill="1" applyBorder="1"/>
    <xf numFmtId="0" fontId="47" fillId="43" borderId="44" xfId="0" applyFont="1" applyFill="1" applyBorder="1" applyAlignment="1">
      <alignment horizontal="left"/>
    </xf>
    <xf numFmtId="0" fontId="47" fillId="43" borderId="36" xfId="0" applyFont="1" applyFill="1" applyBorder="1" applyAlignment="1">
      <alignment horizontal="left"/>
    </xf>
    <xf numFmtId="0" fontId="47" fillId="43" borderId="36" xfId="0" applyFont="1" applyFill="1" applyBorder="1"/>
    <xf numFmtId="0" fontId="47" fillId="43" borderId="40" xfId="0" applyFont="1" applyFill="1" applyBorder="1"/>
    <xf numFmtId="0" fontId="47" fillId="43" borderId="43" xfId="0" applyFont="1" applyFill="1" applyBorder="1" applyAlignment="1">
      <alignment horizontal="left"/>
    </xf>
    <xf numFmtId="0" fontId="47" fillId="43" borderId="0" xfId="0" applyFont="1" applyFill="1" applyBorder="1" applyAlignment="1">
      <alignment horizontal="left"/>
    </xf>
    <xf numFmtId="0" fontId="47" fillId="43" borderId="0" xfId="0" applyFont="1" applyFill="1" applyBorder="1"/>
    <xf numFmtId="0" fontId="47" fillId="43" borderId="41" xfId="0" applyFont="1" applyFill="1" applyBorder="1"/>
    <xf numFmtId="1" fontId="84" fillId="43" borderId="23" xfId="0" applyNumberFormat="1" applyFont="1" applyFill="1" applyBorder="1" applyAlignment="1">
      <alignment horizontal="right"/>
    </xf>
    <xf numFmtId="3" fontId="47" fillId="43" borderId="0" xfId="0" applyNumberFormat="1" applyFont="1" applyFill="1" applyBorder="1" applyAlignment="1">
      <alignment horizontal="right" vertical="center"/>
    </xf>
    <xf numFmtId="3" fontId="62" fillId="43" borderId="0" xfId="0" applyNumberFormat="1" applyFont="1" applyFill="1" applyBorder="1" applyAlignment="1">
      <alignment horizontal="left" vertical="center" indent="1"/>
    </xf>
    <xf numFmtId="3" fontId="47" fillId="43" borderId="0" xfId="0" applyNumberFormat="1" applyFont="1" applyFill="1" applyBorder="1" applyAlignment="1">
      <alignment horizontal="left" vertical="center" indent="1"/>
    </xf>
    <xf numFmtId="3" fontId="47" fillId="43" borderId="0" xfId="0" applyNumberFormat="1" applyFont="1" applyFill="1" applyBorder="1" applyAlignment="1">
      <alignment horizontal="right" vertical="center" indent="1"/>
    </xf>
    <xf numFmtId="0" fontId="51" fillId="43" borderId="34" xfId="0" applyFont="1" applyFill="1" applyBorder="1" applyAlignment="1">
      <alignment horizontal="left"/>
    </xf>
    <xf numFmtId="0" fontId="51" fillId="43" borderId="34" xfId="0" applyFont="1" applyFill="1" applyBorder="1"/>
    <xf numFmtId="0" fontId="51" fillId="43" borderId="42" xfId="0" applyFont="1" applyFill="1" applyBorder="1"/>
    <xf numFmtId="0" fontId="82" fillId="43" borderId="24" xfId="0" applyFont="1" applyFill="1" applyBorder="1"/>
    <xf numFmtId="0" fontId="6" fillId="43" borderId="25" xfId="0" applyFont="1" applyFill="1" applyBorder="1"/>
    <xf numFmtId="3" fontId="6" fillId="43" borderId="25" xfId="0" applyNumberFormat="1" applyFont="1" applyFill="1" applyBorder="1" applyAlignment="1">
      <alignment horizontal="left" vertical="center" indent="1"/>
    </xf>
    <xf numFmtId="3" fontId="6" fillId="43" borderId="25" xfId="0" applyNumberFormat="1" applyFont="1" applyFill="1" applyBorder="1" applyAlignment="1">
      <alignment horizontal="right" vertical="center" indent="1"/>
    </xf>
    <xf numFmtId="3" fontId="54" fillId="43" borderId="25" xfId="0" applyNumberFormat="1" applyFont="1" applyFill="1" applyBorder="1" applyAlignment="1">
      <alignment horizontal="left" vertical="center" indent="1"/>
    </xf>
    <xf numFmtId="0" fontId="6" fillId="43" borderId="27" xfId="0" applyFont="1" applyFill="1" applyBorder="1"/>
    <xf numFmtId="3" fontId="6" fillId="43" borderId="0" xfId="0" applyNumberFormat="1" applyFont="1" applyFill="1" applyBorder="1" applyAlignment="1">
      <alignment horizontal="right" vertical="center"/>
    </xf>
    <xf numFmtId="4" fontId="6" fillId="43" borderId="0" xfId="0" applyNumberFormat="1" applyFont="1" applyFill="1" applyBorder="1" applyAlignment="1">
      <alignment horizontal="left" vertical="center"/>
    </xf>
    <xf numFmtId="0" fontId="8" fillId="43" borderId="0" xfId="0" applyFont="1" applyFill="1" applyBorder="1"/>
    <xf numFmtId="0" fontId="76" fillId="43" borderId="0" xfId="0" applyFont="1" applyFill="1" applyBorder="1"/>
    <xf numFmtId="3" fontId="6" fillId="43" borderId="0" xfId="0" applyNumberFormat="1" applyFont="1" applyFill="1" applyBorder="1" applyAlignment="1">
      <alignment horizontal="right" vertical="top"/>
    </xf>
    <xf numFmtId="0" fontId="11" fillId="43" borderId="0" xfId="0" applyFont="1" applyFill="1" applyBorder="1"/>
    <xf numFmtId="0" fontId="6" fillId="43" borderId="0" xfId="0" applyFont="1" applyFill="1"/>
    <xf numFmtId="0" fontId="6" fillId="43" borderId="0" xfId="0" applyFont="1" applyFill="1" applyBorder="1" applyAlignment="1">
      <alignment wrapText="1"/>
    </xf>
    <xf numFmtId="1" fontId="45" fillId="43" borderId="61" xfId="0" applyNumberFormat="1" applyFont="1" applyFill="1" applyBorder="1" applyAlignment="1">
      <alignment horizontal="center"/>
    </xf>
    <xf numFmtId="3" fontId="6" fillId="43" borderId="0" xfId="0" applyNumberFormat="1" applyFont="1" applyFill="1" applyBorder="1" applyAlignment="1">
      <alignment vertical="center"/>
    </xf>
    <xf numFmtId="0" fontId="11" fillId="43" borderId="0" xfId="0" applyFont="1" applyFill="1" applyBorder="1" applyAlignment="1">
      <alignment horizontal="right"/>
    </xf>
    <xf numFmtId="0" fontId="8" fillId="43" borderId="0" xfId="0" applyFont="1" applyFill="1" applyBorder="1" applyAlignment="1">
      <alignment horizontal="right"/>
    </xf>
    <xf numFmtId="3" fontId="81" fillId="43" borderId="0" xfId="0" applyNumberFormat="1" applyFont="1" applyFill="1" applyBorder="1" applyAlignment="1">
      <alignment vertical="center"/>
    </xf>
    <xf numFmtId="0" fontId="6" fillId="43" borderId="18" xfId="0" applyFont="1" applyFill="1" applyBorder="1"/>
    <xf numFmtId="0" fontId="6" fillId="43" borderId="19" xfId="0" applyFont="1" applyFill="1" applyBorder="1"/>
    <xf numFmtId="3" fontId="6" fillId="43" borderId="19" xfId="0" applyNumberFormat="1" applyFont="1" applyFill="1" applyBorder="1" applyAlignment="1">
      <alignment vertical="center"/>
    </xf>
    <xf numFmtId="0" fontId="6" fillId="43" borderId="64" xfId="0" applyFont="1" applyFill="1" applyBorder="1"/>
    <xf numFmtId="0" fontId="6" fillId="43" borderId="20" xfId="0" applyFont="1" applyFill="1" applyBorder="1"/>
    <xf numFmtId="0" fontId="6" fillId="43" borderId="65" xfId="0" applyFont="1" applyFill="1" applyBorder="1"/>
    <xf numFmtId="0" fontId="6" fillId="43" borderId="21" xfId="0" applyFont="1" applyFill="1" applyBorder="1"/>
    <xf numFmtId="0" fontId="6" fillId="43" borderId="22" xfId="0" applyFont="1" applyFill="1" applyBorder="1"/>
    <xf numFmtId="0" fontId="6" fillId="43" borderId="66" xfId="0" applyFont="1" applyFill="1" applyBorder="1"/>
    <xf numFmtId="0" fontId="6" fillId="43" borderId="23" xfId="0" applyFont="1" applyFill="1" applyBorder="1"/>
    <xf numFmtId="0" fontId="58" fillId="43" borderId="44" xfId="0" applyFont="1" applyFill="1" applyBorder="1"/>
    <xf numFmtId="0" fontId="58" fillId="43" borderId="36" xfId="0" applyFont="1" applyFill="1" applyBorder="1" applyAlignment="1">
      <alignment horizontal="left"/>
    </xf>
    <xf numFmtId="0" fontId="58" fillId="43" borderId="36" xfId="0" applyFont="1" applyFill="1" applyBorder="1"/>
    <xf numFmtId="0" fontId="58" fillId="43" borderId="43" xfId="0" applyFont="1" applyFill="1" applyBorder="1"/>
    <xf numFmtId="0" fontId="58" fillId="43" borderId="0" xfId="0" applyFont="1" applyFill="1" applyBorder="1" applyAlignment="1">
      <alignment horizontal="left"/>
    </xf>
    <xf numFmtId="0" fontId="58" fillId="43" borderId="0" xfId="0" applyFont="1" applyFill="1" applyBorder="1"/>
    <xf numFmtId="1" fontId="112" fillId="43" borderId="23" xfId="0" applyNumberFormat="1" applyFont="1" applyFill="1" applyBorder="1" applyAlignment="1">
      <alignment horizontal="right"/>
    </xf>
    <xf numFmtId="3" fontId="50" fillId="43" borderId="0" xfId="0" applyNumberFormat="1" applyFont="1" applyFill="1" applyAlignment="1">
      <alignment horizontal="center"/>
    </xf>
    <xf numFmtId="0" fontId="8" fillId="43" borderId="34" xfId="0" applyFont="1" applyFill="1" applyBorder="1"/>
    <xf numFmtId="0" fontId="82" fillId="43" borderId="26" xfId="0" applyFont="1" applyFill="1" applyBorder="1"/>
    <xf numFmtId="0" fontId="6" fillId="43" borderId="16" xfId="0" applyFont="1" applyFill="1" applyBorder="1"/>
    <xf numFmtId="0" fontId="6" fillId="43" borderId="17" xfId="0" applyFont="1" applyFill="1" applyBorder="1"/>
    <xf numFmtId="0" fontId="85" fillId="43" borderId="23" xfId="0" applyFont="1" applyFill="1" applyBorder="1"/>
    <xf numFmtId="2" fontId="0" fillId="43" borderId="0" xfId="0" applyNumberFormat="1" applyFill="1" applyBorder="1" applyAlignment="1">
      <alignment horizontal="left"/>
    </xf>
    <xf numFmtId="0" fontId="83" fillId="43" borderId="23" xfId="0" applyFont="1" applyFill="1" applyBorder="1"/>
    <xf numFmtId="0" fontId="76" fillId="43" borderId="15" xfId="0" applyFont="1" applyFill="1" applyBorder="1"/>
    <xf numFmtId="0" fontId="94" fillId="43" borderId="0" xfId="0" applyFont="1" applyFill="1" applyBorder="1"/>
    <xf numFmtId="0" fontId="2" fillId="43" borderId="0" xfId="0" applyFont="1" applyFill="1" applyBorder="1"/>
    <xf numFmtId="3" fontId="0" fillId="43" borderId="0" xfId="0" applyNumberFormat="1" applyFill="1" applyBorder="1"/>
    <xf numFmtId="3" fontId="59" fillId="43" borderId="0" xfId="0" applyNumberFormat="1" applyFont="1" applyFill="1" applyBorder="1"/>
    <xf numFmtId="3" fontId="93" fillId="43" borderId="0" xfId="0" applyNumberFormat="1" applyFont="1" applyFill="1" applyBorder="1" applyAlignment="1">
      <alignment horizontal="right" vertical="center" indent="1"/>
    </xf>
    <xf numFmtId="3" fontId="6" fillId="43" borderId="0" xfId="0" applyNumberFormat="1" applyFont="1" applyFill="1" applyBorder="1"/>
    <xf numFmtId="3" fontId="94" fillId="43" borderId="0" xfId="0" applyNumberFormat="1" applyFont="1" applyFill="1" applyBorder="1"/>
    <xf numFmtId="3" fontId="6" fillId="43" borderId="19" xfId="0" applyNumberFormat="1" applyFont="1" applyFill="1" applyBorder="1" applyAlignment="1">
      <alignment horizontal="right" vertical="center" indent="1"/>
    </xf>
    <xf numFmtId="0" fontId="57" fillId="43" borderId="44" xfId="0" applyFont="1" applyFill="1" applyBorder="1" applyAlignment="1">
      <alignment horizontal="left"/>
    </xf>
    <xf numFmtId="0" fontId="57" fillId="43" borderId="36" xfId="0" applyFont="1" applyFill="1" applyBorder="1" applyAlignment="1">
      <alignment horizontal="left"/>
    </xf>
    <xf numFmtId="0" fontId="57" fillId="43" borderId="36" xfId="0" applyFont="1" applyFill="1" applyBorder="1"/>
    <xf numFmtId="0" fontId="6" fillId="43" borderId="40" xfId="0" applyFont="1" applyFill="1" applyBorder="1"/>
    <xf numFmtId="0" fontId="57" fillId="43" borderId="43" xfId="0" applyFont="1" applyFill="1" applyBorder="1" applyAlignment="1">
      <alignment horizontal="left"/>
    </xf>
    <xf numFmtId="0" fontId="57" fillId="43" borderId="0" xfId="0" applyFont="1" applyFill="1" applyBorder="1" applyAlignment="1">
      <alignment horizontal="left"/>
    </xf>
    <xf numFmtId="0" fontId="57" fillId="43" borderId="0" xfId="0" applyFont="1" applyFill="1" applyBorder="1"/>
    <xf numFmtId="0" fontId="6" fillId="43" borderId="41" xfId="0" applyFont="1" applyFill="1" applyBorder="1"/>
    <xf numFmtId="0" fontId="57" fillId="43" borderId="34" xfId="0" applyFont="1" applyFill="1" applyBorder="1" applyAlignment="1">
      <alignment horizontal="left"/>
    </xf>
    <xf numFmtId="0" fontId="57" fillId="43" borderId="34" xfId="0" applyFont="1" applyFill="1" applyBorder="1"/>
    <xf numFmtId="0" fontId="6" fillId="43" borderId="42" xfId="0" applyFont="1" applyFill="1" applyBorder="1"/>
    <xf numFmtId="0" fontId="85" fillId="43" borderId="26" xfId="0" applyFont="1" applyFill="1" applyBorder="1"/>
    <xf numFmtId="0" fontId="0" fillId="43" borderId="16" xfId="0" applyFill="1" applyBorder="1" applyAlignment="1"/>
    <xf numFmtId="0" fontId="0" fillId="43" borderId="17" xfId="0" applyFill="1" applyBorder="1" applyAlignment="1"/>
    <xf numFmtId="0" fontId="11" fillId="43" borderId="0" xfId="0" applyFont="1" applyFill="1" applyBorder="1" applyAlignment="1">
      <alignment vertical="center"/>
    </xf>
    <xf numFmtId="0" fontId="55" fillId="43" borderId="0" xfId="0" applyFont="1" applyFill="1" applyBorder="1"/>
    <xf numFmtId="0" fontId="82" fillId="43" borderId="23" xfId="0" applyFont="1" applyFill="1" applyBorder="1" applyAlignment="1">
      <alignment vertical="center"/>
    </xf>
    <xf numFmtId="0" fontId="0" fillId="43" borderId="0" xfId="0" applyFill="1" applyBorder="1" applyAlignment="1">
      <alignment vertical="center"/>
    </xf>
    <xf numFmtId="0" fontId="0" fillId="43" borderId="15" xfId="0" applyFill="1" applyBorder="1" applyAlignment="1">
      <alignment vertical="center"/>
    </xf>
    <xf numFmtId="0" fontId="6" fillId="43" borderId="0" xfId="0" applyFont="1" applyFill="1" applyBorder="1" applyAlignment="1">
      <alignment vertical="center"/>
    </xf>
    <xf numFmtId="0" fontId="6" fillId="43" borderId="0" xfId="0" applyFont="1" applyFill="1" applyAlignment="1">
      <alignment horizontal="center" vertical="center"/>
    </xf>
    <xf numFmtId="0" fontId="0" fillId="43" borderId="0" xfId="0" applyFill="1" applyBorder="1" applyAlignment="1"/>
    <xf numFmtId="0" fontId="45" fillId="43" borderId="0" xfId="0" applyFont="1" applyFill="1" applyBorder="1"/>
    <xf numFmtId="0" fontId="0" fillId="43" borderId="45" xfId="0" applyFill="1" applyBorder="1"/>
    <xf numFmtId="0" fontId="6" fillId="43" borderId="45" xfId="0" applyFont="1" applyFill="1" applyBorder="1"/>
    <xf numFmtId="0" fontId="0" fillId="43" borderId="46" xfId="0" applyFill="1" applyBorder="1"/>
    <xf numFmtId="0" fontId="6" fillId="43" borderId="46" xfId="0" applyFont="1" applyFill="1" applyBorder="1"/>
    <xf numFmtId="0" fontId="49" fillId="43" borderId="0" xfId="0" applyFont="1" applyFill="1" applyBorder="1" applyAlignment="1">
      <alignment horizontal="right"/>
    </xf>
    <xf numFmtId="0" fontId="12" fillId="43" borderId="25" xfId="0" applyFont="1" applyFill="1" applyBorder="1"/>
    <xf numFmtId="0" fontId="0" fillId="43" borderId="25" xfId="0" applyFill="1" applyBorder="1"/>
    <xf numFmtId="0" fontId="86" fillId="43" borderId="0" xfId="0" applyFont="1" applyFill="1" applyBorder="1" applyAlignment="1">
      <alignment horizontal="left"/>
    </xf>
    <xf numFmtId="4" fontId="3" fillId="43" borderId="0" xfId="0" applyNumberFormat="1" applyFont="1" applyFill="1" applyBorder="1" applyAlignment="1">
      <alignment horizontal="right"/>
    </xf>
    <xf numFmtId="0" fontId="81" fillId="43" borderId="0" xfId="0" applyFont="1" applyFill="1"/>
    <xf numFmtId="0" fontId="81" fillId="43" borderId="0" xfId="0" applyFont="1" applyFill="1" applyAlignment="1">
      <alignment horizontal="center"/>
    </xf>
    <xf numFmtId="0" fontId="18" fillId="43" borderId="1" xfId="26" applyFill="1"/>
    <xf numFmtId="0" fontId="18" fillId="43" borderId="1" xfId="26" applyFill="1" applyAlignment="1">
      <alignment vertical="center"/>
    </xf>
    <xf numFmtId="0" fontId="18" fillId="43" borderId="1" xfId="26" applyFill="1" applyAlignment="1">
      <alignment horizontal="center"/>
    </xf>
    <xf numFmtId="0" fontId="92" fillId="43" borderId="0" xfId="0" applyFont="1" applyFill="1" applyBorder="1"/>
    <xf numFmtId="0" fontId="82" fillId="43" borderId="0" xfId="0" applyFont="1" applyFill="1"/>
    <xf numFmtId="0" fontId="82" fillId="43" borderId="0" xfId="0" applyFont="1" applyFill="1" applyBorder="1"/>
    <xf numFmtId="0" fontId="82" fillId="43" borderId="0" xfId="0" applyFont="1" applyFill="1" applyAlignment="1">
      <alignment horizontal="center"/>
    </xf>
    <xf numFmtId="0" fontId="6" fillId="44" borderId="0" xfId="0" applyFont="1" applyFill="1" applyProtection="1">
      <protection locked="0"/>
    </xf>
    <xf numFmtId="0" fontId="6" fillId="44" borderId="0" xfId="0" applyFont="1" applyFill="1"/>
    <xf numFmtId="0" fontId="81" fillId="44" borderId="0" xfId="0" applyFont="1" applyFill="1"/>
    <xf numFmtId="0" fontId="6" fillId="44" borderId="0" xfId="0" applyFont="1" applyFill="1" applyBorder="1"/>
    <xf numFmtId="166" fontId="6" fillId="44" borderId="0" xfId="0" applyNumberFormat="1" applyFont="1" applyFill="1"/>
    <xf numFmtId="0" fontId="6" fillId="44" borderId="0" xfId="0" applyFont="1" applyFill="1" applyAlignment="1">
      <alignment vertical="center"/>
    </xf>
    <xf numFmtId="0" fontId="18" fillId="44" borderId="1" xfId="26" applyFill="1"/>
    <xf numFmtId="0" fontId="82" fillId="44" borderId="0" xfId="0" applyFont="1" applyFill="1"/>
    <xf numFmtId="0" fontId="76" fillId="0" borderId="0" xfId="0" applyFont="1"/>
    <xf numFmtId="0" fontId="35" fillId="19" borderId="0" xfId="61" applyFont="1" applyFill="1" applyBorder="1" applyAlignment="1" applyProtection="1">
      <alignment horizontal="left" vertical="center"/>
    </xf>
    <xf numFmtId="0" fontId="72" fillId="19" borderId="0" xfId="61" applyFont="1" applyFill="1" applyBorder="1" applyAlignment="1" applyProtection="1">
      <alignment vertical="center"/>
    </xf>
    <xf numFmtId="0" fontId="6" fillId="27" borderId="26" xfId="0" applyFont="1" applyFill="1" applyBorder="1" applyAlignment="1"/>
    <xf numFmtId="0" fontId="6" fillId="27" borderId="16" xfId="0" applyFont="1" applyFill="1" applyBorder="1" applyAlignment="1"/>
    <xf numFmtId="0" fontId="6" fillId="27" borderId="17" xfId="0" applyFont="1" applyFill="1" applyBorder="1" applyAlignment="1"/>
    <xf numFmtId="0" fontId="6" fillId="27" borderId="24" xfId="0" applyFont="1" applyFill="1" applyBorder="1" applyAlignment="1"/>
    <xf numFmtId="0" fontId="6" fillId="27" borderId="25" xfId="0" applyFont="1" applyFill="1" applyBorder="1" applyAlignment="1"/>
    <xf numFmtId="0" fontId="6" fillId="27" borderId="25" xfId="0" applyFont="1" applyFill="1" applyBorder="1" applyAlignment="1">
      <alignment horizontal="right"/>
    </xf>
    <xf numFmtId="0" fontId="2" fillId="27" borderId="25" xfId="0" applyFont="1" applyFill="1" applyBorder="1" applyAlignment="1">
      <alignment horizontal="left"/>
    </xf>
    <xf numFmtId="0" fontId="6" fillId="27" borderId="27" xfId="0" applyFont="1" applyFill="1" applyBorder="1" applyAlignment="1"/>
    <xf numFmtId="0" fontId="0" fillId="27" borderId="26" xfId="0" applyFill="1" applyBorder="1"/>
    <xf numFmtId="0" fontId="0" fillId="27" borderId="16" xfId="0" applyFill="1" applyBorder="1"/>
    <xf numFmtId="0" fontId="0" fillId="27" borderId="17" xfId="0" applyFill="1" applyBorder="1"/>
    <xf numFmtId="0" fontId="12" fillId="27" borderId="23" xfId="0" applyFont="1" applyFill="1" applyBorder="1"/>
    <xf numFmtId="0" fontId="12" fillId="27" borderId="0" xfId="0" applyFont="1" applyFill="1" applyBorder="1"/>
    <xf numFmtId="0" fontId="34" fillId="27" borderId="0" xfId="0" applyFont="1" applyFill="1" applyBorder="1" applyAlignment="1">
      <alignment horizontal="left"/>
    </xf>
    <xf numFmtId="0" fontId="11" fillId="27" borderId="0" xfId="0" applyFont="1" applyFill="1" applyBorder="1" applyAlignment="1">
      <alignment horizontal="left"/>
    </xf>
    <xf numFmtId="0" fontId="12" fillId="27" borderId="15" xfId="0" applyFont="1" applyFill="1" applyBorder="1"/>
    <xf numFmtId="0" fontId="0" fillId="27" borderId="23" xfId="0" applyFill="1" applyBorder="1"/>
    <xf numFmtId="0" fontId="0" fillId="27" borderId="0" xfId="0" applyFill="1" applyBorder="1"/>
    <xf numFmtId="0" fontId="12" fillId="27" borderId="0" xfId="0" applyFont="1" applyFill="1" applyBorder="1" applyAlignment="1">
      <alignment horizontal="center"/>
    </xf>
    <xf numFmtId="0" fontId="0" fillId="27" borderId="15" xfId="0" applyFill="1" applyBorder="1"/>
    <xf numFmtId="0" fontId="11" fillId="27" borderId="0" xfId="0" applyFont="1" applyFill="1" applyBorder="1" applyAlignment="1">
      <alignment horizontal="center"/>
    </xf>
    <xf numFmtId="3" fontId="12" fillId="27" borderId="0" xfId="0" applyNumberFormat="1" applyFont="1" applyFill="1" applyBorder="1" applyAlignment="1">
      <alignment horizontal="right" vertical="center" indent="1"/>
    </xf>
    <xf numFmtId="0" fontId="76" fillId="27" borderId="0" xfId="0" applyFont="1" applyFill="1" applyBorder="1"/>
    <xf numFmtId="0" fontId="6" fillId="27" borderId="0" xfId="0" applyFont="1" applyFill="1" applyBorder="1"/>
    <xf numFmtId="3" fontId="11" fillId="27" borderId="0" xfId="0" applyNumberFormat="1" applyFont="1" applyFill="1" applyBorder="1" applyAlignment="1">
      <alignment horizontal="right" vertical="center" indent="1"/>
    </xf>
    <xf numFmtId="0" fontId="8" fillId="27" borderId="0" xfId="0" applyFont="1" applyFill="1" applyBorder="1" applyAlignment="1"/>
    <xf numFmtId="0" fontId="8" fillId="27" borderId="0" xfId="0" applyFont="1" applyFill="1" applyBorder="1"/>
    <xf numFmtId="0" fontId="6" fillId="27" borderId="0" xfId="0" applyFont="1" applyFill="1" applyBorder="1" applyAlignment="1">
      <alignment wrapText="1"/>
    </xf>
    <xf numFmtId="0" fontId="11" fillId="27" borderId="0" xfId="0" applyFont="1" applyFill="1" applyBorder="1"/>
    <xf numFmtId="0" fontId="0" fillId="27" borderId="24" xfId="0" applyFill="1" applyBorder="1"/>
    <xf numFmtId="0" fontId="0" fillId="27" borderId="25" xfId="0" applyFill="1" applyBorder="1"/>
    <xf numFmtId="0" fontId="12" fillId="27" borderId="25" xfId="0" applyFont="1" applyFill="1" applyBorder="1"/>
    <xf numFmtId="0" fontId="0" fillId="27" borderId="27" xfId="0" applyFill="1" applyBorder="1"/>
    <xf numFmtId="0" fontId="12" fillId="27" borderId="0" xfId="0" applyFont="1" applyFill="1" applyBorder="1" applyAlignment="1">
      <alignment vertical="top" wrapText="1"/>
    </xf>
    <xf numFmtId="0" fontId="12" fillId="27" borderId="19" xfId="0" applyFont="1" applyFill="1" applyBorder="1"/>
    <xf numFmtId="3" fontId="12" fillId="27" borderId="19" xfId="0" applyNumberFormat="1" applyFont="1" applyFill="1" applyBorder="1" applyAlignment="1">
      <alignment horizontal="right" vertical="center" indent="1"/>
    </xf>
    <xf numFmtId="0" fontId="12" fillId="27" borderId="22" xfId="0" applyFont="1" applyFill="1" applyBorder="1"/>
    <xf numFmtId="0" fontId="51" fillId="27" borderId="0" xfId="0" applyFont="1" applyFill="1" applyBorder="1" applyAlignment="1">
      <alignment horizontal="center"/>
    </xf>
    <xf numFmtId="0" fontId="6" fillId="27" borderId="0" xfId="0" applyFont="1" applyFill="1" applyBorder="1" applyAlignment="1">
      <alignment horizontal="right"/>
    </xf>
    <xf numFmtId="0" fontId="0" fillId="27" borderId="0" xfId="0" applyFill="1"/>
    <xf numFmtId="0" fontId="6" fillId="43" borderId="26" xfId="0" applyFont="1" applyFill="1" applyBorder="1" applyAlignment="1"/>
    <xf numFmtId="0" fontId="6" fillId="43" borderId="16" xfId="0" applyFont="1" applyFill="1" applyBorder="1" applyAlignment="1"/>
    <xf numFmtId="0" fontId="6" fillId="43" borderId="17" xfId="0" applyFont="1" applyFill="1" applyBorder="1" applyAlignment="1"/>
    <xf numFmtId="0" fontId="0" fillId="43" borderId="0" xfId="0" applyFill="1"/>
    <xf numFmtId="0" fontId="6" fillId="43" borderId="24" xfId="0" applyFont="1" applyFill="1" applyBorder="1" applyAlignment="1"/>
    <xf numFmtId="0" fontId="6" fillId="43" borderId="25" xfId="0" applyFont="1" applyFill="1" applyBorder="1" applyAlignment="1"/>
    <xf numFmtId="0" fontId="6" fillId="43" borderId="25" xfId="0" applyFont="1" applyFill="1" applyBorder="1" applyAlignment="1">
      <alignment horizontal="right"/>
    </xf>
    <xf numFmtId="0" fontId="2" fillId="43" borderId="25" xfId="0" applyFont="1" applyFill="1" applyBorder="1" applyAlignment="1">
      <alignment horizontal="left"/>
    </xf>
    <xf numFmtId="0" fontId="6" fillId="43" borderId="27" xfId="0" applyFont="1" applyFill="1" applyBorder="1" applyAlignment="1"/>
    <xf numFmtId="0" fontId="0" fillId="43" borderId="26" xfId="0" applyFill="1" applyBorder="1"/>
    <xf numFmtId="0" fontId="0" fillId="43" borderId="16" xfId="0" applyFill="1" applyBorder="1"/>
    <xf numFmtId="0" fontId="0" fillId="43" borderId="17" xfId="0" applyFill="1" applyBorder="1"/>
    <xf numFmtId="0" fontId="12" fillId="43" borderId="23" xfId="0" applyFont="1" applyFill="1" applyBorder="1"/>
    <xf numFmtId="0" fontId="34" fillId="43" borderId="0" xfId="0" applyFont="1" applyFill="1" applyBorder="1" applyAlignment="1">
      <alignment horizontal="left"/>
    </xf>
    <xf numFmtId="0" fontId="11" fillId="43" borderId="0" xfId="0" applyFont="1" applyFill="1" applyBorder="1" applyAlignment="1">
      <alignment horizontal="left"/>
    </xf>
    <xf numFmtId="0" fontId="12" fillId="43" borderId="15" xfId="0" applyFont="1" applyFill="1" applyBorder="1"/>
    <xf numFmtId="0" fontId="0" fillId="43" borderId="23" xfId="0" applyFill="1" applyBorder="1"/>
    <xf numFmtId="0" fontId="12" fillId="43" borderId="0" xfId="0" applyFont="1" applyFill="1" applyBorder="1" applyAlignment="1">
      <alignment horizontal="center"/>
    </xf>
    <xf numFmtId="0" fontId="0" fillId="43" borderId="0" xfId="0" applyFill="1" applyBorder="1" applyAlignment="1">
      <alignment horizontal="center"/>
    </xf>
    <xf numFmtId="0" fontId="3" fillId="43" borderId="0" xfId="0" applyFont="1" applyFill="1" applyBorder="1" applyAlignment="1">
      <alignment horizontal="center"/>
    </xf>
    <xf numFmtId="0" fontId="11" fillId="43" borderId="0" xfId="0" applyFont="1" applyFill="1" applyBorder="1" applyAlignment="1">
      <alignment horizontal="center"/>
    </xf>
    <xf numFmtId="3" fontId="12" fillId="43" borderId="0" xfId="0" applyNumberFormat="1" applyFont="1" applyFill="1" applyBorder="1" applyAlignment="1">
      <alignment horizontal="right" vertical="center" indent="1"/>
    </xf>
    <xf numFmtId="169" fontId="6" fillId="43" borderId="70" xfId="0" applyNumberFormat="1" applyFont="1" applyFill="1" applyBorder="1" applyAlignment="1" applyProtection="1">
      <alignment horizontal="center"/>
    </xf>
    <xf numFmtId="0" fontId="12" fillId="43" borderId="83" xfId="0" applyFont="1" applyFill="1" applyBorder="1"/>
    <xf numFmtId="3" fontId="12" fillId="43" borderId="84" xfId="0" applyNumberFormat="1" applyFont="1" applyFill="1" applyBorder="1" applyAlignment="1">
      <alignment horizontal="right" vertical="center" indent="1"/>
    </xf>
    <xf numFmtId="3" fontId="12" fillId="43" borderId="85" xfId="0" applyNumberFormat="1" applyFont="1" applyFill="1" applyBorder="1" applyAlignment="1">
      <alignment horizontal="right" vertical="center" indent="1"/>
    </xf>
    <xf numFmtId="0" fontId="0" fillId="43" borderId="86" xfId="0" applyFill="1" applyBorder="1"/>
    <xf numFmtId="0" fontId="12" fillId="43" borderId="87" xfId="0" applyFont="1" applyFill="1" applyBorder="1"/>
    <xf numFmtId="3" fontId="12" fillId="43" borderId="33" xfId="0" applyNumberFormat="1" applyFont="1" applyFill="1" applyBorder="1" applyAlignment="1">
      <alignment horizontal="right" vertical="center" indent="1"/>
    </xf>
    <xf numFmtId="0" fontId="0" fillId="43" borderId="88" xfId="0" applyFill="1" applyBorder="1"/>
    <xf numFmtId="3" fontId="11" fillId="43" borderId="0" xfId="0" applyNumberFormat="1" applyFont="1" applyFill="1" applyBorder="1" applyAlignment="1">
      <alignment horizontal="right" vertical="center" indent="1"/>
    </xf>
    <xf numFmtId="0" fontId="3" fillId="43" borderId="0" xfId="0" applyFont="1" applyFill="1" applyBorder="1"/>
    <xf numFmtId="0" fontId="12" fillId="43" borderId="89" xfId="0" applyFont="1" applyFill="1" applyBorder="1"/>
    <xf numFmtId="3" fontId="11" fillId="43" borderId="90" xfId="0" applyNumberFormat="1" applyFont="1" applyFill="1" applyBorder="1" applyAlignment="1">
      <alignment horizontal="right" vertical="center" indent="1"/>
    </xf>
    <xf numFmtId="3" fontId="12" fillId="43" borderId="90" xfId="0" applyNumberFormat="1" applyFont="1" applyFill="1" applyBorder="1" applyAlignment="1">
      <alignment horizontal="right" vertical="center" indent="1"/>
    </xf>
    <xf numFmtId="3" fontId="12" fillId="43" borderId="91" xfId="0" applyNumberFormat="1" applyFont="1" applyFill="1" applyBorder="1" applyAlignment="1">
      <alignment horizontal="right" vertical="center" indent="1"/>
    </xf>
    <xf numFmtId="0" fontId="0" fillId="43" borderId="92" xfId="0" applyFill="1" applyBorder="1"/>
    <xf numFmtId="0" fontId="0" fillId="43" borderId="0" xfId="0" applyFill="1" applyBorder="1" applyProtection="1"/>
    <xf numFmtId="3" fontId="12" fillId="43" borderId="0" xfId="0" applyNumberFormat="1" applyFont="1" applyFill="1" applyBorder="1" applyAlignment="1" applyProtection="1">
      <alignment horizontal="right" vertical="center" indent="1"/>
    </xf>
    <xf numFmtId="3" fontId="11" fillId="43" borderId="0" xfId="0" applyNumberFormat="1" applyFont="1" applyFill="1" applyBorder="1" applyAlignment="1" applyProtection="1">
      <alignment horizontal="right" vertical="center" indent="1"/>
    </xf>
    <xf numFmtId="0" fontId="8" fillId="43" borderId="0" xfId="0" applyFont="1" applyFill="1" applyBorder="1" applyProtection="1"/>
    <xf numFmtId="0" fontId="12" fillId="43" borderId="0" xfId="0" applyFont="1" applyFill="1" applyBorder="1" applyProtection="1"/>
    <xf numFmtId="0" fontId="12" fillId="43" borderId="100" xfId="0" applyFont="1" applyFill="1" applyBorder="1" applyProtection="1"/>
    <xf numFmtId="3" fontId="12" fillId="43" borderId="100" xfId="0" applyNumberFormat="1" applyFont="1" applyFill="1" applyBorder="1" applyAlignment="1" applyProtection="1">
      <alignment horizontal="right" vertical="center" indent="1"/>
    </xf>
    <xf numFmtId="0" fontId="0" fillId="43" borderId="100" xfId="0" applyFill="1" applyBorder="1"/>
    <xf numFmtId="0" fontId="12" fillId="43" borderId="0" xfId="0" applyFont="1" applyFill="1" applyBorder="1" applyAlignment="1" applyProtection="1">
      <alignment vertical="top"/>
    </xf>
    <xf numFmtId="0" fontId="12" fillId="43" borderId="97" xfId="0" applyFont="1" applyFill="1" applyBorder="1" applyProtection="1"/>
    <xf numFmtId="3" fontId="12" fillId="43" borderId="33" xfId="0" applyNumberFormat="1" applyFont="1" applyFill="1" applyBorder="1" applyAlignment="1" applyProtection="1">
      <alignment horizontal="right" vertical="center" indent="1"/>
    </xf>
    <xf numFmtId="0" fontId="0" fillId="43" borderId="98" xfId="0" applyFill="1" applyBorder="1"/>
    <xf numFmtId="0" fontId="12" fillId="43" borderId="0" xfId="0" applyFont="1" applyFill="1" applyBorder="1" applyAlignment="1" applyProtection="1">
      <alignment vertical="top" wrapText="1"/>
    </xf>
    <xf numFmtId="0" fontId="12" fillId="43" borderId="99" xfId="0" applyFont="1" applyFill="1" applyBorder="1" applyProtection="1"/>
    <xf numFmtId="3" fontId="11" fillId="43" borderId="100" xfId="0" applyNumberFormat="1" applyFont="1" applyFill="1" applyBorder="1" applyAlignment="1" applyProtection="1">
      <alignment horizontal="right" vertical="center" indent="1"/>
    </xf>
    <xf numFmtId="3" fontId="12" fillId="43" borderId="101" xfId="0" applyNumberFormat="1" applyFont="1" applyFill="1" applyBorder="1" applyAlignment="1" applyProtection="1">
      <alignment horizontal="right" vertical="center" indent="1"/>
    </xf>
    <xf numFmtId="3" fontId="12" fillId="43" borderId="91" xfId="0" applyNumberFormat="1" applyFont="1" applyFill="1" applyBorder="1" applyAlignment="1" applyProtection="1">
      <alignment horizontal="right" vertical="center" indent="1"/>
    </xf>
    <xf numFmtId="0" fontId="0" fillId="43" borderId="102" xfId="0" applyFill="1" applyBorder="1"/>
    <xf numFmtId="0" fontId="0" fillId="43" borderId="18" xfId="0" applyFill="1" applyBorder="1" applyProtection="1"/>
    <xf numFmtId="0" fontId="12" fillId="43" borderId="19" xfId="0" applyFont="1" applyFill="1" applyBorder="1" applyProtection="1"/>
    <xf numFmtId="3" fontId="11" fillId="43" borderId="19" xfId="0" applyNumberFormat="1" applyFont="1" applyFill="1" applyBorder="1" applyAlignment="1" applyProtection="1">
      <alignment horizontal="right" vertical="center" indent="1"/>
    </xf>
    <xf numFmtId="3" fontId="12" fillId="43" borderId="19" xfId="0" applyNumberFormat="1" applyFont="1" applyFill="1" applyBorder="1" applyAlignment="1" applyProtection="1">
      <alignment horizontal="right" vertical="center" indent="1"/>
    </xf>
    <xf numFmtId="0" fontId="0" fillId="43" borderId="64" xfId="0" applyFill="1" applyBorder="1"/>
    <xf numFmtId="0" fontId="0" fillId="43" borderId="20" xfId="0" applyFill="1" applyBorder="1" applyProtection="1"/>
    <xf numFmtId="0" fontId="50" fillId="43" borderId="0" xfId="0" applyFont="1" applyFill="1" applyBorder="1" applyProtection="1"/>
    <xf numFmtId="0" fontId="0" fillId="43" borderId="65" xfId="0" applyFill="1" applyBorder="1"/>
    <xf numFmtId="0" fontId="6" fillId="43" borderId="0" xfId="0" applyFont="1" applyFill="1" applyBorder="1" applyProtection="1"/>
    <xf numFmtId="0" fontId="0" fillId="43" borderId="21" xfId="0" applyFill="1" applyBorder="1" applyProtection="1"/>
    <xf numFmtId="0" fontId="11" fillId="43" borderId="22" xfId="0" applyFont="1" applyFill="1" applyBorder="1" applyProtection="1"/>
    <xf numFmtId="0" fontId="12" fillId="43" borderId="22" xfId="0" applyFont="1" applyFill="1" applyBorder="1" applyProtection="1"/>
    <xf numFmtId="3" fontId="11" fillId="43" borderId="22" xfId="0" applyNumberFormat="1" applyFont="1" applyFill="1" applyBorder="1" applyAlignment="1" applyProtection="1">
      <alignment horizontal="right" vertical="center" indent="1"/>
    </xf>
    <xf numFmtId="3" fontId="12" fillId="43" borderId="22" xfId="0" applyNumberFormat="1" applyFont="1" applyFill="1" applyBorder="1" applyAlignment="1" applyProtection="1">
      <alignment horizontal="right" vertical="center" indent="1"/>
    </xf>
    <xf numFmtId="0" fontId="0" fillId="43" borderId="66" xfId="0" applyFill="1" applyBorder="1"/>
    <xf numFmtId="3" fontId="12" fillId="43" borderId="23" xfId="0" applyNumberFormat="1" applyFont="1" applyFill="1" applyBorder="1" applyAlignment="1">
      <alignment horizontal="right" vertical="center" indent="1"/>
    </xf>
    <xf numFmtId="3" fontId="96" fillId="43" borderId="0" xfId="0" applyNumberFormat="1" applyFont="1" applyFill="1" applyBorder="1" applyAlignment="1">
      <alignment horizontal="right" vertical="center" indent="1"/>
    </xf>
    <xf numFmtId="3" fontId="76" fillId="43" borderId="0" xfId="0" applyNumberFormat="1" applyFont="1" applyFill="1" applyBorder="1" applyAlignment="1">
      <alignment horizontal="right" vertical="center" indent="1"/>
    </xf>
    <xf numFmtId="3" fontId="105" fillId="43" borderId="0" xfId="0" applyNumberFormat="1" applyFont="1" applyFill="1" applyBorder="1" applyAlignment="1">
      <alignment horizontal="right" vertical="center" indent="1"/>
    </xf>
    <xf numFmtId="3" fontId="76" fillId="43" borderId="0" xfId="0" applyNumberFormat="1" applyFont="1" applyFill="1" applyBorder="1" applyAlignment="1">
      <alignment vertical="center"/>
    </xf>
    <xf numFmtId="3" fontId="11" fillId="43" borderId="0" xfId="0" applyNumberFormat="1" applyFont="1" applyFill="1" applyBorder="1" applyAlignment="1">
      <alignment vertical="center"/>
    </xf>
    <xf numFmtId="0" fontId="0" fillId="43" borderId="24" xfId="0" applyFill="1" applyBorder="1"/>
    <xf numFmtId="3" fontId="11" fillId="43" borderId="25" xfId="0" applyNumberFormat="1" applyFont="1" applyFill="1" applyBorder="1" applyAlignment="1">
      <alignment horizontal="right" vertical="center" indent="1"/>
    </xf>
    <xf numFmtId="3" fontId="12" fillId="43" borderId="25" xfId="0" applyNumberFormat="1" applyFont="1" applyFill="1" applyBorder="1" applyAlignment="1">
      <alignment horizontal="right" vertical="center" indent="1"/>
    </xf>
    <xf numFmtId="0" fontId="0" fillId="43" borderId="27" xfId="0" applyFill="1" applyBorder="1"/>
    <xf numFmtId="0" fontId="0" fillId="43" borderId="12" xfId="0" applyFill="1" applyBorder="1"/>
    <xf numFmtId="0" fontId="12" fillId="43" borderId="31" xfId="0" applyFont="1" applyFill="1" applyBorder="1"/>
    <xf numFmtId="3" fontId="11" fillId="43" borderId="31" xfId="0" applyNumberFormat="1" applyFont="1" applyFill="1" applyBorder="1" applyAlignment="1">
      <alignment horizontal="right" vertical="center" indent="1"/>
    </xf>
    <xf numFmtId="3" fontId="12" fillId="43" borderId="31" xfId="0" applyNumberFormat="1" applyFont="1" applyFill="1" applyBorder="1" applyAlignment="1">
      <alignment horizontal="right" vertical="center" indent="1"/>
    </xf>
    <xf numFmtId="0" fontId="0" fillId="43" borderId="67" xfId="0" applyFill="1" applyBorder="1"/>
    <xf numFmtId="0" fontId="0" fillId="43" borderId="13" xfId="0" applyFill="1" applyBorder="1"/>
    <xf numFmtId="0" fontId="12" fillId="43" borderId="93" xfId="0" applyFont="1" applyFill="1" applyBorder="1"/>
    <xf numFmtId="3" fontId="11" fillId="43" borderId="94" xfId="0" applyNumberFormat="1" applyFont="1" applyFill="1" applyBorder="1" applyAlignment="1">
      <alignment horizontal="right" vertical="center" indent="1"/>
    </xf>
    <xf numFmtId="3" fontId="12" fillId="43" borderId="94" xfId="0" applyNumberFormat="1" applyFont="1" applyFill="1" applyBorder="1" applyAlignment="1">
      <alignment horizontal="right" vertical="center" indent="1"/>
    </xf>
    <xf numFmtId="3" fontId="12" fillId="43" borderId="95" xfId="0" applyNumberFormat="1" applyFont="1" applyFill="1" applyBorder="1" applyAlignment="1">
      <alignment horizontal="right" vertical="center" indent="1"/>
    </xf>
    <xf numFmtId="0" fontId="0" fillId="43" borderId="96" xfId="0" applyFill="1" applyBorder="1"/>
    <xf numFmtId="0" fontId="12" fillId="43" borderId="97" xfId="0" applyFont="1" applyFill="1" applyBorder="1"/>
    <xf numFmtId="0" fontId="12" fillId="43" borderId="0" xfId="0" applyFont="1" applyFill="1" applyBorder="1" applyAlignment="1">
      <alignment vertical="top" wrapText="1"/>
    </xf>
    <xf numFmtId="0" fontId="12" fillId="43" borderId="99" xfId="0" applyFont="1" applyFill="1" applyBorder="1"/>
    <xf numFmtId="3" fontId="11" fillId="43" borderId="100" xfId="0" applyNumberFormat="1" applyFont="1" applyFill="1" applyBorder="1" applyAlignment="1">
      <alignment horizontal="right" vertical="center" indent="1"/>
    </xf>
    <xf numFmtId="3" fontId="12" fillId="43" borderId="100" xfId="0" applyNumberFormat="1" applyFont="1" applyFill="1" applyBorder="1" applyAlignment="1">
      <alignment horizontal="right" vertical="center" indent="1"/>
    </xf>
    <xf numFmtId="3" fontId="12" fillId="43" borderId="101" xfId="0" applyNumberFormat="1" applyFont="1" applyFill="1" applyBorder="1" applyAlignment="1">
      <alignment horizontal="right" vertical="center" indent="1"/>
    </xf>
    <xf numFmtId="0" fontId="0" fillId="43" borderId="14" xfId="0" applyFill="1" applyBorder="1"/>
    <xf numFmtId="0" fontId="12" fillId="43" borderId="32" xfId="0" applyFont="1" applyFill="1" applyBorder="1"/>
    <xf numFmtId="3" fontId="11" fillId="43" borderId="32" xfId="0" applyNumberFormat="1" applyFont="1" applyFill="1" applyBorder="1" applyAlignment="1">
      <alignment horizontal="right" vertical="center" indent="1"/>
    </xf>
    <xf numFmtId="3" fontId="12" fillId="43" borderId="32" xfId="0" applyNumberFormat="1" applyFont="1" applyFill="1" applyBorder="1" applyAlignment="1">
      <alignment horizontal="right" vertical="center" indent="1"/>
    </xf>
    <xf numFmtId="0" fontId="0" fillId="43" borderId="69" xfId="0" applyFill="1" applyBorder="1"/>
    <xf numFmtId="0" fontId="6" fillId="43" borderId="31" xfId="0" applyFont="1" applyFill="1" applyBorder="1"/>
    <xf numFmtId="0" fontId="0" fillId="43" borderId="68" xfId="0" applyFill="1" applyBorder="1"/>
    <xf numFmtId="3" fontId="12" fillId="43" borderId="0" xfId="0" applyNumberFormat="1" applyFont="1" applyFill="1" applyBorder="1" applyAlignment="1" applyProtection="1">
      <alignment horizontal="right" vertical="center" indent="1"/>
      <protection locked="0"/>
    </xf>
    <xf numFmtId="3" fontId="49" fillId="43" borderId="0" xfId="0" applyNumberFormat="1" applyFont="1" applyFill="1" applyBorder="1" applyAlignment="1">
      <alignment horizontal="right" vertical="center" indent="1"/>
    </xf>
    <xf numFmtId="0" fontId="12" fillId="43" borderId="0" xfId="0" applyFont="1" applyFill="1" applyBorder="1" applyAlignment="1">
      <alignment horizontal="left"/>
    </xf>
    <xf numFmtId="0" fontId="0" fillId="43" borderId="58" xfId="0" applyFill="1" applyBorder="1"/>
    <xf numFmtId="0" fontId="0" fillId="43" borderId="59" xfId="0" applyFill="1" applyBorder="1"/>
    <xf numFmtId="0" fontId="12" fillId="43" borderId="59" xfId="0" applyFont="1" applyFill="1" applyBorder="1"/>
    <xf numFmtId="3" fontId="12" fillId="43" borderId="59" xfId="0" applyNumberFormat="1" applyFont="1" applyFill="1" applyBorder="1" applyAlignment="1">
      <alignment horizontal="right" vertical="center" indent="1"/>
    </xf>
    <xf numFmtId="0" fontId="0" fillId="43" borderId="60" xfId="0" applyFill="1" applyBorder="1"/>
    <xf numFmtId="3" fontId="12" fillId="43" borderId="33" xfId="0" applyNumberFormat="1" applyFont="1" applyFill="1" applyBorder="1" applyAlignment="1" applyProtection="1">
      <alignment horizontal="right" vertical="center" indent="1"/>
      <protection locked="0"/>
    </xf>
    <xf numFmtId="0" fontId="8" fillId="43" borderId="16" xfId="0" applyFont="1" applyFill="1" applyBorder="1" applyAlignment="1">
      <alignment wrapText="1"/>
    </xf>
    <xf numFmtId="0" fontId="8" fillId="43" borderId="0" xfId="0" applyFont="1" applyFill="1" applyBorder="1" applyAlignment="1">
      <alignment wrapText="1"/>
    </xf>
    <xf numFmtId="0" fontId="0" fillId="43" borderId="18" xfId="0" applyFill="1" applyBorder="1"/>
    <xf numFmtId="0" fontId="12" fillId="43" borderId="19" xfId="0" applyFont="1" applyFill="1" applyBorder="1"/>
    <xf numFmtId="3" fontId="12" fillId="43" borderId="19" xfId="0" applyNumberFormat="1" applyFont="1" applyFill="1" applyBorder="1" applyAlignment="1">
      <alignment horizontal="right" vertical="center" indent="1"/>
    </xf>
    <xf numFmtId="0" fontId="0" fillId="43" borderId="20" xfId="0" applyFill="1" applyBorder="1"/>
    <xf numFmtId="0" fontId="0" fillId="43" borderId="21" xfId="0" applyFill="1" applyBorder="1"/>
    <xf numFmtId="0" fontId="0" fillId="43" borderId="22" xfId="0" applyFill="1" applyBorder="1"/>
    <xf numFmtId="0" fontId="12" fillId="43" borderId="22" xfId="0" applyFont="1" applyFill="1" applyBorder="1"/>
    <xf numFmtId="0" fontId="51" fillId="43" borderId="0" xfId="0" applyFont="1" applyFill="1" applyBorder="1" applyAlignment="1">
      <alignment horizontal="left"/>
    </xf>
    <xf numFmtId="0" fontId="51" fillId="43" borderId="0" xfId="0" applyFont="1" applyFill="1" applyBorder="1" applyAlignment="1">
      <alignment horizontal="center"/>
    </xf>
    <xf numFmtId="0" fontId="6" fillId="43" borderId="0" xfId="0" applyFont="1" applyFill="1" applyBorder="1" applyAlignment="1">
      <alignment horizontal="right"/>
    </xf>
    <xf numFmtId="0" fontId="85" fillId="43" borderId="0" xfId="0" applyFont="1" applyFill="1"/>
    <xf numFmtId="0" fontId="92" fillId="43" borderId="0" xfId="0" applyFont="1" applyFill="1"/>
    <xf numFmtId="3" fontId="92" fillId="43" borderId="0" xfId="0" applyNumberFormat="1" applyFont="1" applyFill="1"/>
    <xf numFmtId="0" fontId="0" fillId="44" borderId="0" xfId="0" applyFill="1"/>
    <xf numFmtId="0" fontId="12" fillId="44" borderId="0" xfId="0" applyFont="1" applyFill="1"/>
    <xf numFmtId="0" fontId="2" fillId="44" borderId="0" xfId="0" applyFont="1" applyFill="1"/>
    <xf numFmtId="0" fontId="76" fillId="25" borderId="0" xfId="0" applyFont="1" applyFill="1" applyAlignment="1"/>
    <xf numFmtId="0" fontId="3" fillId="25" borderId="0" xfId="0" applyFont="1" applyFill="1" applyAlignment="1"/>
    <xf numFmtId="0" fontId="2" fillId="25" borderId="0" xfId="0" applyFont="1" applyFill="1" applyAlignment="1">
      <alignment wrapText="1"/>
    </xf>
    <xf numFmtId="0" fontId="2" fillId="25" borderId="0" xfId="0" applyFont="1" applyFill="1"/>
    <xf numFmtId="0" fontId="80" fillId="25" borderId="0" xfId="0" applyFont="1" applyFill="1"/>
    <xf numFmtId="0" fontId="91" fillId="25" borderId="0" xfId="0" applyFont="1" applyFill="1" applyBorder="1" applyAlignment="1">
      <alignment horizontal="left" vertical="center"/>
    </xf>
    <xf numFmtId="1" fontId="2" fillId="50" borderId="0" xfId="0" applyNumberFormat="1" applyFont="1" applyFill="1" applyBorder="1"/>
    <xf numFmtId="0" fontId="0" fillId="51" borderId="0" xfId="0" applyFill="1"/>
    <xf numFmtId="1" fontId="2" fillId="51" borderId="0" xfId="0" applyNumberFormat="1" applyFont="1" applyFill="1" applyBorder="1"/>
    <xf numFmtId="0" fontId="6" fillId="27" borderId="16" xfId="0" applyFont="1" applyFill="1" applyBorder="1" applyAlignment="1">
      <alignment horizontal="center"/>
    </xf>
    <xf numFmtId="0" fontId="7" fillId="27" borderId="23" xfId="0" applyFont="1" applyFill="1" applyBorder="1" applyAlignment="1">
      <alignment horizontal="center"/>
    </xf>
    <xf numFmtId="0" fontId="6" fillId="27" borderId="0" xfId="0" applyFont="1" applyFill="1" applyBorder="1" applyAlignment="1">
      <alignment horizontal="center"/>
    </xf>
    <xf numFmtId="0" fontId="6" fillId="27" borderId="15" xfId="0" applyFont="1" applyFill="1" applyBorder="1" applyAlignment="1">
      <alignment horizontal="center"/>
    </xf>
    <xf numFmtId="0" fontId="6" fillId="27" borderId="23" xfId="0" applyFont="1" applyFill="1" applyBorder="1" applyAlignment="1">
      <alignment horizontal="center"/>
    </xf>
    <xf numFmtId="0" fontId="6" fillId="27" borderId="25" xfId="0" applyFont="1" applyFill="1" applyBorder="1" applyAlignment="1">
      <alignment horizontal="center"/>
    </xf>
    <xf numFmtId="0" fontId="11" fillId="27" borderId="23" xfId="0" applyFont="1" applyFill="1" applyBorder="1" applyAlignment="1">
      <alignment horizontal="left"/>
    </xf>
    <xf numFmtId="0" fontId="12" fillId="27" borderId="0" xfId="0" applyFont="1" applyFill="1" applyBorder="1" applyAlignment="1"/>
    <xf numFmtId="0" fontId="11" fillId="27" borderId="0" xfId="0" applyFont="1" applyFill="1" applyBorder="1" applyAlignment="1"/>
    <xf numFmtId="0" fontId="8" fillId="27" borderId="0" xfId="0" applyFont="1" applyFill="1" applyBorder="1" applyAlignment="1">
      <alignment horizontal="left"/>
    </xf>
    <xf numFmtId="0" fontId="12" fillId="27" borderId="23" xfId="0" applyFont="1" applyFill="1" applyBorder="1" applyAlignment="1"/>
    <xf numFmtId="0" fontId="76" fillId="27" borderId="0" xfId="0" applyFont="1" applyFill="1" applyBorder="1" applyAlignment="1">
      <alignment horizontal="left" vertical="center" wrapText="1"/>
    </xf>
    <xf numFmtId="3" fontId="11" fillId="27" borderId="0" xfId="0" applyNumberFormat="1" applyFont="1" applyFill="1" applyBorder="1" applyAlignment="1">
      <alignment horizontal="center" wrapText="1"/>
    </xf>
    <xf numFmtId="0" fontId="11" fillId="27" borderId="0" xfId="0" applyFont="1" applyFill="1" applyBorder="1" applyAlignment="1">
      <alignment horizontal="center" vertical="center"/>
    </xf>
    <xf numFmtId="3" fontId="11" fillId="27" borderId="0" xfId="0" applyNumberFormat="1" applyFont="1" applyFill="1" applyBorder="1" applyAlignment="1" applyProtection="1">
      <alignment horizontal="center" wrapText="1"/>
      <protection locked="0"/>
    </xf>
    <xf numFmtId="3" fontId="76" fillId="27" borderId="0" xfId="0" applyNumberFormat="1" applyFont="1" applyFill="1" applyBorder="1" applyAlignment="1">
      <alignment vertical="center" wrapText="1"/>
    </xf>
    <xf numFmtId="3" fontId="76" fillId="27" borderId="0" xfId="0" applyNumberFormat="1" applyFont="1" applyFill="1" applyBorder="1" applyAlignment="1">
      <alignment wrapText="1"/>
    </xf>
    <xf numFmtId="0" fontId="76" fillId="27" borderId="0" xfId="0" applyFont="1" applyFill="1" applyBorder="1" applyAlignment="1"/>
    <xf numFmtId="3" fontId="11" fillId="27" borderId="0" xfId="0" applyNumberFormat="1" applyFont="1" applyFill="1" applyBorder="1" applyAlignment="1">
      <alignment wrapText="1"/>
    </xf>
    <xf numFmtId="0" fontId="12" fillId="27" borderId="0" xfId="0" applyFont="1" applyFill="1" applyBorder="1" applyAlignment="1">
      <alignment wrapText="1"/>
    </xf>
    <xf numFmtId="3" fontId="11" fillId="27" borderId="140" xfId="0" applyNumberFormat="1" applyFont="1" applyFill="1" applyBorder="1" applyAlignment="1">
      <alignment horizontal="right" vertical="center" indent="1"/>
    </xf>
    <xf numFmtId="0" fontId="12" fillId="27" borderId="18" xfId="0" applyFont="1" applyFill="1" applyBorder="1" applyAlignment="1"/>
    <xf numFmtId="0" fontId="12" fillId="27" borderId="19" xfId="0" applyFont="1" applyFill="1" applyBorder="1" applyAlignment="1">
      <alignment wrapText="1"/>
    </xf>
    <xf numFmtId="0" fontId="12" fillId="27" borderId="19" xfId="0" applyFont="1" applyFill="1" applyBorder="1" applyAlignment="1"/>
    <xf numFmtId="3" fontId="11" fillId="27" borderId="19" xfId="0" applyNumberFormat="1" applyFont="1" applyFill="1" applyBorder="1" applyAlignment="1">
      <alignment horizontal="right" vertical="center" indent="1"/>
    </xf>
    <xf numFmtId="3" fontId="11" fillId="27" borderId="141" xfId="0" applyNumberFormat="1" applyFont="1" applyFill="1" applyBorder="1" applyAlignment="1">
      <alignment horizontal="right" vertical="center" indent="1"/>
    </xf>
    <xf numFmtId="3" fontId="11" fillId="27" borderId="107" xfId="0" applyNumberFormat="1" applyFont="1" applyFill="1" applyBorder="1" applyAlignment="1">
      <alignment horizontal="right" vertical="center" indent="1"/>
    </xf>
    <xf numFmtId="3" fontId="12" fillId="27" borderId="104" xfId="0" applyNumberFormat="1" applyFont="1" applyFill="1" applyBorder="1" applyAlignment="1">
      <alignment horizontal="right" vertical="center" indent="1"/>
    </xf>
    <xf numFmtId="0" fontId="12" fillId="27" borderId="64" xfId="0" applyFont="1" applyFill="1" applyBorder="1" applyAlignment="1">
      <alignment horizontal="center"/>
    </xf>
    <xf numFmtId="0" fontId="12" fillId="27" borderId="20" xfId="0" applyFont="1" applyFill="1" applyBorder="1" applyAlignment="1"/>
    <xf numFmtId="3" fontId="12" fillId="27" borderId="103" xfId="0" applyNumberFormat="1" applyFont="1" applyFill="1" applyBorder="1" applyAlignment="1">
      <alignment horizontal="right" vertical="center" indent="1"/>
    </xf>
    <xf numFmtId="3" fontId="12" fillId="27" borderId="103" xfId="0" applyNumberFormat="1" applyFont="1" applyFill="1" applyBorder="1" applyAlignment="1">
      <alignment horizontal="center" vertical="top"/>
    </xf>
    <xf numFmtId="0" fontId="12" fillId="27" borderId="65" xfId="0" applyFont="1" applyFill="1" applyBorder="1"/>
    <xf numFmtId="0" fontId="11" fillId="27" borderId="20" xfId="0" applyFont="1" applyFill="1" applyBorder="1" applyAlignment="1"/>
    <xf numFmtId="0" fontId="6" fillId="27" borderId="0" xfId="0" applyFont="1" applyFill="1" applyBorder="1" applyAlignment="1"/>
    <xf numFmtId="0" fontId="12" fillId="27" borderId="21" xfId="0" applyFont="1" applyFill="1" applyBorder="1" applyAlignment="1"/>
    <xf numFmtId="0" fontId="12" fillId="27" borderId="22" xfId="0" applyFont="1" applyFill="1" applyBorder="1" applyAlignment="1"/>
    <xf numFmtId="3" fontId="12" fillId="27" borderId="22" xfId="0" applyNumberFormat="1" applyFont="1" applyFill="1" applyBorder="1" applyAlignment="1">
      <alignment horizontal="right" vertical="center" indent="1"/>
    </xf>
    <xf numFmtId="3" fontId="11" fillId="27" borderId="106" xfId="0" applyNumberFormat="1" applyFont="1" applyFill="1" applyBorder="1" applyAlignment="1">
      <alignment horizontal="right" vertical="center" indent="1"/>
    </xf>
    <xf numFmtId="3" fontId="12" fillId="27" borderId="105" xfId="0" applyNumberFormat="1" applyFont="1" applyFill="1" applyBorder="1" applyAlignment="1">
      <alignment horizontal="right" vertical="center" indent="1"/>
    </xf>
    <xf numFmtId="0" fontId="12" fillId="27" borderId="66" xfId="0" applyFont="1" applyFill="1" applyBorder="1"/>
    <xf numFmtId="3" fontId="12" fillId="27" borderId="0" xfId="0" applyNumberFormat="1" applyFont="1" applyFill="1" applyBorder="1" applyAlignment="1">
      <alignment horizontal="center" vertical="top"/>
    </xf>
    <xf numFmtId="0" fontId="0" fillId="27" borderId="0" xfId="0" applyFill="1" applyBorder="1" applyAlignment="1">
      <alignment horizontal="right" vertical="center" indent="1"/>
    </xf>
    <xf numFmtId="0" fontId="11" fillId="27" borderId="0" xfId="0" applyFont="1" applyFill="1" applyBorder="1" applyAlignment="1">
      <alignment horizontal="center" wrapText="1"/>
    </xf>
    <xf numFmtId="0" fontId="12" fillId="27" borderId="18" xfId="0" applyFont="1" applyFill="1" applyBorder="1"/>
    <xf numFmtId="3" fontId="12" fillId="27" borderId="138" xfId="0" applyNumberFormat="1" applyFont="1" applyFill="1" applyBorder="1" applyAlignment="1">
      <alignment horizontal="right" vertical="center" indent="1"/>
    </xf>
    <xf numFmtId="3" fontId="12" fillId="27" borderId="139" xfId="0" applyNumberFormat="1" applyFont="1" applyFill="1" applyBorder="1" applyAlignment="1">
      <alignment horizontal="right" vertical="center" indent="1"/>
    </xf>
    <xf numFmtId="0" fontId="12" fillId="27" borderId="64" xfId="0" applyFont="1" applyFill="1" applyBorder="1"/>
    <xf numFmtId="0" fontId="12" fillId="27" borderId="20" xfId="0" applyFont="1" applyFill="1" applyBorder="1"/>
    <xf numFmtId="3" fontId="11" fillId="27" borderId="0" xfId="0" applyNumberFormat="1" applyFont="1" applyFill="1" applyBorder="1" applyAlignment="1">
      <alignment horizontal="center" vertical="center"/>
    </xf>
    <xf numFmtId="3" fontId="12" fillId="27" borderId="20" xfId="0" applyNumberFormat="1" applyFont="1" applyFill="1" applyBorder="1" applyAlignment="1">
      <alignment horizontal="right" vertical="center" indent="1"/>
    </xf>
    <xf numFmtId="3" fontId="12" fillId="27" borderId="0" xfId="0" applyNumberFormat="1" applyFont="1" applyFill="1" applyBorder="1" applyAlignment="1">
      <alignment horizontal="center" vertical="center"/>
    </xf>
    <xf numFmtId="0" fontId="12" fillId="27" borderId="21" xfId="0" applyFont="1" applyFill="1" applyBorder="1"/>
    <xf numFmtId="0" fontId="12" fillId="27" borderId="138" xfId="0" applyFont="1" applyFill="1" applyBorder="1"/>
    <xf numFmtId="0" fontId="12" fillId="27" borderId="0" xfId="0" applyFont="1" applyFill="1" applyBorder="1" applyAlignment="1">
      <alignment horizontal="right"/>
    </xf>
    <xf numFmtId="0" fontId="12" fillId="27" borderId="130" xfId="0" applyFont="1" applyFill="1" applyBorder="1"/>
    <xf numFmtId="3" fontId="12" fillId="27" borderId="18" xfId="0" applyNumberFormat="1" applyFont="1" applyFill="1" applyBorder="1" applyAlignment="1">
      <alignment horizontal="right" vertical="center" indent="1"/>
    </xf>
    <xf numFmtId="0" fontId="12" fillId="27" borderId="24" xfId="0" applyFont="1" applyFill="1" applyBorder="1"/>
    <xf numFmtId="0" fontId="12" fillId="27" borderId="27" xfId="0" applyFont="1" applyFill="1" applyBorder="1"/>
    <xf numFmtId="0" fontId="51" fillId="27" borderId="15" xfId="0" applyFont="1" applyFill="1" applyBorder="1" applyAlignment="1">
      <alignment horizontal="center"/>
    </xf>
    <xf numFmtId="0" fontId="82" fillId="27" borderId="58" xfId="0" applyFont="1" applyFill="1" applyBorder="1" applyAlignment="1">
      <alignment horizontal="center"/>
    </xf>
    <xf numFmtId="0" fontId="82" fillId="27" borderId="59" xfId="0" applyFont="1" applyFill="1" applyBorder="1" applyAlignment="1">
      <alignment horizontal="center"/>
    </xf>
    <xf numFmtId="0" fontId="82" fillId="27" borderId="60" xfId="0" applyFont="1" applyFill="1" applyBorder="1" applyAlignment="1">
      <alignment horizontal="center"/>
    </xf>
    <xf numFmtId="0" fontId="12" fillId="27" borderId="0" xfId="0" applyFont="1" applyFill="1"/>
    <xf numFmtId="0" fontId="81" fillId="27" borderId="0" xfId="0" applyFont="1" applyFill="1"/>
    <xf numFmtId="0" fontId="81" fillId="27" borderId="0" xfId="0" applyFont="1" applyFill="1" applyBorder="1" applyAlignment="1">
      <alignment vertical="center"/>
    </xf>
    <xf numFmtId="0" fontId="3" fillId="27" borderId="0" xfId="0" applyFont="1" applyFill="1" applyBorder="1" applyAlignment="1">
      <alignment horizontal="left"/>
    </xf>
    <xf numFmtId="0" fontId="0" fillId="27" borderId="50" xfId="0" applyFill="1" applyBorder="1"/>
    <xf numFmtId="0" fontId="11" fillId="27" borderId="51" xfId="0" applyFont="1" applyFill="1" applyBorder="1"/>
    <xf numFmtId="0" fontId="12" fillId="27" borderId="51" xfId="0" applyFont="1" applyFill="1" applyBorder="1"/>
    <xf numFmtId="3" fontId="12" fillId="27" borderId="51" xfId="0" applyNumberFormat="1" applyFont="1" applyFill="1" applyBorder="1" applyAlignment="1">
      <alignment horizontal="right" vertical="center" indent="1"/>
    </xf>
    <xf numFmtId="0" fontId="12" fillId="27" borderId="52" xfId="0" applyFont="1" applyFill="1" applyBorder="1"/>
    <xf numFmtId="0" fontId="0" fillId="27" borderId="53" xfId="0" applyFill="1" applyBorder="1"/>
    <xf numFmtId="0" fontId="12" fillId="27" borderId="54" xfId="0" applyFont="1" applyFill="1" applyBorder="1"/>
    <xf numFmtId="0" fontId="12" fillId="27" borderId="54" xfId="0" applyFont="1" applyFill="1" applyBorder="1" applyAlignment="1">
      <alignment horizontal="center"/>
    </xf>
    <xf numFmtId="0" fontId="0" fillId="27" borderId="55" xfId="0" applyFill="1" applyBorder="1"/>
    <xf numFmtId="0" fontId="11" fillId="27" borderId="56" xfId="0" applyFont="1" applyFill="1" applyBorder="1"/>
    <xf numFmtId="0" fontId="12" fillId="27" borderId="56" xfId="0" applyFont="1" applyFill="1" applyBorder="1"/>
    <xf numFmtId="0" fontId="6" fillId="27" borderId="56" xfId="0" applyFont="1" applyFill="1" applyBorder="1"/>
    <xf numFmtId="0" fontId="12" fillId="27" borderId="57" xfId="0" applyFont="1" applyFill="1" applyBorder="1"/>
    <xf numFmtId="0" fontId="11" fillId="27" borderId="16" xfId="0" applyFont="1" applyFill="1" applyBorder="1"/>
    <xf numFmtId="0" fontId="12" fillId="27" borderId="16" xfId="0" applyFont="1" applyFill="1" applyBorder="1"/>
    <xf numFmtId="0" fontId="12" fillId="27" borderId="17" xfId="0" applyFont="1" applyFill="1" applyBorder="1"/>
    <xf numFmtId="0" fontId="47" fillId="27" borderId="0" xfId="0" applyFont="1" applyFill="1" applyBorder="1" applyAlignment="1">
      <alignment horizontal="center"/>
    </xf>
    <xf numFmtId="0" fontId="47" fillId="27" borderId="15" xfId="0" applyFont="1" applyFill="1" applyBorder="1" applyAlignment="1">
      <alignment horizontal="center"/>
    </xf>
    <xf numFmtId="0" fontId="47" fillId="27" borderId="0" xfId="0" applyFont="1" applyFill="1" applyBorder="1" applyAlignment="1">
      <alignment horizontal="center" wrapText="1"/>
    </xf>
    <xf numFmtId="0" fontId="47" fillId="27" borderId="58" xfId="0" applyFont="1" applyFill="1" applyBorder="1" applyAlignment="1">
      <alignment horizontal="center"/>
    </xf>
    <xf numFmtId="0" fontId="47" fillId="27" borderId="59" xfId="0" applyFont="1" applyFill="1" applyBorder="1" applyAlignment="1">
      <alignment horizontal="center"/>
    </xf>
    <xf numFmtId="0" fontId="47" fillId="27" borderId="60" xfId="0" applyFont="1" applyFill="1" applyBorder="1" applyAlignment="1">
      <alignment horizontal="center"/>
    </xf>
    <xf numFmtId="0" fontId="85" fillId="27" borderId="0" xfId="0" applyFont="1" applyFill="1" applyBorder="1"/>
    <xf numFmtId="3" fontId="0" fillId="44" borderId="0" xfId="0" applyNumberFormat="1" applyFill="1"/>
    <xf numFmtId="0" fontId="12" fillId="27" borderId="23" xfId="0" applyFont="1" applyFill="1" applyBorder="1" applyAlignment="1">
      <alignment horizontal="center" vertical="center"/>
    </xf>
    <xf numFmtId="0" fontId="11" fillId="27" borderId="15" xfId="0" applyFont="1" applyFill="1" applyBorder="1" applyAlignment="1">
      <alignment horizontal="center" vertical="center"/>
    </xf>
    <xf numFmtId="0" fontId="12" fillId="27" borderId="15" xfId="0" applyFont="1" applyFill="1" applyBorder="1" applyAlignment="1">
      <alignment horizontal="center" vertical="center"/>
    </xf>
    <xf numFmtId="0" fontId="11" fillId="27" borderId="23" xfId="0" applyFont="1" applyFill="1" applyBorder="1" applyAlignment="1">
      <alignment horizontal="center" vertical="center"/>
    </xf>
    <xf numFmtId="0" fontId="3" fillId="27" borderId="25" xfId="0" applyFont="1" applyFill="1" applyBorder="1" applyAlignment="1">
      <alignment horizontal="right"/>
    </xf>
    <xf numFmtId="0" fontId="12" fillId="27" borderId="27" xfId="0" applyFont="1" applyFill="1" applyBorder="1" applyAlignment="1">
      <alignment horizontal="left"/>
    </xf>
    <xf numFmtId="0" fontId="11" fillId="27" borderId="26" xfId="0" applyFont="1" applyFill="1" applyBorder="1" applyAlignment="1">
      <alignment horizontal="left" vertical="center"/>
    </xf>
    <xf numFmtId="0" fontId="11" fillId="27" borderId="17" xfId="0" applyFont="1" applyFill="1" applyBorder="1" applyAlignment="1">
      <alignment horizontal="left" vertical="center" indent="2"/>
    </xf>
    <xf numFmtId="0" fontId="11" fillId="27" borderId="24" xfId="0" applyFont="1" applyFill="1" applyBorder="1" applyAlignment="1">
      <alignment horizontal="left" vertical="center"/>
    </xf>
    <xf numFmtId="0" fontId="11" fillId="27" borderId="27" xfId="0" applyFont="1" applyFill="1" applyBorder="1" applyAlignment="1">
      <alignment horizontal="left" vertical="center" indent="2"/>
    </xf>
    <xf numFmtId="0" fontId="13" fillId="27" borderId="38" xfId="0" applyFont="1" applyFill="1" applyBorder="1" applyAlignment="1">
      <alignment horizontal="center" vertical="center" wrapText="1"/>
    </xf>
    <xf numFmtId="0" fontId="36" fillId="27" borderId="23" xfId="0" applyFont="1" applyFill="1" applyBorder="1"/>
    <xf numFmtId="0" fontId="6" fillId="27" borderId="0" xfId="0" applyFont="1" applyFill="1" applyBorder="1" applyAlignment="1">
      <alignment vertical="center"/>
    </xf>
    <xf numFmtId="0" fontId="12" fillId="27" borderId="0" xfId="0" applyFont="1" applyFill="1" applyBorder="1" applyAlignment="1">
      <alignment vertical="center"/>
    </xf>
    <xf numFmtId="0" fontId="0" fillId="27" borderId="0" xfId="0" applyFill="1" applyBorder="1" applyAlignment="1">
      <alignment vertical="center"/>
    </xf>
    <xf numFmtId="0" fontId="12" fillId="27" borderId="0" xfId="0" applyFont="1" applyFill="1" applyBorder="1" applyAlignment="1">
      <alignment horizontal="right" vertical="center" indent="2"/>
    </xf>
    <xf numFmtId="3" fontId="12" fillId="27" borderId="38" xfId="0" applyNumberFormat="1" applyFont="1" applyFill="1" applyBorder="1" applyAlignment="1" applyProtection="1">
      <alignment horizontal="right" vertical="center" indent="2"/>
      <protection locked="0"/>
    </xf>
    <xf numFmtId="0" fontId="0" fillId="27" borderId="0" xfId="0" applyFill="1" applyBorder="1" applyAlignment="1">
      <alignment vertical="top"/>
    </xf>
    <xf numFmtId="3" fontId="46" fillId="27" borderId="0" xfId="0" applyNumberFormat="1" applyFont="1" applyFill="1" applyBorder="1" applyAlignment="1">
      <alignment horizontal="center" vertical="center" wrapText="1"/>
    </xf>
    <xf numFmtId="3" fontId="48" fillId="27" borderId="0" xfId="0" applyNumberFormat="1" applyFont="1" applyFill="1" applyBorder="1" applyAlignment="1">
      <alignment horizontal="center" vertical="center" wrapText="1"/>
    </xf>
    <xf numFmtId="0" fontId="25" fillId="27" borderId="0" xfId="41" applyFill="1" applyBorder="1" applyAlignment="1" applyProtection="1">
      <alignment horizontal="center" vertical="center" wrapText="1"/>
    </xf>
    <xf numFmtId="0" fontId="0" fillId="27" borderId="15" xfId="0" applyFill="1" applyBorder="1" applyAlignment="1">
      <alignment wrapText="1"/>
    </xf>
    <xf numFmtId="3" fontId="12" fillId="27" borderId="0" xfId="0" applyNumberFormat="1" applyFont="1" applyFill="1" applyBorder="1" applyAlignment="1" applyProtection="1">
      <alignment horizontal="right" vertical="center" indent="2"/>
      <protection locked="0"/>
    </xf>
    <xf numFmtId="164" fontId="12" fillId="27" borderId="0" xfId="34" applyFont="1" applyFill="1" applyBorder="1" applyAlignment="1">
      <alignment horizontal="center" vertical="center"/>
    </xf>
    <xf numFmtId="0" fontId="6" fillId="27" borderId="0" xfId="0" applyFont="1" applyFill="1" applyBorder="1" applyAlignment="1">
      <alignment vertical="top"/>
    </xf>
    <xf numFmtId="0" fontId="12" fillId="27" borderId="0" xfId="0" applyFont="1" applyFill="1" applyBorder="1" applyAlignment="1">
      <alignment vertical="top"/>
    </xf>
    <xf numFmtId="3" fontId="12" fillId="27" borderId="39" xfId="0" applyNumberFormat="1" applyFont="1" applyFill="1" applyBorder="1" applyAlignment="1" applyProtection="1">
      <alignment horizontal="right" vertical="center" indent="2"/>
    </xf>
    <xf numFmtId="3" fontId="12" fillId="27" borderId="0" xfId="0" applyNumberFormat="1" applyFont="1" applyFill="1" applyBorder="1" applyAlignment="1" applyProtection="1">
      <alignment vertical="top"/>
      <protection locked="0"/>
    </xf>
    <xf numFmtId="0" fontId="46" fillId="27" borderId="0" xfId="0" applyFont="1" applyFill="1" applyBorder="1" applyAlignment="1">
      <alignment vertical="top"/>
    </xf>
    <xf numFmtId="0" fontId="49" fillId="27" borderId="0" xfId="0" applyFont="1" applyFill="1" applyBorder="1" applyAlignment="1">
      <alignment horizontal="left" indent="1"/>
    </xf>
    <xf numFmtId="0" fontId="46" fillId="27" borderId="0" xfId="0" applyFont="1" applyFill="1" applyBorder="1" applyAlignment="1">
      <alignment horizontal="center" wrapText="1"/>
    </xf>
    <xf numFmtId="0" fontId="2" fillId="27" borderId="23" xfId="0" applyFont="1" applyFill="1" applyBorder="1"/>
    <xf numFmtId="0" fontId="55" fillId="27" borderId="0" xfId="0" applyFont="1" applyFill="1" applyBorder="1" applyAlignment="1">
      <alignment horizontal="left" indent="1"/>
    </xf>
    <xf numFmtId="0" fontId="2" fillId="27" borderId="0" xfId="0" applyFont="1" applyFill="1" applyBorder="1" applyAlignment="1">
      <alignment vertical="top"/>
    </xf>
    <xf numFmtId="0" fontId="2" fillId="27" borderId="0" xfId="0" applyFont="1" applyFill="1" applyBorder="1" applyAlignment="1"/>
    <xf numFmtId="3" fontId="2" fillId="27" borderId="0" xfId="0" applyNumberFormat="1" applyFont="1" applyFill="1" applyBorder="1" applyAlignment="1" applyProtection="1">
      <alignment horizontal="right" vertical="center" indent="2"/>
      <protection locked="0"/>
    </xf>
    <xf numFmtId="0" fontId="2" fillId="27" borderId="15" xfId="0" applyFont="1" applyFill="1" applyBorder="1"/>
    <xf numFmtId="0" fontId="60" fillId="27" borderId="0" xfId="0" applyFont="1" applyFill="1" applyBorder="1" applyAlignment="1">
      <alignment horizontal="left" indent="1"/>
    </xf>
    <xf numFmtId="0" fontId="12" fillId="27" borderId="0" xfId="0" applyFont="1" applyFill="1" applyBorder="1" applyAlignment="1">
      <alignment vertical="center" wrapText="1"/>
    </xf>
    <xf numFmtId="3" fontId="46" fillId="27" borderId="0" xfId="0" applyNumberFormat="1" applyFont="1" applyFill="1" applyBorder="1" applyAlignment="1">
      <alignment vertical="center" wrapText="1"/>
    </xf>
    <xf numFmtId="3" fontId="46" fillId="27" borderId="0" xfId="0" applyNumberFormat="1" applyFont="1" applyFill="1" applyBorder="1" applyAlignment="1">
      <alignment horizontal="center" vertical="center"/>
    </xf>
    <xf numFmtId="0" fontId="49" fillId="27" borderId="0" xfId="0" applyFont="1" applyFill="1" applyBorder="1" applyAlignment="1">
      <alignment horizontal="left" vertical="top" wrapText="1" indent="1"/>
    </xf>
    <xf numFmtId="0" fontId="44" fillId="27" borderId="23" xfId="0" applyFont="1" applyFill="1" applyBorder="1"/>
    <xf numFmtId="0" fontId="45" fillId="27" borderId="0" xfId="0" applyFont="1" applyFill="1" applyBorder="1" applyAlignment="1">
      <alignment horizontal="right" vertical="center" indent="2"/>
    </xf>
    <xf numFmtId="0" fontId="46" fillId="27" borderId="15" xfId="0" applyFont="1" applyFill="1" applyBorder="1"/>
    <xf numFmtId="0" fontId="11" fillId="27" borderId="0" xfId="0" applyFont="1" applyFill="1" applyBorder="1" applyAlignment="1">
      <alignment vertical="center"/>
    </xf>
    <xf numFmtId="0" fontId="0" fillId="27" borderId="0" xfId="0" applyFill="1" applyBorder="1" applyAlignment="1">
      <alignment vertical="top" wrapText="1"/>
    </xf>
    <xf numFmtId="3" fontId="12" fillId="27" borderId="0" xfId="0" applyNumberFormat="1" applyFont="1" applyFill="1" applyBorder="1" applyAlignment="1">
      <alignment horizontal="right" vertical="center" indent="2"/>
    </xf>
    <xf numFmtId="0" fontId="8" fillId="27" borderId="0" xfId="0" applyFont="1" applyFill="1" applyBorder="1" applyAlignment="1">
      <alignment vertical="center"/>
    </xf>
    <xf numFmtId="0" fontId="14" fillId="27" borderId="0" xfId="0" applyFont="1" applyFill="1" applyBorder="1" applyAlignment="1">
      <alignment wrapText="1"/>
    </xf>
    <xf numFmtId="0" fontId="14" fillId="27" borderId="15" xfId="0" applyFont="1" applyFill="1" applyBorder="1"/>
    <xf numFmtId="0" fontId="25" fillId="27" borderId="0" xfId="41" applyFill="1" applyBorder="1" applyAlignment="1" applyProtection="1">
      <alignment vertical="center" wrapText="1"/>
    </xf>
    <xf numFmtId="0" fontId="11" fillId="27" borderId="0" xfId="0" applyFont="1" applyFill="1" applyBorder="1" applyAlignment="1">
      <alignment horizontal="center" vertical="top" wrapText="1"/>
    </xf>
    <xf numFmtId="3" fontId="12" fillId="27" borderId="0" xfId="0" applyNumberFormat="1" applyFont="1" applyFill="1" applyBorder="1" applyAlignment="1">
      <alignment horizontal="right" vertical="center" wrapText="1" indent="2"/>
    </xf>
    <xf numFmtId="0" fontId="12" fillId="27" borderId="0" xfId="0" applyFont="1" applyFill="1" applyBorder="1" applyAlignment="1">
      <alignment horizontal="right" vertical="center" wrapText="1" indent="2"/>
    </xf>
    <xf numFmtId="0" fontId="36" fillId="27" borderId="24" xfId="0" applyFont="1" applyFill="1" applyBorder="1"/>
    <xf numFmtId="0" fontId="37" fillId="27" borderId="23" xfId="0" applyFont="1" applyFill="1" applyBorder="1"/>
    <xf numFmtId="0" fontId="34" fillId="27" borderId="0" xfId="0" applyFont="1" applyFill="1" applyBorder="1" applyAlignment="1">
      <alignment vertical="top"/>
    </xf>
    <xf numFmtId="0" fontId="37" fillId="27" borderId="0" xfId="0" applyFont="1" applyFill="1" applyBorder="1"/>
    <xf numFmtId="4" fontId="42" fillId="27" borderId="0" xfId="0" applyNumberFormat="1" applyFont="1" applyFill="1" applyBorder="1" applyAlignment="1">
      <alignment horizontal="right"/>
    </xf>
    <xf numFmtId="0" fontId="37" fillId="27" borderId="15" xfId="0" applyFont="1" applyFill="1" applyBorder="1"/>
    <xf numFmtId="0" fontId="13" fillId="27" borderId="38" xfId="0" applyFont="1" applyFill="1" applyBorder="1" applyAlignment="1">
      <alignment horizontal="center" vertical="top" wrapText="1"/>
    </xf>
    <xf numFmtId="4" fontId="12" fillId="27" borderId="0" xfId="0" applyNumberFormat="1" applyFont="1" applyFill="1" applyBorder="1" applyAlignment="1" applyProtection="1">
      <alignment horizontal="right" vertical="center" indent="2"/>
    </xf>
    <xf numFmtId="3" fontId="8" fillId="27" borderId="70" xfId="0" applyNumberFormat="1" applyFont="1" applyFill="1" applyBorder="1" applyAlignment="1">
      <alignment horizontal="right" vertical="center" indent="2"/>
    </xf>
    <xf numFmtId="0" fontId="46" fillId="27" borderId="25" xfId="0" applyFont="1" applyFill="1" applyBorder="1" applyAlignment="1">
      <alignment horizontal="center" vertical="top" wrapText="1"/>
    </xf>
    <xf numFmtId="4" fontId="12" fillId="27" borderId="0" xfId="0" applyNumberFormat="1" applyFont="1" applyFill="1" applyBorder="1" applyAlignment="1" applyProtection="1">
      <alignment horizontal="right" vertical="center" indent="2"/>
      <protection locked="0"/>
    </xf>
    <xf numFmtId="4" fontId="46" fillId="27" borderId="0" xfId="0" applyNumberFormat="1" applyFont="1" applyFill="1" applyBorder="1" applyAlignment="1">
      <alignment horizontal="center" vertical="center"/>
    </xf>
    <xf numFmtId="3" fontId="6" fillId="27" borderId="38" xfId="0" applyNumberFormat="1" applyFont="1" applyFill="1" applyBorder="1" applyAlignment="1" applyProtection="1">
      <alignment horizontal="right" vertical="center" indent="2"/>
      <protection locked="0"/>
    </xf>
    <xf numFmtId="3" fontId="12" fillId="27" borderId="0" xfId="0" applyNumberFormat="1" applyFont="1" applyFill="1" applyBorder="1" applyAlignment="1" applyProtection="1">
      <alignment horizontal="right" vertical="center" indent="2"/>
    </xf>
    <xf numFmtId="3" fontId="69" fillId="27" borderId="0" xfId="41" applyNumberFormat="1" applyFont="1" applyFill="1" applyBorder="1" applyAlignment="1" applyProtection="1">
      <alignment vertical="top"/>
    </xf>
    <xf numFmtId="1" fontId="11" fillId="27" borderId="0" xfId="0" quotePrefix="1" applyNumberFormat="1" applyFont="1" applyFill="1" applyBorder="1" applyAlignment="1">
      <alignment horizontal="center" vertical="top" wrapText="1"/>
    </xf>
    <xf numFmtId="3" fontId="6" fillId="27" borderId="15" xfId="0" applyNumberFormat="1" applyFont="1" applyFill="1" applyBorder="1" applyAlignment="1">
      <alignment vertical="center"/>
    </xf>
    <xf numFmtId="3" fontId="46" fillId="27" borderId="0" xfId="0" applyNumberFormat="1" applyFont="1" applyFill="1" applyBorder="1" applyAlignment="1">
      <alignment horizontal="center" vertical="top" wrapText="1"/>
    </xf>
    <xf numFmtId="4" fontId="12" fillId="27" borderId="0" xfId="0" applyNumberFormat="1" applyFont="1" applyFill="1" applyBorder="1" applyAlignment="1">
      <alignment horizontal="right" vertical="center" wrapText="1" indent="2"/>
    </xf>
    <xf numFmtId="3" fontId="46" fillId="27" borderId="0" xfId="0" applyNumberFormat="1" applyFont="1" applyFill="1" applyBorder="1" applyAlignment="1">
      <alignment horizontal="right" vertical="center" wrapText="1"/>
    </xf>
    <xf numFmtId="0" fontId="46" fillId="27" borderId="0" xfId="0" applyFont="1" applyFill="1" applyBorder="1" applyAlignment="1">
      <alignment horizontal="center" vertical="top"/>
    </xf>
    <xf numFmtId="0" fontId="46" fillId="27" borderId="0" xfId="0" applyFont="1" applyFill="1" applyBorder="1" applyAlignment="1">
      <alignment horizontal="center" vertical="top" wrapText="1"/>
    </xf>
    <xf numFmtId="4" fontId="12" fillId="27" borderId="0" xfId="0" applyNumberFormat="1" applyFont="1" applyFill="1" applyBorder="1" applyAlignment="1">
      <alignment horizontal="right" vertical="center" indent="2"/>
    </xf>
    <xf numFmtId="0" fontId="4" fillId="27" borderId="0" xfId="0" applyFont="1" applyFill="1" applyBorder="1" applyAlignment="1">
      <alignment vertical="top"/>
    </xf>
    <xf numFmtId="14" fontId="6" fillId="27" borderId="38" xfId="0" applyNumberFormat="1" applyFont="1" applyFill="1" applyBorder="1" applyAlignment="1" applyProtection="1">
      <alignment horizontal="right" vertical="center" indent="2"/>
      <protection locked="0"/>
    </xf>
    <xf numFmtId="4" fontId="46" fillId="27" borderId="0" xfId="0" applyNumberFormat="1" applyFont="1" applyFill="1" applyBorder="1" applyAlignment="1">
      <alignment horizontal="right" vertical="center" wrapText="1"/>
    </xf>
    <xf numFmtId="0" fontId="12" fillId="27" borderId="26" xfId="0" applyFont="1" applyFill="1" applyBorder="1" applyAlignment="1" applyProtection="1">
      <alignment vertical="top"/>
      <protection locked="0"/>
    </xf>
    <xf numFmtId="0" fontId="0" fillId="27" borderId="16" xfId="0" applyFill="1" applyBorder="1" applyAlignment="1"/>
    <xf numFmtId="0" fontId="0" fillId="27" borderId="17" xfId="0" applyFill="1" applyBorder="1" applyAlignment="1"/>
    <xf numFmtId="0" fontId="12" fillId="27" borderId="23" xfId="0" applyFont="1" applyFill="1" applyBorder="1" applyAlignment="1" applyProtection="1">
      <alignment vertical="top"/>
      <protection locked="0"/>
    </xf>
    <xf numFmtId="0" fontId="0" fillId="27" borderId="0" xfId="0" applyFill="1" applyBorder="1" applyAlignment="1"/>
    <xf numFmtId="0" fontId="0" fillId="27" borderId="15" xfId="0" applyFill="1" applyBorder="1" applyAlignment="1"/>
    <xf numFmtId="0" fontId="12" fillId="27" borderId="24" xfId="0" applyFont="1" applyFill="1" applyBorder="1" applyAlignment="1" applyProtection="1">
      <alignment vertical="top"/>
      <protection locked="0"/>
    </xf>
    <xf numFmtId="0" fontId="0" fillId="27" borderId="25" xfId="0" applyFill="1" applyBorder="1" applyAlignment="1"/>
    <xf numFmtId="0" fontId="0" fillId="27" borderId="27" xfId="0" applyFill="1" applyBorder="1" applyAlignment="1"/>
    <xf numFmtId="0" fontId="0" fillId="44" borderId="0" xfId="0" applyFill="1" applyAlignment="1">
      <alignment wrapText="1"/>
    </xf>
    <xf numFmtId="0" fontId="81" fillId="44" borderId="0" xfId="46" applyFont="1" applyFill="1" applyProtection="1"/>
    <xf numFmtId="0" fontId="123" fillId="25" borderId="0" xfId="0" applyFont="1" applyFill="1" applyBorder="1" applyAlignment="1">
      <alignment horizontal="left"/>
    </xf>
    <xf numFmtId="0" fontId="123" fillId="25" borderId="0" xfId="0" applyFont="1" applyFill="1"/>
    <xf numFmtId="49" fontId="0" fillId="0" borderId="0" xfId="0" applyNumberFormat="1"/>
    <xf numFmtId="0" fontId="104" fillId="0" borderId="0" xfId="0" applyNumberFormat="1" applyFont="1" applyAlignment="1">
      <alignment horizontal="left" vertical="top"/>
    </xf>
    <xf numFmtId="0" fontId="124" fillId="19" borderId="0" xfId="61" applyFont="1" applyFill="1" applyBorder="1" applyAlignment="1" applyProtection="1">
      <alignment vertical="center"/>
    </xf>
    <xf numFmtId="0" fontId="2" fillId="0" borderId="0" xfId="0" applyNumberFormat="1" applyFont="1" applyFill="1" applyBorder="1"/>
    <xf numFmtId="0" fontId="8" fillId="19" borderId="0" xfId="61" applyFont="1" applyFill="1" applyBorder="1" applyAlignment="1" applyProtection="1">
      <alignment horizontal="center" vertical="center"/>
    </xf>
    <xf numFmtId="0" fontId="35" fillId="19" borderId="0" xfId="61" quotePrefix="1" applyFont="1" applyFill="1" applyBorder="1" applyAlignment="1" applyProtection="1">
      <alignment horizontal="center" vertical="center"/>
    </xf>
    <xf numFmtId="0" fontId="76" fillId="25" borderId="0" xfId="0" applyFont="1" applyFill="1"/>
    <xf numFmtId="0" fontId="0" fillId="52" borderId="23" xfId="61" applyFont="1" applyFill="1" applyBorder="1" applyProtection="1"/>
    <xf numFmtId="0" fontId="8" fillId="52" borderId="0" xfId="61" applyFont="1" applyFill="1" applyBorder="1" applyAlignment="1" applyProtection="1">
      <alignment horizontal="left" vertical="center"/>
    </xf>
    <xf numFmtId="0" fontId="3" fillId="52" borderId="0" xfId="61" applyFont="1" applyFill="1" applyBorder="1" applyAlignment="1" applyProtection="1">
      <alignment horizontal="left" vertical="center"/>
    </xf>
    <xf numFmtId="3" fontId="119" fillId="52" borderId="0" xfId="61" applyNumberFormat="1" applyFont="1" applyFill="1" applyBorder="1" applyAlignment="1" applyProtection="1">
      <alignment horizontal="right" vertical="center"/>
    </xf>
    <xf numFmtId="0" fontId="118" fillId="52" borderId="0" xfId="61" applyFont="1" applyFill="1" applyBorder="1" applyAlignment="1" applyProtection="1">
      <alignment horizontal="right" vertical="center"/>
    </xf>
    <xf numFmtId="3" fontId="118" fillId="52" borderId="0" xfId="61" applyNumberFormat="1" applyFont="1" applyFill="1" applyBorder="1" applyAlignment="1" applyProtection="1">
      <alignment horizontal="right" vertical="center"/>
    </xf>
    <xf numFmtId="0" fontId="3" fillId="52" borderId="0" xfId="61" applyFont="1" applyFill="1" applyBorder="1" applyAlignment="1" applyProtection="1">
      <alignment horizontal="center"/>
    </xf>
    <xf numFmtId="0" fontId="0" fillId="52" borderId="0" xfId="61" applyFont="1" applyFill="1" applyBorder="1" applyAlignment="1" applyProtection="1">
      <alignment vertical="center"/>
    </xf>
    <xf numFmtId="0" fontId="0" fillId="52" borderId="0" xfId="61" applyFont="1" applyFill="1" applyBorder="1" applyProtection="1"/>
    <xf numFmtId="0" fontId="0" fillId="52" borderId="15" xfId="61" applyFont="1" applyFill="1" applyBorder="1" applyProtection="1"/>
    <xf numFmtId="0" fontId="72" fillId="52" borderId="0" xfId="61" applyFont="1" applyFill="1" applyBorder="1" applyAlignment="1" applyProtection="1">
      <alignment vertical="center"/>
    </xf>
    <xf numFmtId="0" fontId="34" fillId="52" borderId="0" xfId="61" applyFont="1" applyFill="1" applyBorder="1" applyAlignment="1" applyProtection="1">
      <alignment vertical="center"/>
    </xf>
    <xf numFmtId="0" fontId="124" fillId="52" borderId="0" xfId="61" applyFont="1" applyFill="1" applyBorder="1" applyAlignment="1" applyProtection="1">
      <alignment vertical="center"/>
    </xf>
    <xf numFmtId="0" fontId="114" fillId="52" borderId="0" xfId="61" applyFont="1" applyFill="1" applyBorder="1" applyAlignment="1" applyProtection="1">
      <alignment horizontal="left" vertical="center"/>
    </xf>
    <xf numFmtId="0" fontId="117" fillId="52" borderId="0" xfId="61" applyFont="1" applyFill="1" applyBorder="1" applyAlignment="1" applyProtection="1">
      <alignment horizontal="left" vertical="top" wrapText="1"/>
    </xf>
    <xf numFmtId="0" fontId="0" fillId="52" borderId="0" xfId="61" applyFont="1" applyFill="1" applyBorder="1" applyAlignment="1" applyProtection="1">
      <alignment horizontal="left" vertical="center"/>
    </xf>
    <xf numFmtId="0" fontId="45" fillId="52" borderId="0" xfId="61" applyFont="1" applyFill="1" applyBorder="1" applyAlignment="1" applyProtection="1">
      <alignment vertical="center"/>
    </xf>
    <xf numFmtId="0" fontId="35" fillId="52" borderId="0" xfId="61" applyFont="1" applyFill="1" applyBorder="1" applyAlignment="1" applyProtection="1">
      <alignment horizontal="left" vertical="center"/>
    </xf>
    <xf numFmtId="0" fontId="116" fillId="52" borderId="0" xfId="61" applyFont="1" applyFill="1" applyBorder="1" applyAlignment="1" applyProtection="1">
      <alignment horizontal="left" vertical="center"/>
    </xf>
    <xf numFmtId="0" fontId="34" fillId="52" borderId="0" xfId="61" applyFont="1" applyFill="1" applyBorder="1" applyAlignment="1" applyProtection="1">
      <alignment horizontal="right" vertical="center" indent="1"/>
    </xf>
    <xf numFmtId="0" fontId="36" fillId="52" borderId="0" xfId="61" applyFont="1" applyFill="1" applyBorder="1" applyAlignment="1" applyProtection="1">
      <alignment horizontal="right" vertical="center" indent="1"/>
    </xf>
    <xf numFmtId="0" fontId="35" fillId="52" borderId="0" xfId="61" quotePrefix="1" applyFont="1" applyFill="1" applyBorder="1" applyAlignment="1" applyProtection="1">
      <alignment horizontal="center"/>
    </xf>
    <xf numFmtId="0" fontId="61" fillId="52" borderId="0" xfId="61" applyFont="1" applyFill="1" applyBorder="1" applyAlignment="1" applyProtection="1">
      <alignment horizontal="left" vertical="center" wrapText="1"/>
    </xf>
    <xf numFmtId="0" fontId="8" fillId="52" borderId="0" xfId="61" applyFont="1" applyFill="1" applyBorder="1" applyAlignment="1" applyProtection="1">
      <alignment horizontal="center" vertical="center"/>
    </xf>
    <xf numFmtId="0" fontId="3" fillId="52" borderId="0" xfId="61" applyFont="1" applyFill="1" applyBorder="1" applyAlignment="1" applyProtection="1">
      <alignment horizontal="center" vertical="center"/>
    </xf>
    <xf numFmtId="0" fontId="35" fillId="52" borderId="0" xfId="61" quotePrefix="1" applyFont="1" applyFill="1" applyBorder="1" applyAlignment="1" applyProtection="1">
      <alignment horizontal="center" vertical="center"/>
    </xf>
    <xf numFmtId="0" fontId="8" fillId="52" borderId="0" xfId="61" quotePrefix="1" applyFont="1" applyFill="1" applyBorder="1" applyAlignment="1" applyProtection="1">
      <alignment horizontal="center" vertical="center"/>
    </xf>
    <xf numFmtId="0" fontId="8" fillId="52" borderId="0" xfId="61" quotePrefix="1" applyFont="1" applyFill="1" applyBorder="1" applyAlignment="1" applyProtection="1">
      <alignment horizontal="center" vertical="center" wrapText="1"/>
    </xf>
    <xf numFmtId="0" fontId="34" fillId="52" borderId="0" xfId="61" applyFont="1" applyFill="1" applyBorder="1" applyAlignment="1" applyProtection="1">
      <alignment horizontal="left" vertical="center"/>
    </xf>
    <xf numFmtId="0" fontId="8" fillId="52" borderId="0" xfId="61" applyFont="1" applyFill="1" applyBorder="1" applyAlignment="1" applyProtection="1">
      <alignment horizontal="left" vertical="center" wrapText="1"/>
    </xf>
    <xf numFmtId="0" fontId="117" fillId="52" borderId="0" xfId="61" applyFont="1" applyFill="1" applyBorder="1" applyAlignment="1" applyProtection="1">
      <alignment horizontal="center" vertical="center" wrapText="1"/>
    </xf>
    <xf numFmtId="0" fontId="36" fillId="52" borderId="23" xfId="61" applyFont="1" applyFill="1" applyBorder="1" applyAlignment="1" applyProtection="1">
      <alignment vertical="center"/>
    </xf>
    <xf numFmtId="3" fontId="34" fillId="52" borderId="137" xfId="61" applyNumberFormat="1" applyFont="1" applyFill="1" applyBorder="1" applyAlignment="1" applyProtection="1">
      <alignment horizontal="left" vertical="center" indent="1"/>
      <protection locked="0"/>
    </xf>
    <xf numFmtId="0" fontId="34" fillId="52" borderId="38" xfId="61" applyNumberFormat="1" applyFont="1" applyFill="1" applyBorder="1" applyAlignment="1" applyProtection="1">
      <alignment vertical="center"/>
      <protection locked="0"/>
    </xf>
    <xf numFmtId="0" fontId="34" fillId="52" borderId="142" xfId="61" applyNumberFormat="1" applyFont="1" applyFill="1" applyBorder="1" applyAlignment="1" applyProtection="1">
      <alignment vertical="center"/>
    </xf>
    <xf numFmtId="0" fontId="34" fillId="52" borderId="143" xfId="61" applyNumberFormat="1" applyFont="1" applyFill="1" applyBorder="1" applyAlignment="1" applyProtection="1">
      <alignment vertical="center"/>
      <protection locked="0"/>
    </xf>
    <xf numFmtId="0" fontId="34" fillId="52" borderId="142" xfId="61" applyNumberFormat="1" applyFont="1" applyFill="1" applyBorder="1" applyAlignment="1" applyProtection="1">
      <alignment vertical="center"/>
      <protection locked="0"/>
    </xf>
    <xf numFmtId="0" fontId="34" fillId="52" borderId="15" xfId="61" applyFont="1" applyFill="1" applyBorder="1" applyAlignment="1" applyProtection="1">
      <alignment horizontal="left" vertical="center" wrapText="1"/>
    </xf>
    <xf numFmtId="0" fontId="55" fillId="52" borderId="0" xfId="61" applyFont="1" applyFill="1" applyBorder="1"/>
    <xf numFmtId="0" fontId="6" fillId="52" borderId="0" xfId="61" applyFont="1" applyFill="1" applyBorder="1"/>
    <xf numFmtId="4" fontId="2" fillId="52" borderId="0" xfId="64" applyNumberFormat="1" applyFill="1" applyBorder="1" applyAlignment="1">
      <alignment wrapText="1"/>
    </xf>
    <xf numFmtId="0" fontId="0" fillId="52" borderId="0" xfId="61" applyFont="1" applyFill="1" applyProtection="1"/>
    <xf numFmtId="0" fontId="0" fillId="52" borderId="0" xfId="61" applyFont="1" applyFill="1" applyBorder="1"/>
    <xf numFmtId="3" fontId="36" fillId="17" borderId="0" xfId="65" applyNumberFormat="1" applyFont="1" applyFill="1" applyAlignment="1" applyProtection="1">
      <alignment horizontal="right" vertical="center"/>
      <protection locked="0"/>
    </xf>
    <xf numFmtId="0" fontId="36" fillId="44" borderId="0" xfId="61" applyFont="1" applyFill="1" applyAlignment="1" applyProtection="1">
      <alignment vertical="center"/>
    </xf>
    <xf numFmtId="3" fontId="36" fillId="17" borderId="144" xfId="65" applyNumberFormat="1" applyFont="1" applyFill="1" applyBorder="1" applyAlignment="1" applyProtection="1">
      <alignment horizontal="right" vertical="center"/>
      <protection locked="0"/>
    </xf>
    <xf numFmtId="3" fontId="34" fillId="52" borderId="144" xfId="61" applyNumberFormat="1" applyFont="1" applyFill="1" applyBorder="1" applyAlignment="1" applyProtection="1">
      <alignment horizontal="right" vertical="center" indent="1"/>
      <protection locked="0"/>
    </xf>
    <xf numFmtId="0" fontId="2" fillId="20" borderId="26" xfId="0" applyFont="1" applyFill="1" applyBorder="1" applyAlignment="1"/>
    <xf numFmtId="0" fontId="6" fillId="43" borderId="23" xfId="0" applyFont="1" applyFill="1" applyBorder="1" applyAlignment="1">
      <alignment horizontal="center"/>
    </xf>
    <xf numFmtId="0" fontId="6" fillId="43" borderId="0" xfId="0" applyFont="1" applyFill="1" applyBorder="1" applyAlignment="1">
      <alignment horizontal="center"/>
    </xf>
    <xf numFmtId="0" fontId="6" fillId="43" borderId="15" xfId="0" applyFont="1" applyFill="1" applyBorder="1" applyAlignment="1">
      <alignment horizontal="center"/>
    </xf>
    <xf numFmtId="0" fontId="8" fillId="43" borderId="0" xfId="0" applyFont="1" applyFill="1" applyBorder="1" applyAlignment="1">
      <alignment vertical="top"/>
    </xf>
    <xf numFmtId="0" fontId="8" fillId="43" borderId="0" xfId="0" applyFont="1" applyFill="1" applyBorder="1" applyAlignment="1">
      <alignment horizontal="left"/>
    </xf>
    <xf numFmtId="0" fontId="8" fillId="43" borderId="0" xfId="0" applyFont="1" applyFill="1" applyBorder="1" applyAlignment="1">
      <alignment horizontal="center"/>
    </xf>
    <xf numFmtId="3" fontId="6" fillId="43" borderId="0" xfId="0" applyNumberFormat="1" applyFont="1" applyFill="1" applyBorder="1" applyAlignment="1">
      <alignment horizontal="center" vertical="center"/>
    </xf>
    <xf numFmtId="3" fontId="47" fillId="43" borderId="0" xfId="0" applyNumberFormat="1" applyFont="1" applyFill="1" applyBorder="1" applyAlignment="1">
      <alignment horizontal="left"/>
    </xf>
    <xf numFmtId="3" fontId="8" fillId="43" borderId="0" xfId="0" applyNumberFormat="1" applyFont="1" applyFill="1" applyBorder="1" applyAlignment="1">
      <alignment horizontal="center" vertical="center"/>
    </xf>
    <xf numFmtId="3" fontId="8" fillId="43" borderId="0" xfId="0" applyNumberFormat="1" applyFont="1" applyFill="1" applyBorder="1" applyAlignment="1">
      <alignment horizontal="center" vertical="top" wrapText="1"/>
    </xf>
    <xf numFmtId="3" fontId="8" fillId="43" borderId="0" xfId="0" applyNumberFormat="1" applyFont="1" applyFill="1" applyBorder="1" applyAlignment="1">
      <alignment vertical="center"/>
    </xf>
    <xf numFmtId="3" fontId="58" fillId="43" borderId="0" xfId="0" applyNumberFormat="1" applyFont="1" applyFill="1" applyBorder="1" applyAlignment="1">
      <alignment horizontal="left"/>
    </xf>
    <xf numFmtId="3" fontId="8" fillId="43" borderId="0" xfId="0" applyNumberFormat="1" applyFont="1" applyFill="1" applyBorder="1" applyAlignment="1">
      <alignment horizontal="center" vertical="center" wrapText="1"/>
    </xf>
    <xf numFmtId="3" fontId="8" fillId="17" borderId="142" xfId="0" applyNumberFormat="1" applyFont="1" applyFill="1" applyBorder="1" applyAlignment="1">
      <alignment horizontal="right" vertical="center" indent="2"/>
    </xf>
    <xf numFmtId="0" fontId="6" fillId="35" borderId="0" xfId="0" applyFont="1" applyFill="1" applyBorder="1" applyAlignment="1">
      <alignment vertical="top"/>
    </xf>
    <xf numFmtId="0" fontId="82" fillId="35" borderId="0" xfId="0" applyFont="1" applyFill="1" applyBorder="1" applyAlignment="1">
      <alignment vertical="top"/>
    </xf>
    <xf numFmtId="0" fontId="85" fillId="35" borderId="0" xfId="0" applyFont="1" applyFill="1" applyBorder="1" applyAlignment="1">
      <alignment vertical="top"/>
    </xf>
    <xf numFmtId="3" fontId="85" fillId="35" borderId="0" xfId="0" applyNumberFormat="1" applyFont="1" applyFill="1" applyBorder="1" applyAlignment="1">
      <alignment horizontal="center" vertical="center"/>
    </xf>
    <xf numFmtId="0" fontId="82" fillId="35" borderId="0" xfId="0" applyFont="1" applyFill="1" applyBorder="1" applyAlignment="1">
      <alignment horizontal="right" vertical="center" indent="2"/>
    </xf>
    <xf numFmtId="3" fontId="83" fillId="35" borderId="38" xfId="0" applyNumberFormat="1" applyFont="1" applyFill="1" applyBorder="1" applyAlignment="1" applyProtection="1">
      <alignment horizontal="right" vertical="center" indent="2"/>
      <protection locked="0"/>
    </xf>
    <xf numFmtId="0" fontId="36" fillId="35" borderId="23" xfId="0" applyFont="1" applyFill="1" applyBorder="1"/>
    <xf numFmtId="0" fontId="0" fillId="35" borderId="15" xfId="0" applyFill="1" applyBorder="1"/>
    <xf numFmtId="3" fontId="46" fillId="35" borderId="0" xfId="0" applyNumberFormat="1" applyFont="1" applyFill="1" applyBorder="1" applyAlignment="1" applyProtection="1">
      <alignment horizontal="center" vertical="center"/>
    </xf>
    <xf numFmtId="0" fontId="0" fillId="35" borderId="0" xfId="0" applyFill="1"/>
    <xf numFmtId="0" fontId="85" fillId="25" borderId="26" xfId="0" applyFont="1" applyFill="1" applyBorder="1"/>
    <xf numFmtId="0" fontId="0" fillId="25" borderId="16" xfId="0" applyFill="1" applyBorder="1" applyAlignment="1"/>
    <xf numFmtId="0" fontId="0" fillId="25" borderId="17" xfId="0" applyFill="1" applyBorder="1" applyAlignment="1"/>
    <xf numFmtId="0" fontId="83" fillId="25" borderId="23" xfId="0" applyFont="1" applyFill="1" applyBorder="1"/>
    <xf numFmtId="0" fontId="11" fillId="25" borderId="0" xfId="0" applyFont="1" applyFill="1" applyBorder="1" applyAlignment="1">
      <alignment vertical="center"/>
    </xf>
    <xf numFmtId="0" fontId="49" fillId="25" borderId="0" xfId="0" applyFont="1" applyFill="1" applyBorder="1"/>
    <xf numFmtId="0" fontId="55" fillId="25" borderId="0" xfId="0" applyFont="1" applyFill="1" applyBorder="1"/>
    <xf numFmtId="0" fontId="6" fillId="25" borderId="15" xfId="0" applyFont="1" applyFill="1" applyBorder="1"/>
    <xf numFmtId="0" fontId="82" fillId="25" borderId="23" xfId="0" applyFont="1" applyFill="1" applyBorder="1" applyAlignment="1">
      <alignment vertical="center"/>
    </xf>
    <xf numFmtId="0" fontId="0" fillId="25" borderId="0" xfId="0" applyFill="1" applyBorder="1" applyAlignment="1">
      <alignment vertical="center"/>
    </xf>
    <xf numFmtId="0" fontId="0" fillId="25" borderId="15" xfId="0" applyFill="1" applyBorder="1" applyAlignment="1">
      <alignment vertical="center"/>
    </xf>
    <xf numFmtId="0" fontId="45" fillId="25" borderId="0" xfId="0" applyFont="1" applyFill="1" applyBorder="1"/>
    <xf numFmtId="0" fontId="82" fillId="25" borderId="23" xfId="0" applyFont="1" applyFill="1" applyBorder="1"/>
    <xf numFmtId="0" fontId="11" fillId="25" borderId="0" xfId="0" applyFont="1" applyFill="1" applyBorder="1"/>
    <xf numFmtId="0" fontId="0" fillId="25" borderId="45" xfId="0" applyFill="1" applyBorder="1"/>
    <xf numFmtId="0" fontId="6" fillId="25" borderId="45" xfId="0" applyFont="1" applyFill="1" applyBorder="1"/>
    <xf numFmtId="0" fontId="0" fillId="25" borderId="46" xfId="0" applyFill="1" applyBorder="1"/>
    <xf numFmtId="0" fontId="6" fillId="25" borderId="46" xfId="0" applyFont="1" applyFill="1" applyBorder="1"/>
    <xf numFmtId="0" fontId="49" fillId="25" borderId="0" xfId="0" applyFont="1" applyFill="1" applyBorder="1" applyAlignment="1">
      <alignment horizontal="right"/>
    </xf>
    <xf numFmtId="0" fontId="82" fillId="25" borderId="24" xfId="0" applyFont="1" applyFill="1" applyBorder="1"/>
    <xf numFmtId="0" fontId="6" fillId="25" borderId="25" xfId="0" applyFont="1" applyFill="1" applyBorder="1"/>
    <xf numFmtId="0" fontId="6" fillId="25" borderId="27" xfId="0" applyFont="1" applyFill="1" applyBorder="1"/>
    <xf numFmtId="0" fontId="86" fillId="25" borderId="0" xfId="0" applyFont="1" applyFill="1" applyBorder="1" applyAlignment="1">
      <alignment horizontal="left"/>
    </xf>
    <xf numFmtId="4" fontId="3" fillId="25" borderId="0" xfId="0" applyNumberFormat="1" applyFont="1" applyFill="1" applyBorder="1" applyAlignment="1">
      <alignment horizontal="right"/>
    </xf>
    <xf numFmtId="0" fontId="81" fillId="25" borderId="0" xfId="0" applyFont="1" applyFill="1"/>
    <xf numFmtId="0" fontId="81" fillId="25" borderId="0" xfId="0" applyFont="1" applyFill="1" applyAlignment="1">
      <alignment horizontal="center"/>
    </xf>
    <xf numFmtId="0" fontId="18" fillId="25" borderId="1" xfId="26" applyFill="1"/>
    <xf numFmtId="0" fontId="18" fillId="25" borderId="1" xfId="26" applyFill="1" applyAlignment="1">
      <alignment vertical="center"/>
    </xf>
    <xf numFmtId="0" fontId="18" fillId="25" borderId="1" xfId="26" applyFill="1" applyAlignment="1">
      <alignment horizontal="center"/>
    </xf>
    <xf numFmtId="0" fontId="82" fillId="25" borderId="0" xfId="0" applyFont="1" applyFill="1"/>
    <xf numFmtId="0" fontId="82" fillId="25" borderId="0" xfId="0" applyFont="1" applyFill="1" applyAlignment="1">
      <alignment horizontal="center"/>
    </xf>
    <xf numFmtId="0" fontId="0" fillId="53" borderId="0" xfId="0" applyFill="1"/>
    <xf numFmtId="1" fontId="2" fillId="53" borderId="0" xfId="0" applyNumberFormat="1" applyFont="1" applyFill="1" applyBorder="1"/>
    <xf numFmtId="0" fontId="12" fillId="19" borderId="0" xfId="0" applyFont="1" applyFill="1" applyBorder="1" applyAlignment="1">
      <alignment horizontal="center"/>
    </xf>
    <xf numFmtId="0" fontId="6" fillId="19" borderId="0" xfId="0" applyFont="1" applyFill="1" applyBorder="1" applyAlignment="1">
      <alignment horizontal="left" vertical="top" wrapText="1"/>
    </xf>
    <xf numFmtId="3" fontId="11" fillId="24" borderId="0" xfId="0" applyNumberFormat="1" applyFont="1" applyFill="1" applyBorder="1" applyAlignment="1">
      <alignment horizontal="right" vertical="center" indent="1"/>
    </xf>
    <xf numFmtId="0" fontId="6" fillId="43" borderId="0" xfId="0" applyFont="1" applyFill="1" applyBorder="1" applyAlignment="1">
      <alignment horizontal="left" wrapText="1"/>
    </xf>
    <xf numFmtId="0" fontId="0" fillId="54" borderId="0" xfId="0" applyFill="1"/>
    <xf numFmtId="0" fontId="8" fillId="19" borderId="0" xfId="61" quotePrefix="1" applyFont="1" applyFill="1" applyBorder="1" applyAlignment="1" applyProtection="1">
      <alignment horizontal="center" vertical="center" wrapText="1"/>
    </xf>
    <xf numFmtId="0" fontId="8" fillId="19" borderId="0" xfId="61" quotePrefix="1" applyFont="1" applyFill="1" applyBorder="1" applyAlignment="1" applyProtection="1">
      <alignment horizontal="center" vertical="center"/>
    </xf>
    <xf numFmtId="49" fontId="2" fillId="0" borderId="0" xfId="69" applyNumberFormat="1"/>
    <xf numFmtId="2" fontId="2" fillId="0" borderId="0" xfId="69" applyNumberFormat="1"/>
    <xf numFmtId="1" fontId="2" fillId="0" borderId="0" xfId="69" applyNumberFormat="1"/>
    <xf numFmtId="0" fontId="0" fillId="0" borderId="0" xfId="0" applyFont="1"/>
    <xf numFmtId="0" fontId="125" fillId="19" borderId="23" xfId="61" applyFont="1" applyFill="1" applyBorder="1" applyAlignment="1" applyProtection="1">
      <alignment vertical="center"/>
    </xf>
    <xf numFmtId="0" fontId="82" fillId="25" borderId="58" xfId="0" applyFont="1" applyFill="1" applyBorder="1" applyAlignment="1">
      <alignment horizontal="center"/>
    </xf>
    <xf numFmtId="0" fontId="82" fillId="25" borderId="59" xfId="0" applyFont="1" applyFill="1" applyBorder="1" applyAlignment="1">
      <alignment horizontal="center"/>
    </xf>
    <xf numFmtId="0" fontId="82" fillId="25" borderId="60" xfId="0" applyFont="1" applyFill="1" applyBorder="1" applyAlignment="1">
      <alignment horizontal="center"/>
    </xf>
    <xf numFmtId="0" fontId="115" fillId="0" borderId="0" xfId="0" applyFont="1" applyProtection="1"/>
    <xf numFmtId="3" fontId="34" fillId="17" borderId="142" xfId="61" applyNumberFormat="1" applyFont="1" applyFill="1" applyBorder="1" applyAlignment="1" applyProtection="1">
      <alignment horizontal="right" vertical="center" indent="1"/>
    </xf>
    <xf numFmtId="170" fontId="44" fillId="17" borderId="0" xfId="65" applyNumberFormat="1" applyFont="1" applyFill="1" applyAlignment="1" applyProtection="1">
      <alignment horizontal="right" vertical="center"/>
    </xf>
    <xf numFmtId="0" fontId="55" fillId="17" borderId="0" xfId="61" applyFont="1" applyFill="1" applyBorder="1" applyProtection="1"/>
    <xf numFmtId="0" fontId="6" fillId="17" borderId="0" xfId="61" applyFont="1" applyFill="1" applyBorder="1" applyProtection="1"/>
    <xf numFmtId="4" fontId="2" fillId="17" borderId="0" xfId="64" applyNumberFormat="1" applyFill="1" applyBorder="1" applyAlignment="1" applyProtection="1">
      <alignment wrapText="1"/>
    </xf>
    <xf numFmtId="0" fontId="0" fillId="17" borderId="0" xfId="61" applyFont="1" applyFill="1" applyBorder="1" applyProtection="1"/>
    <xf numFmtId="3" fontId="34" fillId="17" borderId="38" xfId="61" applyNumberFormat="1" applyFont="1" applyFill="1" applyBorder="1" applyAlignment="1" applyProtection="1">
      <alignment horizontal="left" vertical="center" indent="1"/>
      <protection locked="0"/>
    </xf>
    <xf numFmtId="0" fontId="35" fillId="19" borderId="0" xfId="61" applyFont="1" applyFill="1" applyBorder="1" applyAlignment="1" applyProtection="1">
      <alignment horizontal="left" vertical="center" wrapText="1"/>
    </xf>
    <xf numFmtId="0" fontId="8" fillId="19" borderId="149" xfId="61" quotePrefix="1" applyFont="1" applyFill="1" applyBorder="1" applyAlignment="1" applyProtection="1">
      <alignment horizontal="center" vertical="center"/>
    </xf>
    <xf numFmtId="0" fontId="8" fillId="19" borderId="150" xfId="61" quotePrefix="1" applyFont="1" applyFill="1" applyBorder="1" applyAlignment="1" applyProtection="1">
      <alignment horizontal="center" vertical="center"/>
    </xf>
    <xf numFmtId="0" fontId="8" fillId="19" borderId="151" xfId="61" applyFont="1" applyFill="1" applyBorder="1" applyAlignment="1" applyProtection="1">
      <alignment horizontal="left" vertical="center" wrapText="1"/>
    </xf>
    <xf numFmtId="0" fontId="3" fillId="19" borderId="152" xfId="61" applyFont="1" applyFill="1" applyBorder="1" applyAlignment="1" applyProtection="1">
      <alignment horizontal="left" vertical="center"/>
    </xf>
    <xf numFmtId="0" fontId="8" fillId="19" borderId="153" xfId="61" applyFont="1" applyFill="1" applyBorder="1" applyAlignment="1" applyProtection="1">
      <alignment horizontal="left" vertical="center" wrapText="1"/>
    </xf>
    <xf numFmtId="0" fontId="117" fillId="19" borderId="149" xfId="61" applyFont="1" applyFill="1" applyBorder="1" applyAlignment="1" applyProtection="1">
      <alignment horizontal="left" vertical="top" wrapText="1"/>
    </xf>
    <xf numFmtId="0" fontId="45" fillId="19" borderId="150" xfId="61" applyFont="1" applyFill="1" applyBorder="1" applyAlignment="1" applyProtection="1">
      <alignment vertical="center"/>
    </xf>
    <xf numFmtId="3" fontId="34" fillId="17" borderId="154" xfId="61" applyNumberFormat="1" applyFont="1" applyFill="1" applyBorder="1" applyAlignment="1" applyProtection="1">
      <alignment horizontal="right" vertical="center" indent="1"/>
    </xf>
    <xf numFmtId="3" fontId="34" fillId="17" borderId="155" xfId="61" applyNumberFormat="1" applyFont="1" applyFill="1" applyBorder="1" applyAlignment="1" applyProtection="1">
      <alignment horizontal="right" vertical="center" indent="1"/>
    </xf>
    <xf numFmtId="0" fontId="3" fillId="19" borderId="149" xfId="61" applyFont="1" applyFill="1" applyBorder="1" applyAlignment="1" applyProtection="1">
      <alignment horizontal="left" vertical="center"/>
    </xf>
    <xf numFmtId="0" fontId="35" fillId="19" borderId="150" xfId="61" quotePrefix="1" applyFont="1" applyFill="1" applyBorder="1" applyAlignment="1" applyProtection="1">
      <alignment horizontal="center"/>
    </xf>
    <xf numFmtId="0" fontId="8" fillId="19" borderId="149" xfId="61" applyFont="1" applyFill="1" applyBorder="1" applyAlignment="1" applyProtection="1">
      <alignment horizontal="center" vertical="center"/>
    </xf>
    <xf numFmtId="0" fontId="0" fillId="19" borderId="152" xfId="61" applyFont="1" applyFill="1" applyBorder="1" applyAlignment="1" applyProtection="1">
      <alignment horizontal="left" vertical="center"/>
    </xf>
    <xf numFmtId="0" fontId="8" fillId="19" borderId="152" xfId="61" applyFont="1" applyFill="1" applyBorder="1" applyAlignment="1" applyProtection="1">
      <alignment horizontal="left" vertical="center" wrapText="1"/>
    </xf>
    <xf numFmtId="0" fontId="3" fillId="19" borderId="148" xfId="61" applyFont="1" applyFill="1" applyBorder="1" applyAlignment="1" applyProtection="1">
      <alignment horizontal="center"/>
    </xf>
    <xf numFmtId="0" fontId="0" fillId="19" borderId="150" xfId="61" applyFont="1" applyFill="1" applyBorder="1" applyAlignment="1" applyProtection="1">
      <alignment horizontal="left" vertical="center"/>
    </xf>
    <xf numFmtId="0" fontId="34" fillId="19" borderId="150" xfId="61" applyFont="1" applyFill="1" applyBorder="1" applyAlignment="1" applyProtection="1">
      <alignment horizontal="right" vertical="center" indent="1"/>
    </xf>
    <xf numFmtId="0" fontId="8" fillId="19" borderId="152" xfId="61" applyFont="1" applyFill="1" applyBorder="1" applyAlignment="1" applyProtection="1">
      <alignment horizontal="left" vertical="center"/>
    </xf>
    <xf numFmtId="0" fontId="0" fillId="19" borderId="153" xfId="61" applyFont="1" applyFill="1" applyBorder="1" applyAlignment="1" applyProtection="1">
      <alignment horizontal="left" vertical="center"/>
    </xf>
    <xf numFmtId="0" fontId="13" fillId="19" borderId="0" xfId="61" applyFont="1" applyFill="1" applyBorder="1" applyAlignment="1" applyProtection="1">
      <alignment horizontal="center" vertical="center" wrapText="1"/>
    </xf>
    <xf numFmtId="0" fontId="13" fillId="19" borderId="0" xfId="61" applyFont="1" applyFill="1" applyBorder="1" applyAlignment="1" applyProtection="1">
      <alignment horizontal="left" vertical="center"/>
    </xf>
    <xf numFmtId="0" fontId="13" fillId="19" borderId="0" xfId="61" applyFont="1" applyFill="1" applyBorder="1" applyAlignment="1" applyProtection="1">
      <alignment horizontal="center"/>
    </xf>
    <xf numFmtId="0" fontId="14" fillId="19" borderId="0" xfId="61" applyFont="1" applyFill="1" applyBorder="1" applyProtection="1"/>
    <xf numFmtId="0" fontId="13" fillId="19" borderId="0" xfId="61" applyFont="1" applyFill="1" applyBorder="1" applyAlignment="1" applyProtection="1">
      <alignment horizontal="center" vertical="center"/>
    </xf>
    <xf numFmtId="0" fontId="80" fillId="19" borderId="149" xfId="61" applyFont="1" applyFill="1" applyBorder="1" applyAlignment="1" applyProtection="1">
      <alignment horizontal="left" vertical="center"/>
    </xf>
    <xf numFmtId="0" fontId="34" fillId="19" borderId="0" xfId="61" applyFont="1" applyFill="1" applyBorder="1" applyAlignment="1" applyProtection="1">
      <alignment horizontal="left" vertical="center" wrapText="1"/>
    </xf>
    <xf numFmtId="0" fontId="114" fillId="19" borderId="25" xfId="61" applyFont="1" applyFill="1" applyBorder="1" applyAlignment="1" applyProtection="1">
      <alignment horizontal="left" vertical="center"/>
    </xf>
    <xf numFmtId="0" fontId="34" fillId="19" borderId="27" xfId="61" applyFont="1" applyFill="1" applyBorder="1" applyAlignment="1" applyProtection="1">
      <alignment horizontal="left" vertical="center" wrapText="1"/>
    </xf>
    <xf numFmtId="0" fontId="114" fillId="19" borderId="24" xfId="61" applyFont="1" applyFill="1" applyBorder="1" applyAlignment="1" applyProtection="1">
      <alignment horizontal="left" vertical="center"/>
    </xf>
    <xf numFmtId="3" fontId="119" fillId="27" borderId="0" xfId="61" applyNumberFormat="1" applyFont="1" applyFill="1" applyBorder="1" applyAlignment="1" applyProtection="1">
      <alignment horizontal="right" vertical="center"/>
    </xf>
    <xf numFmtId="0" fontId="118" fillId="27" borderId="0" xfId="61" applyFont="1" applyFill="1" applyBorder="1" applyAlignment="1" applyProtection="1">
      <alignment horizontal="right" vertical="center"/>
    </xf>
    <xf numFmtId="3" fontId="118" fillId="27" borderId="0" xfId="61" applyNumberFormat="1" applyFont="1" applyFill="1" applyBorder="1" applyAlignment="1" applyProtection="1">
      <alignment horizontal="right" vertical="center"/>
    </xf>
    <xf numFmtId="0" fontId="3" fillId="27" borderId="0" xfId="61" applyFont="1" applyFill="1" applyBorder="1" applyAlignment="1" applyProtection="1">
      <alignment horizontal="center"/>
    </xf>
    <xf numFmtId="0" fontId="0" fillId="27" borderId="0" xfId="61" applyFont="1" applyFill="1" applyBorder="1" applyAlignment="1" applyProtection="1">
      <alignment horizontal="left" vertical="center"/>
    </xf>
    <xf numFmtId="3" fontId="34" fillId="27" borderId="142" xfId="61" applyNumberFormat="1" applyFont="1" applyFill="1" applyBorder="1" applyAlignment="1" applyProtection="1">
      <alignment horizontal="right" vertical="center" indent="1"/>
    </xf>
    <xf numFmtId="0" fontId="34" fillId="27" borderId="0" xfId="61" applyFont="1" applyFill="1" applyBorder="1" applyAlignment="1" applyProtection="1">
      <alignment horizontal="right" vertical="center" indent="1"/>
    </xf>
    <xf numFmtId="0" fontId="35" fillId="27" borderId="0" xfId="61" quotePrefix="1" applyFont="1" applyFill="1" applyBorder="1" applyAlignment="1" applyProtection="1">
      <alignment horizontal="center" vertical="center"/>
    </xf>
    <xf numFmtId="0" fontId="8" fillId="27" borderId="0" xfId="61" quotePrefix="1" applyFont="1" applyFill="1" applyBorder="1" applyAlignment="1" applyProtection="1">
      <alignment horizontal="center" vertical="center"/>
    </xf>
    <xf numFmtId="0" fontId="8" fillId="27" borderId="152" xfId="61" applyFont="1" applyFill="1" applyBorder="1" applyAlignment="1" applyProtection="1">
      <alignment horizontal="left" vertical="center" wrapText="1"/>
    </xf>
    <xf numFmtId="0" fontId="3" fillId="27" borderId="152" xfId="61" applyFont="1" applyFill="1" applyBorder="1" applyAlignment="1" applyProtection="1">
      <alignment horizontal="left" vertical="center"/>
    </xf>
    <xf numFmtId="0" fontId="13" fillId="27" borderId="0" xfId="61" applyFont="1" applyFill="1" applyBorder="1" applyAlignment="1" applyProtection="1">
      <alignment horizontal="center" vertical="center" wrapText="1"/>
    </xf>
    <xf numFmtId="0" fontId="13" fillId="27" borderId="0" xfId="61" applyFont="1" applyFill="1" applyBorder="1" applyAlignment="1" applyProtection="1">
      <alignment horizontal="center" vertical="center"/>
    </xf>
    <xf numFmtId="0" fontId="34" fillId="27" borderId="142" xfId="61" applyNumberFormat="1" applyFont="1" applyFill="1" applyBorder="1" applyAlignment="1" applyProtection="1">
      <alignment vertical="center"/>
    </xf>
    <xf numFmtId="0" fontId="114" fillId="27" borderId="25" xfId="61" applyFont="1" applyFill="1" applyBorder="1" applyAlignment="1" applyProtection="1">
      <alignment horizontal="left" vertical="center"/>
    </xf>
    <xf numFmtId="0" fontId="114" fillId="27" borderId="0" xfId="61" applyFont="1" applyFill="1" applyBorder="1" applyAlignment="1" applyProtection="1">
      <alignment horizontal="left" vertical="center"/>
    </xf>
    <xf numFmtId="0" fontId="6" fillId="27" borderId="0" xfId="61" applyFont="1" applyFill="1" applyBorder="1" applyProtection="1"/>
    <xf numFmtId="0" fontId="0" fillId="27" borderId="0" xfId="61" applyFont="1" applyFill="1" applyBorder="1" applyProtection="1"/>
    <xf numFmtId="0" fontId="0" fillId="27" borderId="0" xfId="61" applyFont="1" applyFill="1" applyProtection="1"/>
    <xf numFmtId="3" fontId="126" fillId="17" borderId="0" xfId="33" applyNumberFormat="1" applyFont="1" applyFill="1" applyBorder="1" applyAlignment="1">
      <alignment horizontal="right" vertical="center"/>
    </xf>
    <xf numFmtId="3" fontId="82" fillId="25" borderId="0" xfId="46" applyNumberFormat="1" applyFont="1" applyFill="1" applyBorder="1" applyAlignment="1">
      <alignment vertical="center"/>
    </xf>
    <xf numFmtId="9" fontId="82" fillId="25" borderId="0" xfId="49" applyFont="1" applyFill="1" applyBorder="1" applyAlignment="1">
      <alignment horizontal="right" vertical="center"/>
    </xf>
    <xf numFmtId="3" fontId="126" fillId="17" borderId="25" xfId="33" applyNumberFormat="1" applyFont="1" applyFill="1" applyBorder="1" applyAlignment="1">
      <alignment horizontal="right" vertical="center"/>
    </xf>
    <xf numFmtId="3" fontId="82" fillId="25" borderId="25" xfId="46" applyNumberFormat="1" applyFont="1" applyFill="1" applyBorder="1" applyAlignment="1">
      <alignment vertical="center"/>
    </xf>
    <xf numFmtId="0" fontId="3" fillId="19" borderId="0" xfId="61" quotePrefix="1" applyFont="1" applyFill="1" applyBorder="1" applyAlignment="1" applyProtection="1">
      <alignment horizontal="center"/>
    </xf>
    <xf numFmtId="0" fontId="3" fillId="19" borderId="150" xfId="61" quotePrefix="1" applyFont="1" applyFill="1" applyBorder="1" applyAlignment="1" applyProtection="1">
      <alignment horizontal="center"/>
    </xf>
    <xf numFmtId="0" fontId="2" fillId="19" borderId="0" xfId="61" applyFont="1" applyFill="1" applyBorder="1" applyProtection="1"/>
    <xf numFmtId="0" fontId="80" fillId="19" borderId="0" xfId="61" quotePrefix="1" applyFont="1" applyFill="1" applyBorder="1" applyAlignment="1" applyProtection="1">
      <alignment horizontal="center"/>
    </xf>
    <xf numFmtId="0" fontId="46" fillId="19" borderId="0" xfId="61" applyFont="1" applyFill="1" applyBorder="1" applyAlignment="1" applyProtection="1">
      <alignment vertical="center"/>
    </xf>
    <xf numFmtId="0" fontId="3" fillId="27" borderId="0" xfId="61" quotePrefix="1" applyFont="1" applyFill="1" applyBorder="1" applyAlignment="1" applyProtection="1">
      <alignment horizontal="center"/>
    </xf>
    <xf numFmtId="0" fontId="2" fillId="19" borderId="23" xfId="61" applyFont="1" applyFill="1" applyBorder="1" applyProtection="1"/>
    <xf numFmtId="0" fontId="2" fillId="19" borderId="15" xfId="61" applyFont="1" applyFill="1" applyBorder="1" applyProtection="1"/>
    <xf numFmtId="170" fontId="46" fillId="0" borderId="0" xfId="61" applyNumberFormat="1" applyFont="1" applyProtection="1"/>
    <xf numFmtId="0" fontId="46" fillId="0" borderId="0" xfId="61" applyFont="1" applyProtection="1"/>
    <xf numFmtId="0" fontId="2" fillId="0" borderId="0" xfId="61" applyFont="1" applyProtection="1"/>
    <xf numFmtId="1" fontId="2" fillId="20" borderId="26" xfId="0" applyNumberFormat="1" applyFont="1" applyFill="1" applyBorder="1" applyProtection="1"/>
    <xf numFmtId="0" fontId="2" fillId="20" borderId="16" xfId="0" applyFont="1" applyFill="1" applyBorder="1" applyProtection="1"/>
    <xf numFmtId="0" fontId="2" fillId="20" borderId="17" xfId="0" applyFont="1" applyFill="1" applyBorder="1" applyAlignment="1" applyProtection="1">
      <alignment horizontal="center"/>
    </xf>
    <xf numFmtId="0" fontId="0" fillId="29" borderId="0" xfId="0" applyFill="1" applyBorder="1" applyProtection="1"/>
    <xf numFmtId="0" fontId="13" fillId="25" borderId="25" xfId="0" applyFont="1" applyFill="1" applyBorder="1" applyAlignment="1" applyProtection="1">
      <alignment horizontal="center"/>
    </xf>
    <xf numFmtId="0" fontId="0" fillId="25" borderId="0" xfId="0" applyFill="1" applyProtection="1"/>
    <xf numFmtId="0" fontId="0" fillId="0" borderId="0" xfId="0" applyProtection="1"/>
    <xf numFmtId="1" fontId="2" fillId="20" borderId="26" xfId="0" applyNumberFormat="1" applyFont="1" applyFill="1" applyBorder="1" applyAlignment="1" applyProtection="1"/>
    <xf numFmtId="0" fontId="2" fillId="20" borderId="16" xfId="0" applyFont="1" applyFill="1" applyBorder="1" applyAlignment="1" applyProtection="1"/>
    <xf numFmtId="0" fontId="2" fillId="44" borderId="47" xfId="0" applyFont="1" applyFill="1" applyBorder="1" applyAlignment="1" applyProtection="1"/>
    <xf numFmtId="0" fontId="0" fillId="44" borderId="47" xfId="0" applyFill="1" applyBorder="1" applyProtection="1"/>
    <xf numFmtId="0" fontId="0" fillId="36" borderId="47" xfId="0" applyFill="1" applyBorder="1" applyProtection="1"/>
    <xf numFmtId="0" fontId="0" fillId="36" borderId="47" xfId="0" applyFill="1" applyBorder="1" applyAlignment="1" applyProtection="1">
      <alignment vertical="top" wrapText="1"/>
    </xf>
    <xf numFmtId="0" fontId="0" fillId="29" borderId="48" xfId="0" applyFill="1" applyBorder="1" applyAlignment="1" applyProtection="1">
      <alignment vertical="top" wrapText="1"/>
    </xf>
    <xf numFmtId="0" fontId="0" fillId="20" borderId="47" xfId="0" applyFill="1" applyBorder="1" applyAlignment="1" applyProtection="1">
      <alignment vertical="top" wrapText="1"/>
    </xf>
    <xf numFmtId="0" fontId="0" fillId="44" borderId="47" xfId="0" applyFill="1" applyBorder="1" applyAlignment="1" applyProtection="1">
      <alignment vertical="top" wrapText="1"/>
    </xf>
    <xf numFmtId="1" fontId="2" fillId="20" borderId="23" xfId="0" applyNumberFormat="1" applyFont="1" applyFill="1" applyBorder="1" applyAlignment="1" applyProtection="1">
      <alignment horizontal="center"/>
    </xf>
    <xf numFmtId="1" fontId="2" fillId="20" borderId="0" xfId="0" applyNumberFormat="1" applyFont="1" applyFill="1" applyBorder="1" applyAlignment="1" applyProtection="1">
      <alignment horizontal="center"/>
    </xf>
    <xf numFmtId="1" fontId="2" fillId="20" borderId="15" xfId="0" applyNumberFormat="1" applyFont="1" applyFill="1" applyBorder="1" applyAlignment="1" applyProtection="1">
      <alignment horizontal="center"/>
    </xf>
    <xf numFmtId="1" fontId="2" fillId="44" borderId="48" xfId="0" applyNumberFormat="1" applyFont="1" applyFill="1" applyBorder="1" applyAlignment="1" applyProtection="1">
      <alignment horizontal="center"/>
    </xf>
    <xf numFmtId="1" fontId="2" fillId="36" borderId="48" xfId="0" applyNumberFormat="1" applyFont="1" applyFill="1" applyBorder="1" applyAlignment="1" applyProtection="1">
      <alignment horizontal="center"/>
    </xf>
    <xf numFmtId="1" fontId="2" fillId="29" borderId="48" xfId="0" applyNumberFormat="1" applyFont="1" applyFill="1" applyBorder="1" applyAlignment="1" applyProtection="1">
      <alignment horizontal="center"/>
    </xf>
    <xf numFmtId="1" fontId="2" fillId="20" borderId="48" xfId="0" applyNumberFormat="1" applyFont="1" applyFill="1" applyBorder="1" applyAlignment="1" applyProtection="1">
      <alignment horizontal="center"/>
    </xf>
    <xf numFmtId="1" fontId="2" fillId="20" borderId="23" xfId="0" applyNumberFormat="1" applyFont="1" applyFill="1" applyBorder="1" applyProtection="1"/>
    <xf numFmtId="0" fontId="2" fillId="20" borderId="0" xfId="0" applyFont="1" applyFill="1" applyBorder="1" applyProtection="1"/>
    <xf numFmtId="0" fontId="2" fillId="20" borderId="15" xfId="0" applyFont="1" applyFill="1" applyBorder="1" applyAlignment="1" applyProtection="1">
      <alignment horizontal="center"/>
    </xf>
    <xf numFmtId="0" fontId="0" fillId="44" borderId="49" xfId="0" applyFill="1" applyBorder="1" applyProtection="1"/>
    <xf numFmtId="0" fontId="0" fillId="36" borderId="49" xfId="0" applyFill="1" applyBorder="1" applyProtection="1"/>
    <xf numFmtId="0" fontId="0" fillId="36" borderId="49" xfId="0" applyFill="1" applyBorder="1" applyAlignment="1" applyProtection="1">
      <alignment vertical="top" wrapText="1"/>
    </xf>
    <xf numFmtId="0" fontId="0" fillId="20" borderId="49" xfId="0" applyFill="1" applyBorder="1" applyAlignment="1" applyProtection="1">
      <alignment vertical="top" wrapText="1"/>
    </xf>
    <xf numFmtId="0" fontId="0" fillId="44" borderId="49" xfId="0" applyFill="1" applyBorder="1" applyAlignment="1" applyProtection="1">
      <alignment vertical="top" wrapText="1"/>
    </xf>
    <xf numFmtId="1" fontId="66" fillId="20" borderId="23" xfId="0" applyNumberFormat="1" applyFont="1" applyFill="1" applyBorder="1" applyAlignment="1" applyProtection="1">
      <alignment horizontal="center" vertical="top"/>
    </xf>
    <xf numFmtId="0" fontId="66" fillId="20" borderId="0" xfId="0" applyFont="1" applyFill="1" applyBorder="1" applyAlignment="1" applyProtection="1">
      <alignment vertical="top"/>
    </xf>
    <xf numFmtId="0" fontId="66" fillId="20" borderId="15" xfId="0" applyFont="1" applyFill="1" applyBorder="1" applyAlignment="1" applyProtection="1">
      <alignment horizontal="center" vertical="top"/>
    </xf>
    <xf numFmtId="0" fontId="3" fillId="38" borderId="47" xfId="0" applyFont="1" applyFill="1" applyBorder="1" applyAlignment="1" applyProtection="1">
      <alignment horizontal="center" vertical="top" wrapText="1"/>
    </xf>
    <xf numFmtId="0" fontId="3" fillId="38" borderId="48" xfId="0" applyFont="1" applyFill="1" applyBorder="1" applyAlignment="1" applyProtection="1">
      <alignment horizontal="center" vertical="top" wrapText="1"/>
    </xf>
    <xf numFmtId="0" fontId="2" fillId="38" borderId="48" xfId="0" applyFont="1" applyFill="1" applyBorder="1" applyAlignment="1" applyProtection="1">
      <alignment horizontal="center" vertical="top" wrapText="1"/>
    </xf>
    <xf numFmtId="0" fontId="0" fillId="38" borderId="48" xfId="0" applyFill="1" applyBorder="1" applyAlignment="1" applyProtection="1">
      <alignment horizontal="center" vertical="top" wrapText="1"/>
    </xf>
    <xf numFmtId="0" fontId="3" fillId="20" borderId="47" xfId="0" applyFont="1" applyFill="1" applyBorder="1" applyAlignment="1" applyProtection="1">
      <alignment horizontal="center" vertical="top" wrapText="1"/>
    </xf>
    <xf numFmtId="1" fontId="67" fillId="20" borderId="24" xfId="0" applyNumberFormat="1" applyFont="1" applyFill="1" applyBorder="1" applyProtection="1"/>
    <xf numFmtId="0" fontId="67" fillId="20" borderId="25" xfId="0" applyFont="1" applyFill="1" applyBorder="1" applyProtection="1"/>
    <xf numFmtId="0" fontId="67" fillId="20" borderId="27" xfId="0" applyFont="1" applyFill="1" applyBorder="1" applyAlignment="1" applyProtection="1">
      <alignment horizontal="center"/>
    </xf>
    <xf numFmtId="0" fontId="67" fillId="20" borderId="25" xfId="0" applyFont="1" applyFill="1" applyBorder="1" applyAlignment="1" applyProtection="1"/>
    <xf numFmtId="0" fontId="0" fillId="20" borderId="49" xfId="0" applyFill="1" applyBorder="1" applyProtection="1"/>
    <xf numFmtId="0" fontId="3" fillId="20" borderId="49" xfId="0" applyFont="1" applyFill="1" applyBorder="1" applyAlignment="1" applyProtection="1">
      <alignment vertical="top" wrapText="1"/>
    </xf>
    <xf numFmtId="0" fontId="3" fillId="29" borderId="48" xfId="0" applyFont="1" applyFill="1" applyBorder="1" applyAlignment="1" applyProtection="1">
      <alignment vertical="top" wrapText="1"/>
    </xf>
    <xf numFmtId="0" fontId="67" fillId="20" borderId="49" xfId="0" applyFont="1" applyFill="1" applyBorder="1" applyAlignment="1" applyProtection="1">
      <alignment horizontal="center"/>
    </xf>
    <xf numFmtId="0" fontId="3" fillId="20" borderId="47" xfId="0" applyFont="1" applyFill="1" applyBorder="1" applyAlignment="1" applyProtection="1">
      <alignment vertical="top" wrapText="1"/>
    </xf>
    <xf numFmtId="0" fontId="3" fillId="20" borderId="17" xfId="0" applyFont="1" applyFill="1" applyBorder="1" applyAlignment="1" applyProtection="1">
      <alignment vertical="top" wrapText="1"/>
    </xf>
    <xf numFmtId="0" fontId="3" fillId="20" borderId="38" xfId="0" applyFont="1" applyFill="1" applyBorder="1" applyAlignment="1" applyProtection="1">
      <alignment vertical="top" wrapText="1"/>
    </xf>
    <xf numFmtId="0" fontId="0" fillId="29" borderId="48" xfId="0" applyFill="1" applyBorder="1" applyProtection="1"/>
    <xf numFmtId="1" fontId="67" fillId="21" borderId="23" xfId="0" applyNumberFormat="1" applyFont="1" applyFill="1" applyBorder="1" applyAlignment="1" applyProtection="1">
      <alignment horizontal="center"/>
    </xf>
    <xf numFmtId="4" fontId="67" fillId="21" borderId="47" xfId="0" applyNumberFormat="1" applyFont="1" applyFill="1" applyBorder="1" applyProtection="1"/>
    <xf numFmtId="4" fontId="67" fillId="21" borderId="26" xfId="0" applyNumberFormat="1" applyFont="1" applyFill="1" applyBorder="1" applyAlignment="1" applyProtection="1">
      <alignment horizontal="center"/>
    </xf>
    <xf numFmtId="3" fontId="0" fillId="0" borderId="0" xfId="0" applyNumberFormat="1" applyAlignment="1" applyProtection="1">
      <alignment horizontal="right"/>
    </xf>
    <xf numFmtId="3" fontId="0" fillId="0" borderId="48" xfId="0" applyNumberFormat="1" applyBorder="1" applyAlignment="1" applyProtection="1">
      <alignment horizontal="right"/>
    </xf>
    <xf numFmtId="3" fontId="0" fillId="26" borderId="48" xfId="0" applyNumberFormat="1" applyFill="1" applyBorder="1" applyProtection="1"/>
    <xf numFmtId="3" fontId="0" fillId="29" borderId="48" xfId="0" applyNumberFormat="1" applyFill="1" applyBorder="1" applyProtection="1"/>
    <xf numFmtId="3" fontId="0" fillId="25" borderId="0" xfId="0" applyNumberFormat="1" applyFill="1" applyBorder="1" applyAlignment="1" applyProtection="1"/>
    <xf numFmtId="3" fontId="0" fillId="25" borderId="0" xfId="0" applyNumberFormat="1" applyFill="1" applyProtection="1"/>
    <xf numFmtId="4" fontId="67" fillId="26" borderId="48" xfId="0" applyNumberFormat="1" applyFont="1" applyFill="1" applyBorder="1" applyProtection="1"/>
    <xf numFmtId="4" fontId="67" fillId="21" borderId="23" xfId="0" applyNumberFormat="1" applyFont="1" applyFill="1" applyBorder="1" applyAlignment="1" applyProtection="1">
      <alignment horizontal="center"/>
    </xf>
    <xf numFmtId="4" fontId="67" fillId="21" borderId="48" xfId="0" applyNumberFormat="1" applyFont="1" applyFill="1" applyBorder="1" applyProtection="1"/>
    <xf numFmtId="4" fontId="2" fillId="21" borderId="48" xfId="0" applyNumberFormat="1" applyFont="1" applyFill="1" applyBorder="1" applyProtection="1"/>
    <xf numFmtId="0" fontId="67" fillId="21" borderId="48" xfId="0" applyFont="1" applyFill="1" applyBorder="1" applyProtection="1"/>
    <xf numFmtId="0" fontId="67" fillId="21" borderId="23" xfId="0" applyFont="1" applyFill="1" applyBorder="1" applyAlignment="1" applyProtection="1">
      <alignment horizontal="center"/>
    </xf>
    <xf numFmtId="4" fontId="2" fillId="21" borderId="49" xfId="0" applyNumberFormat="1" applyFont="1" applyFill="1" applyBorder="1" applyProtection="1"/>
    <xf numFmtId="4" fontId="67" fillId="21" borderId="24" xfId="0" applyNumberFormat="1" applyFont="1" applyFill="1" applyBorder="1" applyAlignment="1" applyProtection="1">
      <alignment horizontal="center"/>
    </xf>
    <xf numFmtId="1" fontId="65" fillId="21" borderId="58" xfId="0" applyNumberFormat="1" applyFont="1" applyFill="1" applyBorder="1" applyAlignment="1" applyProtection="1">
      <alignment horizontal="center"/>
    </xf>
    <xf numFmtId="0" fontId="65" fillId="21" borderId="38" xfId="0" applyFont="1" applyFill="1" applyBorder="1" applyProtection="1"/>
    <xf numFmtId="0" fontId="65" fillId="21" borderId="38" xfId="0" applyFont="1" applyFill="1" applyBorder="1" applyAlignment="1" applyProtection="1">
      <alignment horizontal="center"/>
    </xf>
    <xf numFmtId="3" fontId="0" fillId="0" borderId="58" xfId="0" applyNumberFormat="1" applyBorder="1" applyAlignment="1" applyProtection="1">
      <alignment horizontal="right"/>
    </xf>
    <xf numFmtId="3" fontId="0" fillId="0" borderId="38" xfId="0" applyNumberFormat="1" applyBorder="1" applyAlignment="1" applyProtection="1">
      <alignment horizontal="right"/>
    </xf>
    <xf numFmtId="3" fontId="65" fillId="21" borderId="38" xfId="0" applyNumberFormat="1" applyFont="1" applyFill="1" applyBorder="1" applyAlignment="1" applyProtection="1">
      <alignment horizontal="right"/>
    </xf>
    <xf numFmtId="3" fontId="65" fillId="29" borderId="48" xfId="0" applyNumberFormat="1" applyFont="1" applyFill="1" applyBorder="1" applyAlignment="1" applyProtection="1">
      <alignment horizontal="right"/>
    </xf>
    <xf numFmtId="3" fontId="0" fillId="26" borderId="38" xfId="0" applyNumberFormat="1" applyFill="1" applyBorder="1" applyProtection="1"/>
    <xf numFmtId="0" fontId="67" fillId="25" borderId="0" xfId="0" applyFont="1" applyFill="1" applyBorder="1" applyProtection="1"/>
    <xf numFmtId="0" fontId="0" fillId="25" borderId="0" xfId="0" applyFill="1" applyBorder="1" applyProtection="1"/>
    <xf numFmtId="3" fontId="0" fillId="25" borderId="0" xfId="0" applyNumberFormat="1" applyFill="1" applyBorder="1" applyProtection="1"/>
    <xf numFmtId="0" fontId="12" fillId="25" borderId="0" xfId="0" applyFont="1" applyFill="1" applyBorder="1" applyProtection="1"/>
    <xf numFmtId="0" fontId="12" fillId="0" borderId="0" xfId="0" applyFont="1" applyBorder="1" applyProtection="1"/>
    <xf numFmtId="0" fontId="0" fillId="0" borderId="0" xfId="0" applyBorder="1" applyProtection="1"/>
    <xf numFmtId="0" fontId="12" fillId="0" borderId="0" xfId="0" applyFont="1" applyProtection="1"/>
    <xf numFmtId="0" fontId="85" fillId="25" borderId="0" xfId="0" applyFont="1" applyFill="1" applyProtection="1"/>
    <xf numFmtId="0" fontId="2" fillId="25" borderId="0" xfId="0" applyFont="1" applyFill="1" applyProtection="1">
      <protection locked="0"/>
    </xf>
    <xf numFmtId="3" fontId="2" fillId="26" borderId="48" xfId="0" applyNumberFormat="1" applyFont="1" applyFill="1" applyBorder="1" applyProtection="1"/>
    <xf numFmtId="9" fontId="82" fillId="25" borderId="25" xfId="49" applyFont="1" applyFill="1" applyBorder="1" applyAlignment="1">
      <alignment horizontal="right" vertical="center"/>
    </xf>
    <xf numFmtId="0" fontId="36" fillId="17" borderId="0" xfId="0" applyFont="1" applyFill="1" applyBorder="1" applyAlignment="1">
      <alignment horizontal="left" vertical="top" wrapText="1"/>
    </xf>
    <xf numFmtId="0" fontId="36" fillId="0" borderId="0" xfId="0" applyFont="1" applyBorder="1" applyAlignment="1">
      <alignment vertical="top" wrapText="1"/>
    </xf>
    <xf numFmtId="0" fontId="36" fillId="17" borderId="0" xfId="0" applyFont="1" applyFill="1" applyBorder="1" applyAlignment="1">
      <alignment vertical="top" wrapText="1"/>
    </xf>
    <xf numFmtId="0" fontId="0" fillId="0" borderId="0" xfId="0" applyAlignment="1">
      <alignment vertical="top" wrapText="1"/>
    </xf>
    <xf numFmtId="0" fontId="34" fillId="17" borderId="0" xfId="0" applyFont="1" applyFill="1" applyBorder="1" applyAlignment="1">
      <alignment horizontal="left" vertical="top" wrapText="1"/>
    </xf>
    <xf numFmtId="0" fontId="6" fillId="17" borderId="123" xfId="0" applyFont="1" applyFill="1" applyBorder="1" applyAlignment="1">
      <alignment horizontal="left" vertical="top" wrapText="1"/>
    </xf>
    <xf numFmtId="0" fontId="6" fillId="17" borderId="122" xfId="0" applyFont="1" applyFill="1" applyBorder="1" applyAlignment="1">
      <alignment horizontal="left" vertical="top" wrapText="1"/>
    </xf>
    <xf numFmtId="0" fontId="6" fillId="17" borderId="121" xfId="0" applyFont="1" applyFill="1" applyBorder="1" applyAlignment="1">
      <alignment horizontal="left" vertical="top" wrapText="1"/>
    </xf>
    <xf numFmtId="0" fontId="6" fillId="17" borderId="120" xfId="0" applyFont="1" applyFill="1" applyBorder="1" applyAlignment="1">
      <alignment horizontal="left" vertical="top" wrapText="1"/>
    </xf>
    <xf numFmtId="0" fontId="39" fillId="25" borderId="0" xfId="0" applyFont="1" applyFill="1" applyBorder="1" applyAlignment="1">
      <alignment horizontal="left" vertical="top" wrapText="1" indent="1"/>
    </xf>
    <xf numFmtId="0" fontId="2" fillId="25" borderId="0" xfId="0" applyFont="1" applyFill="1" applyAlignment="1">
      <alignment horizontal="left" vertical="top" wrapText="1" indent="1"/>
    </xf>
    <xf numFmtId="0" fontId="32" fillId="20" borderId="23" xfId="0" applyFont="1" applyFill="1" applyBorder="1" applyAlignment="1">
      <alignment horizontal="center"/>
    </xf>
    <xf numFmtId="0" fontId="32" fillId="20" borderId="0" xfId="0" applyFont="1" applyFill="1" applyBorder="1" applyAlignment="1">
      <alignment horizontal="center"/>
    </xf>
    <xf numFmtId="0" fontId="32" fillId="20" borderId="15" xfId="0" applyFont="1" applyFill="1" applyBorder="1" applyAlignment="1">
      <alignment horizontal="center"/>
    </xf>
    <xf numFmtId="0" fontId="34" fillId="20" borderId="23" xfId="0" applyFont="1" applyFill="1" applyBorder="1" applyAlignment="1">
      <alignment horizontal="center"/>
    </xf>
    <xf numFmtId="0" fontId="34" fillId="20" borderId="0" xfId="0" applyFont="1" applyFill="1" applyBorder="1" applyAlignment="1">
      <alignment horizontal="center"/>
    </xf>
    <xf numFmtId="0" fontId="34" fillId="20" borderId="15" xfId="0" applyFont="1" applyFill="1" applyBorder="1" applyAlignment="1">
      <alignment horizontal="center"/>
    </xf>
    <xf numFmtId="0" fontId="39" fillId="17" borderId="0" xfId="0" applyFont="1" applyFill="1" applyBorder="1" applyAlignment="1">
      <alignment horizontal="left" vertical="top" wrapText="1" indent="1"/>
    </xf>
    <xf numFmtId="0" fontId="36" fillId="17" borderId="0" xfId="0" applyFont="1" applyFill="1" applyBorder="1" applyAlignment="1">
      <alignment horizontal="left" vertical="top" wrapText="1" indent="1"/>
    </xf>
    <xf numFmtId="0" fontId="2" fillId="0" borderId="0" xfId="0" applyFont="1" applyAlignment="1">
      <alignment horizontal="left" vertical="top" wrapText="1" indent="1"/>
    </xf>
    <xf numFmtId="0" fontId="36" fillId="17" borderId="0" xfId="0" applyFont="1" applyFill="1" applyBorder="1" applyAlignment="1">
      <alignment horizontal="center" vertical="center" wrapText="1"/>
    </xf>
    <xf numFmtId="0" fontId="95" fillId="20" borderId="0" xfId="0" applyFont="1" applyFill="1" applyBorder="1" applyAlignment="1">
      <alignment horizontal="center" vertical="top" wrapText="1"/>
    </xf>
    <xf numFmtId="0" fontId="100" fillId="20" borderId="0" xfId="0" applyFont="1" applyFill="1" applyBorder="1" applyAlignment="1">
      <alignment horizontal="center" vertical="top" wrapText="1"/>
    </xf>
    <xf numFmtId="0" fontId="34" fillId="20" borderId="23" xfId="0" applyFont="1" applyFill="1" applyBorder="1" applyAlignment="1">
      <alignment horizontal="center" shrinkToFit="1"/>
    </xf>
    <xf numFmtId="0" fontId="34" fillId="20" borderId="0" xfId="0" applyFont="1" applyFill="1" applyBorder="1" applyAlignment="1">
      <alignment horizontal="center" vertical="top" wrapText="1"/>
    </xf>
    <xf numFmtId="0" fontId="0" fillId="20" borderId="0" xfId="0" applyFill="1" applyAlignment="1">
      <alignment horizontal="center" vertical="top" wrapText="1"/>
    </xf>
    <xf numFmtId="3" fontId="8" fillId="24" borderId="77" xfId="0" applyNumberFormat="1" applyFont="1" applyFill="1" applyBorder="1" applyAlignment="1">
      <alignment vertical="center"/>
    </xf>
    <xf numFmtId="3" fontId="8" fillId="24" borderId="78" xfId="0" applyNumberFormat="1" applyFont="1" applyFill="1" applyBorder="1" applyAlignment="1">
      <alignment vertical="center"/>
    </xf>
    <xf numFmtId="3" fontId="8" fillId="24" borderId="0" xfId="0" applyNumberFormat="1" applyFont="1" applyFill="1" applyBorder="1" applyAlignment="1">
      <alignment vertical="center"/>
    </xf>
    <xf numFmtId="3" fontId="8" fillId="24" borderId="0" xfId="0" applyNumberFormat="1" applyFont="1" applyFill="1" applyBorder="1" applyAlignment="1">
      <alignment horizontal="center" vertical="center"/>
    </xf>
    <xf numFmtId="3" fontId="8" fillId="24" borderId="126" xfId="0" applyNumberFormat="1" applyFont="1" applyFill="1" applyBorder="1" applyAlignment="1">
      <alignment vertical="center"/>
    </xf>
    <xf numFmtId="3" fontId="8" fillId="24" borderId="127" xfId="0" applyNumberFormat="1" applyFont="1" applyFill="1" applyBorder="1" applyAlignment="1">
      <alignment vertical="center"/>
    </xf>
    <xf numFmtId="9" fontId="8" fillId="24" borderId="77" xfId="49" applyFont="1" applyFill="1" applyBorder="1" applyAlignment="1" applyProtection="1">
      <alignment horizontal="right" vertical="center" indent="1"/>
      <protection locked="0"/>
    </xf>
    <xf numFmtId="9" fontId="8" fillId="24" borderId="78" xfId="49" applyFont="1" applyFill="1" applyBorder="1" applyAlignment="1" applyProtection="1">
      <alignment horizontal="right" vertical="center" indent="1"/>
      <protection locked="0"/>
    </xf>
    <xf numFmtId="3" fontId="8" fillId="47" borderId="134" xfId="0" applyNumberFormat="1" applyFont="1" applyFill="1" applyBorder="1" applyAlignment="1">
      <alignment vertical="center"/>
    </xf>
    <xf numFmtId="3" fontId="8" fillId="47" borderId="135" xfId="0" applyNumberFormat="1" applyFont="1" applyFill="1" applyBorder="1" applyAlignment="1">
      <alignment vertical="center"/>
    </xf>
    <xf numFmtId="0" fontId="6" fillId="0" borderId="61" xfId="0" applyFont="1" applyBorder="1" applyAlignment="1">
      <alignment horizontal="center" wrapText="1"/>
    </xf>
    <xf numFmtId="0" fontId="6" fillId="0" borderId="63" xfId="0" applyFont="1" applyBorder="1" applyAlignment="1">
      <alignment horizontal="center" wrapText="1"/>
    </xf>
    <xf numFmtId="0" fontId="6" fillId="25" borderId="61" xfId="0" applyFont="1" applyFill="1" applyBorder="1" applyAlignment="1">
      <alignment horizontal="center" wrapText="1"/>
    </xf>
    <xf numFmtId="0" fontId="6" fillId="25" borderId="63" xfId="0" applyFont="1" applyFill="1" applyBorder="1" applyAlignment="1">
      <alignment horizontal="center" wrapText="1"/>
    </xf>
    <xf numFmtId="3" fontId="8" fillId="19" borderId="0" xfId="0" applyNumberFormat="1" applyFont="1" applyFill="1" applyBorder="1" applyAlignment="1">
      <alignment horizontal="center" vertical="top" wrapText="1"/>
    </xf>
    <xf numFmtId="0" fontId="6" fillId="0" borderId="0" xfId="0" applyFont="1" applyAlignment="1">
      <alignment vertical="top" wrapText="1"/>
    </xf>
    <xf numFmtId="9" fontId="8" fillId="24" borderId="77" xfId="49" applyFont="1" applyFill="1" applyBorder="1" applyAlignment="1">
      <alignment horizontal="right" vertical="center" indent="1"/>
    </xf>
    <xf numFmtId="9" fontId="8" fillId="24" borderId="78" xfId="49" applyFont="1" applyFill="1" applyBorder="1" applyAlignment="1">
      <alignment horizontal="right" vertical="center" indent="1"/>
    </xf>
    <xf numFmtId="0" fontId="6" fillId="19" borderId="0" xfId="0" applyFont="1" applyFill="1" applyBorder="1" applyAlignment="1">
      <alignment horizontal="left" vertical="top" wrapText="1"/>
    </xf>
    <xf numFmtId="3" fontId="8" fillId="17" borderId="77" xfId="0" applyNumberFormat="1" applyFont="1" applyFill="1" applyBorder="1" applyAlignment="1">
      <alignment horizontal="right" vertical="center" indent="1"/>
    </xf>
    <xf numFmtId="3" fontId="6" fillId="17" borderId="78" xfId="0" applyNumberFormat="1" applyFont="1" applyFill="1" applyBorder="1" applyAlignment="1">
      <alignment horizontal="right" vertical="center" indent="1"/>
    </xf>
    <xf numFmtId="0" fontId="6" fillId="19" borderId="0" xfId="0" applyFont="1" applyFill="1" applyBorder="1" applyAlignment="1">
      <alignment wrapText="1"/>
    </xf>
    <xf numFmtId="0" fontId="0" fillId="0" borderId="0" xfId="0" applyAlignment="1">
      <alignment wrapText="1"/>
    </xf>
    <xf numFmtId="3" fontId="8" fillId="46" borderId="126" xfId="0" applyNumberFormat="1" applyFont="1" applyFill="1" applyBorder="1" applyAlignment="1">
      <alignment vertical="center"/>
    </xf>
    <xf numFmtId="3" fontId="8" fillId="46" borderId="127" xfId="0" applyNumberFormat="1" applyFont="1" applyFill="1" applyBorder="1" applyAlignment="1">
      <alignment vertical="center"/>
    </xf>
    <xf numFmtId="3" fontId="47" fillId="22" borderId="0" xfId="0" applyNumberFormat="1" applyFont="1" applyFill="1" applyBorder="1" applyAlignment="1">
      <alignment horizontal="left"/>
    </xf>
    <xf numFmtId="3" fontId="11" fillId="17" borderId="58" xfId="0" applyNumberFormat="1" applyFont="1" applyFill="1" applyBorder="1" applyAlignment="1" applyProtection="1">
      <alignment horizontal="right" vertical="center" indent="1"/>
      <protection locked="0"/>
    </xf>
    <xf numFmtId="3" fontId="11" fillId="17" borderId="60" xfId="0" applyNumberFormat="1" applyFont="1" applyFill="1" applyBorder="1" applyAlignment="1" applyProtection="1">
      <alignment horizontal="right" vertical="center" indent="1"/>
      <protection locked="0"/>
    </xf>
    <xf numFmtId="3" fontId="11" fillId="17" borderId="126" xfId="0" applyNumberFormat="1" applyFont="1" applyFill="1" applyBorder="1" applyAlignment="1" applyProtection="1">
      <alignment horizontal="right" vertical="center" indent="1"/>
    </xf>
    <xf numFmtId="3" fontId="11" fillId="17" borderId="127" xfId="0" applyNumberFormat="1" applyFont="1" applyFill="1" applyBorder="1" applyAlignment="1" applyProtection="1">
      <alignment horizontal="right" vertical="center" indent="1"/>
    </xf>
    <xf numFmtId="0" fontId="90" fillId="22" borderId="76" xfId="0" applyFont="1" applyFill="1" applyBorder="1" applyAlignment="1">
      <alignment horizontal="left"/>
    </xf>
    <xf numFmtId="0" fontId="90" fillId="22" borderId="34" xfId="0" applyFont="1" applyFill="1" applyBorder="1" applyAlignment="1">
      <alignment horizontal="left"/>
    </xf>
    <xf numFmtId="0" fontId="8" fillId="19" borderId="0" xfId="0" applyFont="1" applyFill="1" applyBorder="1" applyAlignment="1">
      <alignment horizontal="center"/>
    </xf>
    <xf numFmtId="0" fontId="14" fillId="17" borderId="73" xfId="0" applyNumberFormat="1" applyFont="1" applyFill="1" applyBorder="1" applyAlignment="1" applyProtection="1">
      <alignment horizontal="left" vertical="top"/>
      <protection locked="0"/>
    </xf>
    <xf numFmtId="0" fontId="14" fillId="17" borderId="74" xfId="0" applyNumberFormat="1" applyFont="1" applyFill="1" applyBorder="1" applyAlignment="1" applyProtection="1">
      <alignment horizontal="left" vertical="top"/>
      <protection locked="0"/>
    </xf>
    <xf numFmtId="0" fontId="14" fillId="17" borderId="75" xfId="0" applyNumberFormat="1" applyFont="1" applyFill="1" applyBorder="1" applyAlignment="1" applyProtection="1">
      <alignment horizontal="left" vertical="top"/>
      <protection locked="0"/>
    </xf>
    <xf numFmtId="0" fontId="76" fillId="20" borderId="23" xfId="0" applyFont="1" applyFill="1" applyBorder="1" applyAlignment="1">
      <alignment horizontal="center"/>
    </xf>
    <xf numFmtId="0" fontId="76" fillId="20" borderId="0" xfId="0" applyFont="1" applyFill="1" applyBorder="1" applyAlignment="1">
      <alignment horizontal="center"/>
    </xf>
    <xf numFmtId="0" fontId="76" fillId="20" borderId="15" xfId="0" applyFont="1" applyFill="1" applyBorder="1" applyAlignment="1">
      <alignment horizontal="center"/>
    </xf>
    <xf numFmtId="0" fontId="6" fillId="20" borderId="23" xfId="0" applyFont="1" applyFill="1" applyBorder="1" applyAlignment="1">
      <alignment horizontal="center"/>
    </xf>
    <xf numFmtId="0" fontId="6" fillId="20" borderId="0" xfId="0" applyFont="1" applyFill="1" applyBorder="1" applyAlignment="1">
      <alignment horizontal="center"/>
    </xf>
    <xf numFmtId="0" fontId="6" fillId="20" borderId="15" xfId="0" applyFont="1" applyFill="1" applyBorder="1" applyAlignment="1">
      <alignment horizontal="center"/>
    </xf>
    <xf numFmtId="0" fontId="2" fillId="0" borderId="0" xfId="0" applyFont="1" applyAlignment="1">
      <alignment wrapText="1"/>
    </xf>
    <xf numFmtId="0" fontId="8" fillId="19" borderId="0" xfId="0" applyFont="1" applyFill="1" applyBorder="1" applyAlignment="1">
      <alignment horizontal="left"/>
    </xf>
    <xf numFmtId="3" fontId="58" fillId="19" borderId="0" xfId="0" applyNumberFormat="1" applyFont="1" applyFill="1" applyBorder="1" applyAlignment="1">
      <alignment horizontal="left" vertical="center"/>
    </xf>
    <xf numFmtId="0" fontId="58" fillId="0" borderId="0" xfId="0" applyFont="1" applyAlignment="1">
      <alignment horizontal="left" vertical="center"/>
    </xf>
    <xf numFmtId="3" fontId="9" fillId="19" borderId="0" xfId="0" applyNumberFormat="1" applyFont="1" applyFill="1" applyBorder="1" applyAlignment="1">
      <alignment horizontal="right" vertical="center"/>
    </xf>
    <xf numFmtId="0" fontId="6" fillId="19" borderId="0" xfId="0" applyFont="1" applyFill="1" applyBorder="1" applyAlignment="1">
      <alignment vertical="top" wrapText="1"/>
    </xf>
    <xf numFmtId="3" fontId="8" fillId="17" borderId="79" xfId="0" applyNumberFormat="1" applyFont="1" applyFill="1" applyBorder="1" applyAlignment="1" applyProtection="1">
      <alignment horizontal="right" vertical="center" indent="1"/>
    </xf>
    <xf numFmtId="3" fontId="6" fillId="17" borderId="80" xfId="0" applyNumberFormat="1" applyFont="1" applyFill="1" applyBorder="1" applyAlignment="1" applyProtection="1">
      <alignment horizontal="right" vertical="center" indent="1"/>
    </xf>
    <xf numFmtId="3" fontId="8" fillId="17" borderId="126" xfId="0" applyNumberFormat="1" applyFont="1" applyFill="1" applyBorder="1" applyAlignment="1">
      <alignment horizontal="right" vertical="center" indent="1"/>
    </xf>
    <xf numFmtId="3" fontId="6" fillId="17" borderId="127" xfId="0" applyNumberFormat="1" applyFont="1" applyFill="1" applyBorder="1" applyAlignment="1">
      <alignment horizontal="right" vertical="center" indent="1"/>
    </xf>
    <xf numFmtId="3" fontId="8" fillId="24" borderId="79" xfId="0" applyNumberFormat="1" applyFont="1" applyFill="1" applyBorder="1" applyAlignment="1">
      <alignment vertical="center"/>
    </xf>
    <xf numFmtId="3" fontId="6" fillId="24" borderId="80" xfId="0" applyNumberFormat="1" applyFont="1" applyFill="1" applyBorder="1" applyAlignment="1">
      <alignment vertical="center"/>
    </xf>
    <xf numFmtId="0" fontId="6" fillId="20" borderId="16" xfId="0" applyFont="1" applyFill="1" applyBorder="1" applyAlignment="1" applyProtection="1">
      <alignment horizontal="center"/>
      <protection locked="0"/>
    </xf>
    <xf numFmtId="3" fontId="8" fillId="17" borderId="79" xfId="0" applyNumberFormat="1" applyFont="1" applyFill="1" applyBorder="1" applyAlignment="1">
      <alignment horizontal="right" vertical="center" indent="1"/>
    </xf>
    <xf numFmtId="3" fontId="6" fillId="17" borderId="80" xfId="0" applyNumberFormat="1" applyFont="1" applyFill="1" applyBorder="1" applyAlignment="1">
      <alignment horizontal="right" vertical="center" indent="1"/>
    </xf>
    <xf numFmtId="167" fontId="57" fillId="19" borderId="0" xfId="0" applyNumberFormat="1" applyFont="1" applyFill="1" applyBorder="1" applyAlignment="1">
      <alignment horizontal="right" vertical="center"/>
    </xf>
    <xf numFmtId="3" fontId="6" fillId="19" borderId="0" xfId="0" applyNumberFormat="1" applyFont="1" applyFill="1" applyBorder="1" applyAlignment="1">
      <alignment horizontal="center" vertical="center"/>
    </xf>
    <xf numFmtId="0" fontId="7" fillId="20" borderId="23" xfId="0" applyFont="1" applyFill="1" applyBorder="1" applyAlignment="1">
      <alignment horizontal="center"/>
    </xf>
    <xf numFmtId="0" fontId="7" fillId="20" borderId="0" xfId="0" applyFont="1" applyFill="1" applyBorder="1" applyAlignment="1">
      <alignment horizontal="center"/>
    </xf>
    <xf numFmtId="0" fontId="7" fillId="20" borderId="15" xfId="0" applyFont="1" applyFill="1" applyBorder="1" applyAlignment="1">
      <alignment horizontal="center"/>
    </xf>
    <xf numFmtId="168" fontId="9" fillId="19" borderId="0" xfId="0" applyNumberFormat="1" applyFont="1" applyFill="1" applyBorder="1" applyAlignment="1">
      <alignment horizontal="center" vertical="center"/>
    </xf>
    <xf numFmtId="0" fontId="6" fillId="20" borderId="0" xfId="0" applyFont="1" applyFill="1" applyBorder="1" applyAlignment="1" applyProtection="1">
      <alignment horizontal="center" vertical="top"/>
      <protection locked="0"/>
    </xf>
    <xf numFmtId="0" fontId="6" fillId="20" borderId="24" xfId="0" applyFont="1" applyFill="1" applyBorder="1" applyAlignment="1">
      <alignment horizontal="center"/>
    </xf>
    <xf numFmtId="0" fontId="6" fillId="20" borderId="25" xfId="0" applyFont="1" applyFill="1" applyBorder="1" applyAlignment="1">
      <alignment horizontal="center"/>
    </xf>
    <xf numFmtId="0" fontId="6" fillId="20" borderId="27" xfId="0" applyFont="1" applyFill="1" applyBorder="1" applyAlignment="1">
      <alignment horizontal="center"/>
    </xf>
    <xf numFmtId="0" fontId="8" fillId="19" borderId="0" xfId="0" applyFont="1" applyFill="1" applyBorder="1" applyAlignment="1">
      <alignment vertical="top"/>
    </xf>
    <xf numFmtId="3" fontId="58" fillId="22" borderId="0" xfId="0" applyNumberFormat="1" applyFont="1" applyFill="1" applyBorder="1" applyAlignment="1">
      <alignment horizontal="left"/>
    </xf>
    <xf numFmtId="0" fontId="53" fillId="17" borderId="25" xfId="0" applyFont="1" applyFill="1" applyBorder="1" applyAlignment="1">
      <alignment horizontal="center"/>
    </xf>
    <xf numFmtId="1" fontId="70" fillId="22" borderId="76" xfId="0" applyNumberFormat="1" applyFont="1" applyFill="1" applyBorder="1" applyAlignment="1">
      <alignment horizontal="center"/>
    </xf>
    <xf numFmtId="0" fontId="70" fillId="22" borderId="34" xfId="0" applyFont="1" applyFill="1" applyBorder="1" applyAlignment="1">
      <alignment horizontal="center"/>
    </xf>
    <xf numFmtId="3" fontId="8" fillId="24" borderId="77" xfId="0" applyNumberFormat="1" applyFont="1" applyFill="1" applyBorder="1" applyAlignment="1">
      <alignment horizontal="right" vertical="center" indent="1"/>
    </xf>
    <xf numFmtId="3" fontId="8" fillId="24" borderId="78" xfId="0" applyNumberFormat="1" applyFont="1" applyFill="1" applyBorder="1" applyAlignment="1">
      <alignment horizontal="right" vertical="center" indent="1"/>
    </xf>
    <xf numFmtId="0" fontId="49" fillId="19" borderId="0" xfId="0" applyFont="1" applyFill="1" applyBorder="1" applyAlignment="1">
      <alignment horizontal="left" wrapText="1"/>
    </xf>
    <xf numFmtId="3" fontId="8" fillId="19" borderId="0" xfId="0" applyNumberFormat="1" applyFont="1" applyFill="1" applyBorder="1" applyAlignment="1">
      <alignment horizontal="center" vertical="center" wrapText="1"/>
    </xf>
    <xf numFmtId="0" fontId="12" fillId="25" borderId="0" xfId="0" applyFont="1" applyFill="1" applyBorder="1" applyAlignment="1">
      <alignment horizontal="left" wrapText="1"/>
    </xf>
    <xf numFmtId="0" fontId="95" fillId="25" borderId="0" xfId="0" applyFont="1" applyFill="1" applyBorder="1" applyAlignment="1">
      <alignment horizontal="center" vertical="center"/>
    </xf>
    <xf numFmtId="0" fontId="8" fillId="19" borderId="44" xfId="0" applyFont="1" applyFill="1" applyBorder="1" applyAlignment="1">
      <alignment horizontal="left" vertical="center" wrapText="1"/>
    </xf>
    <xf numFmtId="0" fontId="8" fillId="19" borderId="36" xfId="0" applyFont="1" applyFill="1" applyBorder="1" applyAlignment="1">
      <alignment horizontal="left" vertical="center" wrapText="1"/>
    </xf>
    <xf numFmtId="0" fontId="8" fillId="19" borderId="40" xfId="0" applyFont="1" applyFill="1" applyBorder="1" applyAlignment="1">
      <alignment horizontal="left" vertical="center" wrapText="1"/>
    </xf>
    <xf numFmtId="0" fontId="8" fillId="19" borderId="76" xfId="0" applyFont="1" applyFill="1" applyBorder="1" applyAlignment="1">
      <alignment horizontal="left" vertical="center" wrapText="1"/>
    </xf>
    <xf numFmtId="0" fontId="8" fillId="19" borderId="34" xfId="0" applyFont="1" applyFill="1" applyBorder="1" applyAlignment="1">
      <alignment horizontal="left" vertical="center" wrapText="1"/>
    </xf>
    <xf numFmtId="0" fontId="8" fillId="19" borderId="42" xfId="0" applyFont="1" applyFill="1" applyBorder="1" applyAlignment="1">
      <alignment horizontal="left" vertical="center" wrapText="1"/>
    </xf>
    <xf numFmtId="3" fontId="8" fillId="24" borderId="126" xfId="0" applyNumberFormat="1" applyFont="1" applyFill="1" applyBorder="1" applyAlignment="1">
      <alignment horizontal="right"/>
    </xf>
    <xf numFmtId="3" fontId="8" fillId="24" borderId="127" xfId="0" applyNumberFormat="1" applyFont="1" applyFill="1" applyBorder="1" applyAlignment="1">
      <alignment horizontal="right"/>
    </xf>
    <xf numFmtId="3" fontId="8" fillId="24" borderId="126" xfId="0" applyNumberFormat="1" applyFont="1" applyFill="1" applyBorder="1" applyAlignment="1">
      <alignment horizontal="right" vertical="center" indent="1"/>
    </xf>
    <xf numFmtId="0" fontId="0" fillId="0" borderId="127" xfId="0" applyBorder="1" applyAlignment="1">
      <alignment horizontal="right" vertical="center" indent="1"/>
    </xf>
    <xf numFmtId="1" fontId="63" fillId="22" borderId="76" xfId="0" applyNumberFormat="1" applyFont="1" applyFill="1" applyBorder="1" applyAlignment="1">
      <alignment horizontal="left"/>
    </xf>
    <xf numFmtId="0" fontId="63" fillId="22" borderId="34" xfId="0" applyFont="1" applyFill="1" applyBorder="1" applyAlignment="1">
      <alignment horizontal="left"/>
    </xf>
    <xf numFmtId="3" fontId="11" fillId="24" borderId="77" xfId="0" applyNumberFormat="1" applyFont="1" applyFill="1" applyBorder="1" applyAlignment="1">
      <alignment horizontal="right" vertical="center" indent="1"/>
    </xf>
    <xf numFmtId="3" fontId="12" fillId="24" borderId="78" xfId="0" applyNumberFormat="1" applyFont="1" applyFill="1" applyBorder="1" applyAlignment="1">
      <alignment horizontal="right" vertical="center" indent="1"/>
    </xf>
    <xf numFmtId="0" fontId="2" fillId="0" borderId="0" xfId="0" applyFont="1" applyBorder="1" applyAlignment="1">
      <alignment wrapText="1"/>
    </xf>
    <xf numFmtId="3" fontId="11" fillId="17" borderId="77" xfId="0" applyNumberFormat="1" applyFont="1" applyFill="1" applyBorder="1" applyAlignment="1">
      <alignment horizontal="right" vertical="center" indent="1"/>
    </xf>
    <xf numFmtId="3" fontId="12" fillId="17" borderId="78" xfId="0" applyNumberFormat="1" applyFont="1" applyFill="1" applyBorder="1" applyAlignment="1">
      <alignment horizontal="right" vertical="center" indent="1"/>
    </xf>
    <xf numFmtId="3" fontId="11" fillId="25" borderId="58" xfId="0" applyNumberFormat="1" applyFont="1" applyFill="1" applyBorder="1" applyAlignment="1" applyProtection="1">
      <alignment horizontal="right" vertical="center" indent="1"/>
      <protection locked="0"/>
    </xf>
    <xf numFmtId="3" fontId="11" fillId="25" borderId="60" xfId="0" applyNumberFormat="1" applyFont="1" applyFill="1" applyBorder="1" applyAlignment="1" applyProtection="1">
      <alignment horizontal="right" vertical="center" indent="1"/>
      <protection locked="0"/>
    </xf>
    <xf numFmtId="3" fontId="11" fillId="17" borderId="78" xfId="0" applyNumberFormat="1" applyFont="1" applyFill="1" applyBorder="1" applyAlignment="1">
      <alignment horizontal="right" vertical="center" indent="1"/>
    </xf>
    <xf numFmtId="0" fontId="87" fillId="19" borderId="0" xfId="0" applyFont="1" applyFill="1" applyBorder="1" applyAlignment="1">
      <alignment horizontal="center" vertical="center" wrapText="1"/>
    </xf>
    <xf numFmtId="0" fontId="76" fillId="19" borderId="0" xfId="0" applyFont="1" applyFill="1" applyBorder="1" applyAlignment="1">
      <alignment horizontal="left" vertical="center" wrapText="1"/>
    </xf>
    <xf numFmtId="0" fontId="11" fillId="19" borderId="25" xfId="0" applyFont="1" applyFill="1" applyBorder="1" applyAlignment="1">
      <alignment horizontal="center"/>
    </xf>
    <xf numFmtId="0" fontId="8" fillId="19" borderId="0" xfId="0" applyFont="1" applyFill="1" applyBorder="1" applyAlignment="1">
      <alignment horizontal="left" wrapText="1"/>
    </xf>
    <xf numFmtId="0" fontId="12" fillId="19" borderId="0" xfId="0" applyFont="1" applyFill="1" applyBorder="1" applyAlignment="1">
      <alignment horizontal="center"/>
    </xf>
    <xf numFmtId="0" fontId="11" fillId="19" borderId="0" xfId="0" applyFont="1" applyFill="1" applyBorder="1" applyAlignment="1">
      <alignment horizontal="left"/>
    </xf>
    <xf numFmtId="14" fontId="11" fillId="17" borderId="58" xfId="0" applyNumberFormat="1" applyFont="1" applyFill="1" applyBorder="1" applyAlignment="1" applyProtection="1">
      <alignment horizontal="right" vertical="center" indent="1"/>
      <protection locked="0"/>
    </xf>
    <xf numFmtId="14" fontId="11" fillId="17" borderId="60" xfId="0" applyNumberFormat="1" applyFont="1" applyFill="1" applyBorder="1" applyAlignment="1" applyProtection="1">
      <alignment horizontal="right" vertical="center" indent="1"/>
      <protection locked="0"/>
    </xf>
    <xf numFmtId="0" fontId="12" fillId="19" borderId="0" xfId="0" applyFont="1" applyFill="1" applyBorder="1" applyAlignment="1">
      <alignment horizontal="left" vertical="top" wrapText="1"/>
    </xf>
    <xf numFmtId="0" fontId="12" fillId="32" borderId="0" xfId="0" applyFont="1" applyFill="1" applyBorder="1" applyAlignment="1" applyProtection="1">
      <alignment vertical="top" wrapText="1"/>
    </xf>
    <xf numFmtId="0" fontId="0" fillId="32" borderId="0" xfId="0" applyFill="1" applyBorder="1" applyAlignment="1" applyProtection="1">
      <alignment vertical="top" wrapText="1"/>
    </xf>
    <xf numFmtId="3" fontId="11" fillId="24" borderId="78" xfId="0" applyNumberFormat="1" applyFont="1" applyFill="1" applyBorder="1" applyAlignment="1">
      <alignment horizontal="right" vertical="center" indent="1"/>
    </xf>
    <xf numFmtId="0" fontId="8" fillId="19" borderId="0" xfId="0" applyFont="1" applyFill="1" applyBorder="1" applyAlignment="1">
      <alignment wrapText="1"/>
    </xf>
    <xf numFmtId="0" fontId="6" fillId="19" borderId="0" xfId="0" applyFont="1" applyFill="1" applyBorder="1" applyAlignment="1">
      <alignment horizontal="left" wrapText="1"/>
    </xf>
    <xf numFmtId="0" fontId="6" fillId="32" borderId="0" xfId="0" applyFont="1" applyFill="1" applyBorder="1" applyAlignment="1" applyProtection="1">
      <alignment horizontal="left" vertical="top" wrapText="1"/>
    </xf>
    <xf numFmtId="0" fontId="12" fillId="32" borderId="0" xfId="0" applyFont="1" applyFill="1" applyBorder="1" applyAlignment="1" applyProtection="1">
      <alignment horizontal="left" vertical="top" wrapText="1"/>
    </xf>
    <xf numFmtId="3" fontId="11" fillId="25" borderId="77" xfId="0" applyNumberFormat="1" applyFont="1" applyFill="1" applyBorder="1" applyAlignment="1" applyProtection="1">
      <alignment horizontal="right" vertical="center" indent="1"/>
    </xf>
    <xf numFmtId="3" fontId="12" fillId="25" borderId="78" xfId="0" applyNumberFormat="1" applyFont="1" applyFill="1" applyBorder="1" applyAlignment="1" applyProtection="1">
      <alignment horizontal="right" vertical="center" indent="1"/>
    </xf>
    <xf numFmtId="0" fontId="6" fillId="32" borderId="0" xfId="0" applyFont="1" applyFill="1" applyBorder="1" applyAlignment="1" applyProtection="1">
      <alignment vertical="top" wrapText="1"/>
    </xf>
    <xf numFmtId="3" fontId="8" fillId="17" borderId="58" xfId="0" applyNumberFormat="1" applyFont="1" applyFill="1" applyBorder="1" applyAlignment="1" applyProtection="1">
      <alignment horizontal="right" vertical="center" indent="1"/>
      <protection locked="0"/>
    </xf>
    <xf numFmtId="3" fontId="8" fillId="17" borderId="60" xfId="0" applyNumberFormat="1" applyFont="1" applyFill="1" applyBorder="1" applyAlignment="1" applyProtection="1">
      <alignment horizontal="right" vertical="center" indent="1"/>
      <protection locked="0"/>
    </xf>
    <xf numFmtId="0" fontId="8" fillId="19" borderId="16" xfId="0" applyFont="1" applyFill="1" applyBorder="1" applyAlignment="1">
      <alignment horizontal="left" wrapText="1"/>
    </xf>
    <xf numFmtId="0" fontId="0" fillId="0" borderId="0" xfId="0" applyAlignment="1">
      <alignment horizontal="left" vertical="top" wrapText="1"/>
    </xf>
    <xf numFmtId="0" fontId="82" fillId="25" borderId="58" xfId="0" applyFont="1" applyFill="1" applyBorder="1" applyAlignment="1">
      <alignment horizontal="center"/>
    </xf>
    <xf numFmtId="0" fontId="82" fillId="25" borderId="59" xfId="0" applyFont="1" applyFill="1" applyBorder="1" applyAlignment="1">
      <alignment horizontal="center"/>
    </xf>
    <xf numFmtId="0" fontId="82" fillId="25" borderId="60" xfId="0" applyFont="1" applyFill="1" applyBorder="1" applyAlignment="1">
      <alignment horizontal="center"/>
    </xf>
    <xf numFmtId="0" fontId="47" fillId="19" borderId="0" xfId="0" applyFont="1" applyFill="1" applyBorder="1" applyAlignment="1">
      <alignment horizontal="center"/>
    </xf>
    <xf numFmtId="3" fontId="11" fillId="17" borderId="0" xfId="0" applyNumberFormat="1" applyFont="1" applyFill="1" applyBorder="1" applyAlignment="1">
      <alignment horizontal="center"/>
    </xf>
    <xf numFmtId="0" fontId="11" fillId="17" borderId="0" xfId="0" applyFont="1" applyFill="1" applyBorder="1" applyAlignment="1">
      <alignment horizontal="center"/>
    </xf>
    <xf numFmtId="3" fontId="11" fillId="17" borderId="0" xfId="0" applyNumberFormat="1" applyFont="1" applyFill="1" applyBorder="1" applyAlignment="1">
      <alignment horizontal="right" vertical="center" indent="1"/>
    </xf>
    <xf numFmtId="0" fontId="8" fillId="19" borderId="0" xfId="0" applyFont="1" applyFill="1" applyBorder="1" applyAlignment="1">
      <alignment vertical="top" wrapText="1"/>
    </xf>
    <xf numFmtId="0" fontId="3" fillId="0" borderId="0" xfId="0" applyFont="1" applyBorder="1" applyAlignment="1">
      <alignment vertical="top" wrapText="1"/>
    </xf>
    <xf numFmtId="0" fontId="3" fillId="0" borderId="0" xfId="0" applyFont="1" applyAlignment="1">
      <alignment vertical="top" wrapText="1"/>
    </xf>
    <xf numFmtId="0" fontId="2" fillId="0" borderId="0" xfId="0" applyFont="1" applyBorder="1" applyAlignment="1">
      <alignment vertical="top" wrapText="1"/>
    </xf>
    <xf numFmtId="3" fontId="11" fillId="24" borderId="0" xfId="0" applyNumberFormat="1" applyFont="1" applyFill="1" applyBorder="1" applyAlignment="1">
      <alignment horizontal="right" vertical="center" indent="1"/>
    </xf>
    <xf numFmtId="0" fontId="6" fillId="17" borderId="0" xfId="0" applyFont="1" applyFill="1" applyBorder="1" applyAlignment="1">
      <alignment vertical="top" wrapText="1"/>
    </xf>
    <xf numFmtId="0" fontId="2" fillId="0" borderId="0" xfId="0" applyFont="1" applyAlignment="1">
      <alignment vertical="top" wrapText="1"/>
    </xf>
    <xf numFmtId="0" fontId="33" fillId="20" borderId="23" xfId="0" applyFont="1" applyFill="1" applyBorder="1" applyAlignment="1">
      <alignment horizontal="center"/>
    </xf>
    <xf numFmtId="0" fontId="0" fillId="0" borderId="0" xfId="0" applyBorder="1" applyAlignment="1">
      <alignment horizontal="center"/>
    </xf>
    <xf numFmtId="0" fontId="0" fillId="0" borderId="15" xfId="0" applyBorder="1" applyAlignment="1">
      <alignment horizontal="center"/>
    </xf>
    <xf numFmtId="0" fontId="2" fillId="0" borderId="0" xfId="0" applyFont="1" applyBorder="1" applyAlignment="1">
      <alignment horizontal="center"/>
    </xf>
    <xf numFmtId="0" fontId="2" fillId="0" borderId="15" xfId="0" applyFont="1" applyBorder="1" applyAlignment="1">
      <alignment horizontal="center"/>
    </xf>
    <xf numFmtId="3" fontId="11" fillId="24" borderId="77" xfId="0" applyNumberFormat="1" applyFont="1" applyFill="1" applyBorder="1" applyAlignment="1" applyProtection="1">
      <alignment horizontal="right" vertical="center" indent="1"/>
    </xf>
    <xf numFmtId="3" fontId="12" fillId="24" borderId="78" xfId="0" applyNumberFormat="1" applyFont="1" applyFill="1" applyBorder="1" applyAlignment="1" applyProtection="1">
      <alignment horizontal="right" vertical="center" indent="1"/>
    </xf>
    <xf numFmtId="0" fontId="3" fillId="19" borderId="16" xfId="0" applyFont="1" applyFill="1" applyBorder="1" applyAlignment="1">
      <alignment horizontal="left"/>
    </xf>
    <xf numFmtId="0" fontId="76" fillId="0" borderId="0" xfId="0" applyFont="1" applyAlignment="1">
      <alignment wrapText="1"/>
    </xf>
    <xf numFmtId="0" fontId="3" fillId="0" borderId="0" xfId="0" applyFont="1" applyAlignment="1">
      <alignment wrapText="1"/>
    </xf>
    <xf numFmtId="0" fontId="45" fillId="0" borderId="61" xfId="0" applyFont="1" applyBorder="1" applyAlignment="1">
      <alignment horizontal="center" vertical="center" wrapText="1"/>
    </xf>
    <xf numFmtId="0" fontId="45" fillId="0" borderId="63" xfId="0" applyFont="1" applyBorder="1" applyAlignment="1">
      <alignment horizontal="center" vertical="center"/>
    </xf>
    <xf numFmtId="0" fontId="91" fillId="0" borderId="0" xfId="0" applyFont="1" applyBorder="1" applyAlignment="1">
      <alignment horizontal="left" vertical="center"/>
    </xf>
    <xf numFmtId="0" fontId="11" fillId="19" borderId="0" xfId="0" applyFont="1" applyFill="1" applyBorder="1" applyAlignment="1">
      <alignment horizontal="center" wrapText="1"/>
    </xf>
    <xf numFmtId="0" fontId="0" fillId="0" borderId="0" xfId="0" applyBorder="1" applyAlignment="1">
      <alignment wrapText="1"/>
    </xf>
    <xf numFmtId="0" fontId="87" fillId="19" borderId="0" xfId="0" applyFont="1" applyFill="1" applyBorder="1" applyAlignment="1">
      <alignment horizontal="center" vertical="center"/>
    </xf>
    <xf numFmtId="0" fontId="11" fillId="24" borderId="81" xfId="0" applyFont="1" applyFill="1" applyBorder="1" applyAlignment="1">
      <alignment horizontal="center"/>
    </xf>
    <xf numFmtId="0" fontId="81" fillId="0" borderId="61" xfId="0" applyFont="1" applyBorder="1" applyAlignment="1">
      <alignment horizontal="center" wrapText="1"/>
    </xf>
    <xf numFmtId="0" fontId="81" fillId="0" borderId="63" xfId="0" applyFont="1" applyBorder="1" applyAlignment="1">
      <alignment horizontal="center" wrapText="1"/>
    </xf>
    <xf numFmtId="3" fontId="11" fillId="24" borderId="126" xfId="0" applyNumberFormat="1" applyFont="1" applyFill="1" applyBorder="1" applyAlignment="1" applyProtection="1">
      <alignment horizontal="right" vertical="center" indent="1"/>
    </xf>
    <xf numFmtId="3" fontId="11" fillId="24" borderId="127" xfId="0" applyNumberFormat="1" applyFont="1" applyFill="1" applyBorder="1" applyAlignment="1" applyProtection="1">
      <alignment horizontal="right" vertical="center" indent="1"/>
    </xf>
    <xf numFmtId="0" fontId="12" fillId="19" borderId="0" xfId="0" applyFont="1" applyFill="1" applyBorder="1" applyAlignment="1">
      <alignment vertical="top" wrapText="1"/>
    </xf>
    <xf numFmtId="0" fontId="0" fillId="0" borderId="0" xfId="0" applyBorder="1" applyAlignment="1">
      <alignment vertical="top" wrapText="1"/>
    </xf>
    <xf numFmtId="3" fontId="11" fillId="0" borderId="126" xfId="0" applyNumberFormat="1" applyFont="1" applyFill="1" applyBorder="1" applyAlignment="1">
      <alignment horizontal="right" vertical="center" indent="1"/>
    </xf>
    <xf numFmtId="3" fontId="11" fillId="0" borderId="127" xfId="0" applyNumberFormat="1" applyFont="1" applyFill="1" applyBorder="1" applyAlignment="1">
      <alignment horizontal="right" vertical="center" indent="1"/>
    </xf>
    <xf numFmtId="0" fontId="11" fillId="19" borderId="0" xfId="0" applyFont="1" applyFill="1" applyBorder="1" applyAlignment="1">
      <alignment horizontal="center"/>
    </xf>
    <xf numFmtId="0" fontId="11" fillId="24" borderId="0" xfId="0" applyFont="1" applyFill="1" applyBorder="1" applyAlignment="1">
      <alignment horizontal="center"/>
    </xf>
    <xf numFmtId="0" fontId="8" fillId="0" borderId="126" xfId="0" applyFont="1" applyFill="1" applyBorder="1" applyAlignment="1">
      <alignment vertical="center"/>
    </xf>
    <xf numFmtId="0" fontId="8" fillId="0" borderId="127" xfId="0" applyFont="1" applyFill="1" applyBorder="1" applyAlignment="1">
      <alignment vertical="center"/>
    </xf>
    <xf numFmtId="3" fontId="8" fillId="17" borderId="126" xfId="0" applyNumberFormat="1" applyFont="1" applyFill="1" applyBorder="1" applyAlignment="1" applyProtection="1">
      <alignment horizontal="right"/>
    </xf>
    <xf numFmtId="3" fontId="8" fillId="17" borderId="127" xfId="0" applyNumberFormat="1" applyFont="1" applyFill="1" applyBorder="1" applyAlignment="1" applyProtection="1">
      <alignment horizontal="right"/>
    </xf>
    <xf numFmtId="3" fontId="11" fillId="17" borderId="77" xfId="0" applyNumberFormat="1" applyFont="1" applyFill="1" applyBorder="1" applyAlignment="1" applyProtection="1">
      <alignment horizontal="right" vertical="center" indent="1"/>
    </xf>
    <xf numFmtId="3" fontId="12" fillId="17" borderId="78" xfId="0" applyNumberFormat="1" applyFont="1" applyFill="1" applyBorder="1" applyAlignment="1" applyProtection="1">
      <alignment horizontal="right" vertical="center" indent="1"/>
    </xf>
    <xf numFmtId="0" fontId="11" fillId="24" borderId="0" xfId="0" applyFont="1" applyFill="1" applyBorder="1" applyAlignment="1">
      <alignment horizontal="center" vertical="center"/>
    </xf>
    <xf numFmtId="3" fontId="11" fillId="17" borderId="108" xfId="0" applyNumberFormat="1" applyFont="1" applyFill="1" applyBorder="1" applyAlignment="1" applyProtection="1">
      <alignment horizontal="right" vertical="center" indent="1"/>
    </xf>
    <xf numFmtId="3" fontId="11" fillId="17" borderId="109" xfId="0" applyNumberFormat="1" applyFont="1" applyFill="1" applyBorder="1" applyAlignment="1" applyProtection="1">
      <alignment horizontal="right" vertical="center" indent="1"/>
    </xf>
    <xf numFmtId="0" fontId="8" fillId="24" borderId="19" xfId="0" applyFont="1" applyFill="1" applyBorder="1" applyAlignment="1">
      <alignment horizontal="center" vertical="center" wrapText="1"/>
    </xf>
    <xf numFmtId="0" fontId="11" fillId="24" borderId="19" xfId="0" applyFont="1" applyFill="1" applyBorder="1" applyAlignment="1">
      <alignment horizontal="center" vertical="center"/>
    </xf>
    <xf numFmtId="0" fontId="11" fillId="24" borderId="81" xfId="0" applyFont="1" applyFill="1" applyBorder="1" applyAlignment="1">
      <alignment horizontal="center" vertical="center"/>
    </xf>
    <xf numFmtId="3" fontId="11" fillId="24" borderId="128" xfId="0" applyNumberFormat="1" applyFont="1" applyFill="1" applyBorder="1" applyAlignment="1" applyProtection="1">
      <alignment horizontal="right" vertical="center" indent="1"/>
    </xf>
    <xf numFmtId="3" fontId="11" fillId="24" borderId="129" xfId="0" applyNumberFormat="1" applyFont="1" applyFill="1" applyBorder="1" applyAlignment="1" applyProtection="1">
      <alignment horizontal="right" vertical="center" indent="1"/>
    </xf>
    <xf numFmtId="3" fontId="11" fillId="17" borderId="0" xfId="0" applyNumberFormat="1" applyFont="1" applyFill="1" applyBorder="1" applyAlignment="1">
      <alignment horizontal="center" vertical="center"/>
    </xf>
    <xf numFmtId="0" fontId="8" fillId="19" borderId="0" xfId="0" applyFont="1" applyFill="1" applyBorder="1" applyAlignment="1">
      <alignment horizontal="center" vertical="center"/>
    </xf>
    <xf numFmtId="0" fontId="8" fillId="19" borderId="0" xfId="0" applyFont="1" applyFill="1" applyBorder="1" applyAlignment="1">
      <alignment horizontal="center" wrapText="1"/>
    </xf>
    <xf numFmtId="3" fontId="8" fillId="19" borderId="0" xfId="0" applyNumberFormat="1" applyFont="1" applyFill="1" applyBorder="1" applyAlignment="1">
      <alignment horizontal="center" wrapText="1"/>
    </xf>
    <xf numFmtId="3" fontId="11" fillId="19" borderId="0" xfId="0" applyNumberFormat="1" applyFont="1" applyFill="1" applyBorder="1" applyAlignment="1">
      <alignment horizontal="center" wrapText="1"/>
    </xf>
    <xf numFmtId="0" fontId="6" fillId="19" borderId="0" xfId="0" applyFont="1" applyFill="1" applyBorder="1" applyAlignment="1">
      <alignment horizontal="center"/>
    </xf>
    <xf numFmtId="0" fontId="3" fillId="19" borderId="0" xfId="0" applyFont="1" applyFill="1" applyBorder="1" applyAlignment="1">
      <alignment horizontal="left"/>
    </xf>
    <xf numFmtId="3" fontId="8" fillId="24" borderId="126" xfId="0" applyNumberFormat="1" applyFont="1" applyFill="1" applyBorder="1" applyAlignment="1" applyProtection="1"/>
    <xf numFmtId="0" fontId="3" fillId="0" borderId="127" xfId="0" applyFont="1" applyBorder="1" applyAlignment="1" applyProtection="1"/>
    <xf numFmtId="0" fontId="81" fillId="25" borderId="0" xfId="0" applyFont="1" applyFill="1" applyBorder="1" applyAlignment="1">
      <alignment horizontal="center" vertical="center"/>
    </xf>
    <xf numFmtId="3" fontId="12" fillId="17" borderId="127" xfId="0" applyNumberFormat="1" applyFont="1" applyFill="1" applyBorder="1" applyAlignment="1" applyProtection="1">
      <alignment horizontal="right" vertical="center" indent="1"/>
    </xf>
    <xf numFmtId="0" fontId="52" fillId="0" borderId="0" xfId="0" applyFont="1" applyBorder="1" applyAlignment="1">
      <alignment horizontal="center"/>
    </xf>
    <xf numFmtId="3" fontId="11" fillId="17" borderId="131" xfId="0" applyNumberFormat="1" applyFont="1" applyFill="1" applyBorder="1" applyAlignment="1" applyProtection="1">
      <alignment horizontal="right" vertical="center" indent="1"/>
    </xf>
    <xf numFmtId="3" fontId="11" fillId="17" borderId="132" xfId="0" applyNumberFormat="1" applyFont="1" applyFill="1" applyBorder="1" applyAlignment="1" applyProtection="1">
      <alignment horizontal="right" vertical="center" indent="1"/>
    </xf>
    <xf numFmtId="3" fontId="8" fillId="24" borderId="126" xfId="0" applyNumberFormat="1" applyFont="1" applyFill="1" applyBorder="1" applyAlignment="1" applyProtection="1">
      <alignment horizontal="right" vertical="center" indent="1"/>
    </xf>
    <xf numFmtId="0" fontId="8" fillId="19" borderId="149" xfId="61"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50" xfId="0" applyBorder="1" applyAlignment="1" applyProtection="1">
      <alignment horizontal="center" vertical="center" wrapText="1"/>
    </xf>
    <xf numFmtId="0" fontId="8" fillId="19" borderId="149" xfId="61" quotePrefix="1" applyFont="1" applyFill="1" applyBorder="1" applyAlignment="1" applyProtection="1">
      <alignment horizontal="center" vertical="center" wrapText="1"/>
    </xf>
    <xf numFmtId="2" fontId="55" fillId="17" borderId="0" xfId="64" applyNumberFormat="1" applyFont="1" applyFill="1" applyBorder="1" applyAlignment="1" applyProtection="1">
      <alignment wrapText="1"/>
    </xf>
    <xf numFmtId="0" fontId="55" fillId="17" borderId="0" xfId="61" applyFont="1" applyFill="1" applyBorder="1" applyAlignment="1" applyProtection="1">
      <alignment wrapText="1"/>
    </xf>
    <xf numFmtId="0" fontId="121" fillId="48" borderId="23" xfId="61" applyFont="1" applyFill="1" applyBorder="1" applyAlignment="1" applyProtection="1">
      <alignment horizontal="left"/>
    </xf>
    <xf numFmtId="0" fontId="120" fillId="48" borderId="0" xfId="61" applyFont="1" applyFill="1" applyBorder="1" applyAlignment="1" applyProtection="1">
      <alignment horizontal="left"/>
    </xf>
    <xf numFmtId="0" fontId="120" fillId="48" borderId="15" xfId="61" applyFont="1" applyFill="1" applyBorder="1" applyAlignment="1" applyProtection="1">
      <alignment horizontal="left"/>
    </xf>
    <xf numFmtId="0" fontId="117" fillId="19" borderId="0" xfId="61" applyFont="1" applyFill="1" applyBorder="1" applyAlignment="1" applyProtection="1">
      <alignment horizontal="center" vertical="center" wrapText="1"/>
    </xf>
    <xf numFmtId="0" fontId="0" fillId="0" borderId="0" xfId="61" applyFont="1" applyBorder="1" applyAlignment="1" applyProtection="1">
      <alignment horizontal="center" vertical="center"/>
    </xf>
    <xf numFmtId="0" fontId="3" fillId="19" borderId="0" xfId="61" quotePrefix="1" applyFont="1" applyFill="1" applyBorder="1" applyAlignment="1" applyProtection="1">
      <alignment horizontal="center"/>
    </xf>
    <xf numFmtId="0" fontId="2" fillId="0" borderId="0" xfId="61" applyFont="1" applyBorder="1" applyAlignment="1" applyProtection="1"/>
    <xf numFmtId="0" fontId="2" fillId="0" borderId="150" xfId="61" applyFont="1" applyBorder="1" applyAlignment="1" applyProtection="1"/>
    <xf numFmtId="0" fontId="8" fillId="19" borderId="146" xfId="61" quotePrefix="1" applyFont="1" applyFill="1" applyBorder="1" applyAlignment="1" applyProtection="1">
      <alignment horizontal="center" vertical="center"/>
    </xf>
    <xf numFmtId="0" fontId="0" fillId="0" borderId="147" xfId="0" applyBorder="1" applyAlignment="1" applyProtection="1">
      <alignment horizontal="center" vertical="center"/>
    </xf>
    <xf numFmtId="0" fontId="0" fillId="0" borderId="148" xfId="0" applyBorder="1" applyAlignment="1" applyProtection="1">
      <alignment horizontal="center" vertical="center"/>
    </xf>
    <xf numFmtId="0" fontId="13" fillId="19" borderId="0" xfId="61" applyFont="1" applyFill="1" applyBorder="1" applyAlignment="1" applyProtection="1">
      <alignment horizontal="center" vertical="center" wrapText="1"/>
    </xf>
    <xf numFmtId="0" fontId="14" fillId="0" borderId="0" xfId="0" applyFont="1" applyAlignment="1" applyProtection="1">
      <alignment horizontal="center" vertical="center"/>
    </xf>
    <xf numFmtId="0" fontId="34" fillId="19" borderId="146" xfId="61" applyFont="1" applyFill="1" applyBorder="1" applyAlignment="1" applyProtection="1">
      <alignment horizontal="center" vertical="center"/>
    </xf>
    <xf numFmtId="0" fontId="0" fillId="0" borderId="147" xfId="0" applyBorder="1" applyAlignment="1">
      <alignment horizontal="center"/>
    </xf>
    <xf numFmtId="0" fontId="0" fillId="0" borderId="148" xfId="0" applyBorder="1" applyAlignment="1">
      <alignment horizontal="center"/>
    </xf>
    <xf numFmtId="0" fontId="0" fillId="0" borderId="147" xfId="0" applyBorder="1" applyAlignment="1">
      <alignment horizontal="center" vertical="center"/>
    </xf>
    <xf numFmtId="0" fontId="80" fillId="19" borderId="156" xfId="61" applyFont="1" applyFill="1" applyBorder="1" applyAlignment="1" applyProtection="1">
      <alignment horizontal="left" vertical="center" wrapText="1"/>
    </xf>
    <xf numFmtId="0" fontId="2" fillId="0" borderId="149" xfId="0" applyFont="1" applyBorder="1" applyAlignment="1">
      <alignment wrapText="1"/>
    </xf>
    <xf numFmtId="3" fontId="83" fillId="17" borderId="0" xfId="0" applyNumberFormat="1" applyFont="1" applyFill="1" applyBorder="1" applyAlignment="1" applyProtection="1">
      <alignment horizontal="right" vertical="center" indent="1"/>
      <protection locked="0"/>
    </xf>
    <xf numFmtId="0" fontId="47" fillId="19" borderId="0" xfId="0" applyFont="1" applyFill="1" applyBorder="1" applyAlignment="1">
      <alignment horizontal="center" wrapText="1"/>
    </xf>
    <xf numFmtId="0" fontId="81" fillId="0" borderId="0" xfId="0" applyFont="1" applyBorder="1" applyAlignment="1">
      <alignment horizontal="center" vertical="center" wrapText="1"/>
    </xf>
    <xf numFmtId="0" fontId="49" fillId="17" borderId="0" xfId="0" applyFont="1" applyFill="1" applyBorder="1" applyAlignment="1">
      <alignment horizontal="left" vertical="top" wrapText="1" indent="1"/>
    </xf>
    <xf numFmtId="0" fontId="12" fillId="17" borderId="73" xfId="0" applyNumberFormat="1" applyFont="1" applyFill="1" applyBorder="1" applyAlignment="1" applyProtection="1">
      <alignment horizontal="left" indent="1"/>
      <protection locked="0"/>
    </xf>
    <xf numFmtId="0" fontId="12" fillId="17" borderId="75" xfId="0" applyNumberFormat="1" applyFont="1" applyFill="1" applyBorder="1" applyAlignment="1" applyProtection="1">
      <alignment horizontal="left" indent="1"/>
      <protection locked="0"/>
    </xf>
    <xf numFmtId="49" fontId="12" fillId="17" borderId="73" xfId="0" applyNumberFormat="1" applyFont="1" applyFill="1" applyBorder="1" applyAlignment="1" applyProtection="1">
      <alignment horizontal="left" indent="1"/>
      <protection locked="0"/>
    </xf>
    <xf numFmtId="49" fontId="12" fillId="17" borderId="75" xfId="0" applyNumberFormat="1" applyFont="1" applyFill="1" applyBorder="1" applyAlignment="1" applyProtection="1">
      <alignment horizontal="left" indent="1"/>
      <protection locked="0"/>
    </xf>
    <xf numFmtId="0" fontId="11" fillId="21" borderId="16" xfId="0" applyFont="1" applyFill="1" applyBorder="1" applyAlignment="1">
      <alignment horizontal="left" vertical="center" wrapText="1"/>
    </xf>
    <xf numFmtId="0" fontId="0" fillId="0" borderId="16" xfId="0" applyBorder="1" applyAlignment="1">
      <alignment horizontal="left" vertical="center" wrapText="1"/>
    </xf>
    <xf numFmtId="0" fontId="0" fillId="0" borderId="25" xfId="0" applyBorder="1" applyAlignment="1">
      <alignment horizontal="left" vertical="center" wrapText="1"/>
    </xf>
    <xf numFmtId="0" fontId="12" fillId="17" borderId="0" xfId="0" applyFont="1" applyFill="1" applyBorder="1" applyAlignment="1">
      <alignment vertical="top" wrapText="1"/>
    </xf>
    <xf numFmtId="0" fontId="0" fillId="17" borderId="0" xfId="0" applyFill="1" applyBorder="1" applyAlignment="1">
      <alignment vertical="top"/>
    </xf>
    <xf numFmtId="0" fontId="11" fillId="20" borderId="23" xfId="0" applyFont="1" applyFill="1" applyBorder="1" applyAlignment="1">
      <alignment horizontal="center" vertical="center" wrapText="1"/>
    </xf>
    <xf numFmtId="0" fontId="11" fillId="20" borderId="0" xfId="0" applyFont="1" applyFill="1" applyBorder="1" applyAlignment="1">
      <alignment horizontal="center" vertical="center" wrapText="1"/>
    </xf>
    <xf numFmtId="0" fontId="11" fillId="20" borderId="15" xfId="0" applyFont="1" applyFill="1" applyBorder="1" applyAlignment="1">
      <alignment horizontal="center" vertical="center" wrapText="1"/>
    </xf>
    <xf numFmtId="0" fontId="0" fillId="0" borderId="23" xfId="0" applyBorder="1" applyAlignment="1">
      <alignment horizontal="center" vertical="center" wrapText="1"/>
    </xf>
    <xf numFmtId="0" fontId="0" fillId="0" borderId="0" xfId="0" applyBorder="1" applyAlignment="1">
      <alignment horizontal="center" vertical="center" wrapText="1"/>
    </xf>
    <xf numFmtId="0" fontId="0" fillId="0" borderId="15" xfId="0" applyBorder="1" applyAlignment="1">
      <alignment horizontal="center" vertical="center" wrapText="1"/>
    </xf>
    <xf numFmtId="0" fontId="0" fillId="17" borderId="0" xfId="0" applyFill="1" applyBorder="1" applyAlignment="1">
      <alignment vertical="top" wrapText="1"/>
    </xf>
    <xf numFmtId="0" fontId="11" fillId="20" borderId="0" xfId="0" applyFont="1" applyFill="1" applyBorder="1" applyAlignment="1">
      <alignment horizontal="center" vertical="center"/>
    </xf>
    <xf numFmtId="0" fontId="8" fillId="20" borderId="0" xfId="0" applyFont="1" applyFill="1" applyBorder="1" applyAlignment="1">
      <alignment horizontal="center" vertical="center" wrapText="1"/>
    </xf>
    <xf numFmtId="0" fontId="12" fillId="20" borderId="0" xfId="0" applyFont="1" applyFill="1" applyBorder="1" applyAlignment="1">
      <alignment horizontal="center" vertical="center" wrapText="1"/>
    </xf>
    <xf numFmtId="0" fontId="11" fillId="20" borderId="23" xfId="0" applyFont="1" applyFill="1" applyBorder="1" applyAlignment="1">
      <alignment horizontal="center" vertical="center"/>
    </xf>
    <xf numFmtId="0" fontId="11" fillId="20" borderId="15" xfId="0" applyFont="1" applyFill="1" applyBorder="1" applyAlignment="1">
      <alignment horizontal="center" vertical="center"/>
    </xf>
    <xf numFmtId="0" fontId="47" fillId="17" borderId="0" xfId="0" applyFont="1" applyFill="1" applyBorder="1" applyAlignment="1">
      <alignment horizontal="left" wrapText="1"/>
    </xf>
    <xf numFmtId="4" fontId="12" fillId="17" borderId="73" xfId="0" applyNumberFormat="1" applyFont="1" applyFill="1" applyBorder="1" applyAlignment="1" applyProtection="1">
      <alignment horizontal="left" indent="1"/>
      <protection locked="0"/>
    </xf>
    <xf numFmtId="4" fontId="12" fillId="17" borderId="75" xfId="0" applyNumberFormat="1" applyFont="1" applyFill="1" applyBorder="1" applyAlignment="1" applyProtection="1">
      <alignment horizontal="left" indent="1"/>
      <protection locked="0"/>
    </xf>
    <xf numFmtId="3" fontId="81" fillId="17" borderId="0" xfId="0" applyNumberFormat="1" applyFont="1" applyFill="1" applyBorder="1" applyAlignment="1" applyProtection="1">
      <alignment horizontal="right" vertical="center"/>
      <protection locked="0"/>
    </xf>
    <xf numFmtId="0" fontId="92" fillId="0" borderId="0" xfId="0" applyFont="1" applyAlignment="1">
      <alignment vertical="center"/>
    </xf>
    <xf numFmtId="0" fontId="0" fillId="17" borderId="0" xfId="0" applyFill="1" applyBorder="1" applyAlignment="1">
      <alignment horizontal="left" vertical="top" indent="1"/>
    </xf>
    <xf numFmtId="0" fontId="12" fillId="17" borderId="0" xfId="0" applyFont="1" applyFill="1" applyBorder="1" applyAlignment="1">
      <alignment horizontal="left" vertical="top" wrapText="1" indent="1"/>
    </xf>
    <xf numFmtId="0" fontId="46" fillId="17" borderId="0" xfId="0" applyFont="1" applyFill="1" applyBorder="1" applyAlignment="1">
      <alignment horizontal="right" vertical="center" wrapText="1"/>
    </xf>
    <xf numFmtId="0" fontId="0" fillId="0" borderId="0" xfId="0" applyAlignment="1">
      <alignment horizontal="right" vertical="center" wrapText="1"/>
    </xf>
    <xf numFmtId="0" fontId="0" fillId="17" borderId="0" xfId="0" applyFill="1" applyAlignment="1">
      <alignment horizontal="left" vertical="top" wrapText="1" indent="1"/>
    </xf>
    <xf numFmtId="0" fontId="47" fillId="17" borderId="0" xfId="0" applyFont="1" applyFill="1" applyBorder="1" applyAlignment="1">
      <alignment wrapText="1"/>
    </xf>
    <xf numFmtId="0" fontId="47" fillId="17" borderId="0" xfId="0" applyFont="1" applyFill="1" applyAlignment="1">
      <alignment wrapText="1"/>
    </xf>
    <xf numFmtId="3" fontId="92" fillId="17" borderId="0" xfId="0" applyNumberFormat="1" applyFont="1" applyFill="1" applyBorder="1" applyAlignment="1">
      <alignment horizontal="center" vertical="top" wrapText="1"/>
    </xf>
    <xf numFmtId="0" fontId="92" fillId="0" borderId="0" xfId="0" applyFont="1" applyAlignment="1">
      <alignment wrapText="1"/>
    </xf>
    <xf numFmtId="0" fontId="92" fillId="0" borderId="15" xfId="0" applyFont="1" applyBorder="1" applyAlignment="1">
      <alignment wrapText="1"/>
    </xf>
    <xf numFmtId="0" fontId="92" fillId="0" borderId="25" xfId="0" applyFont="1" applyBorder="1" applyAlignment="1">
      <alignment wrapText="1"/>
    </xf>
    <xf numFmtId="0" fontId="92" fillId="0" borderId="27" xfId="0" applyFont="1" applyBorder="1" applyAlignment="1">
      <alignment wrapText="1"/>
    </xf>
    <xf numFmtId="0" fontId="71" fillId="17" borderId="25" xfId="0" applyFont="1" applyFill="1" applyBorder="1" applyAlignment="1">
      <alignment vertical="top" wrapText="1"/>
    </xf>
    <xf numFmtId="0" fontId="71" fillId="0" borderId="25" xfId="0" applyFont="1" applyBorder="1" applyAlignment="1">
      <alignment vertical="top" wrapText="1"/>
    </xf>
    <xf numFmtId="3" fontId="46" fillId="17" borderId="82" xfId="0" applyNumberFormat="1" applyFont="1" applyFill="1" applyBorder="1" applyAlignment="1">
      <alignment horizontal="center" wrapText="1"/>
    </xf>
    <xf numFmtId="0" fontId="0" fillId="0" borderId="25" xfId="0" applyBorder="1" applyAlignment="1">
      <alignment horizontal="center" wrapText="1"/>
    </xf>
    <xf numFmtId="3" fontId="92" fillId="17" borderId="0" xfId="0" applyNumberFormat="1" applyFont="1" applyFill="1" applyBorder="1" applyAlignment="1" applyProtection="1">
      <alignment horizontal="center" vertical="center"/>
      <protection locked="0"/>
    </xf>
    <xf numFmtId="0" fontId="0" fillId="17" borderId="0" xfId="0" applyFill="1" applyAlignment="1">
      <alignment vertical="top" wrapText="1"/>
    </xf>
    <xf numFmtId="0" fontId="49" fillId="17" borderId="0" xfId="0" applyFont="1" applyFill="1" applyBorder="1" applyAlignment="1">
      <alignment vertical="top" wrapText="1"/>
    </xf>
    <xf numFmtId="0" fontId="0" fillId="34" borderId="26" xfId="0" applyFill="1" applyBorder="1" applyAlignment="1">
      <alignment wrapText="1"/>
    </xf>
    <xf numFmtId="0" fontId="0" fillId="34" borderId="16" xfId="0" applyFill="1" applyBorder="1" applyAlignment="1">
      <alignment wrapText="1"/>
    </xf>
    <xf numFmtId="0" fontId="0" fillId="34" borderId="17" xfId="0" applyFill="1" applyBorder="1" applyAlignment="1">
      <alignment wrapText="1"/>
    </xf>
    <xf numFmtId="0" fontId="0" fillId="34" borderId="23" xfId="0" applyFill="1" applyBorder="1" applyAlignment="1">
      <alignment wrapText="1"/>
    </xf>
    <xf numFmtId="0" fontId="0" fillId="34" borderId="0" xfId="0" applyFill="1" applyBorder="1" applyAlignment="1">
      <alignment wrapText="1"/>
    </xf>
    <xf numFmtId="0" fontId="0" fillId="34" borderId="15" xfId="0" applyFill="1" applyBorder="1" applyAlignment="1">
      <alignment wrapText="1"/>
    </xf>
    <xf numFmtId="0" fontId="0" fillId="34" borderId="24" xfId="0" applyFill="1" applyBorder="1" applyAlignment="1">
      <alignment wrapText="1"/>
    </xf>
    <xf numFmtId="0" fontId="0" fillId="34" borderId="25" xfId="0" applyFill="1" applyBorder="1" applyAlignment="1">
      <alignment wrapText="1"/>
    </xf>
    <xf numFmtId="0" fontId="0" fillId="34" borderId="27" xfId="0" applyFill="1" applyBorder="1" applyAlignment="1">
      <alignment wrapText="1"/>
    </xf>
    <xf numFmtId="0" fontId="11" fillId="17" borderId="0" xfId="0" applyFont="1" applyFill="1" applyBorder="1" applyAlignment="1">
      <alignment wrapText="1"/>
    </xf>
    <xf numFmtId="4" fontId="81" fillId="17" borderId="0" xfId="0" applyNumberFormat="1" applyFont="1" applyFill="1" applyBorder="1" applyAlignment="1">
      <alignment horizontal="center" vertical="center"/>
    </xf>
    <xf numFmtId="0" fontId="6" fillId="33" borderId="58" xfId="46" applyFont="1" applyFill="1" applyBorder="1" applyAlignment="1" applyProtection="1">
      <alignment horizontal="center" vertical="center" wrapText="1"/>
      <protection locked="0"/>
    </xf>
    <xf numFmtId="0" fontId="6" fillId="33" borderId="59" xfId="46" applyFont="1" applyFill="1" applyBorder="1" applyAlignment="1" applyProtection="1">
      <alignment horizontal="center" vertical="center" wrapText="1"/>
      <protection locked="0"/>
    </xf>
    <xf numFmtId="0" fontId="6" fillId="33" borderId="60" xfId="46" applyFont="1" applyFill="1" applyBorder="1" applyAlignment="1" applyProtection="1">
      <alignment horizontal="center" vertical="center" wrapText="1"/>
      <protection locked="0"/>
    </xf>
    <xf numFmtId="0" fontId="6" fillId="25" borderId="73" xfId="0" applyFont="1" applyFill="1" applyBorder="1" applyAlignment="1">
      <alignment horizontal="right"/>
    </xf>
    <xf numFmtId="0" fontId="6" fillId="25" borderId="74" xfId="0" applyFont="1" applyFill="1" applyBorder="1" applyAlignment="1">
      <alignment horizontal="right"/>
    </xf>
    <xf numFmtId="0" fontId="6" fillId="25" borderId="75" xfId="0" applyFont="1" applyFill="1" applyBorder="1" applyAlignment="1">
      <alignment horizontal="right"/>
    </xf>
    <xf numFmtId="0" fontId="72" fillId="20" borderId="23" xfId="0" applyFont="1" applyFill="1" applyBorder="1" applyAlignment="1">
      <alignment horizontal="center"/>
    </xf>
    <xf numFmtId="0" fontId="72" fillId="20" borderId="0" xfId="0" applyFont="1" applyFill="1" applyBorder="1" applyAlignment="1">
      <alignment horizontal="center"/>
    </xf>
    <xf numFmtId="0" fontId="72" fillId="20" borderId="15" xfId="0" applyFont="1" applyFill="1" applyBorder="1" applyAlignment="1">
      <alignment horizontal="center"/>
    </xf>
    <xf numFmtId="0" fontId="73" fillId="20" borderId="24" xfId="0" applyFont="1" applyFill="1" applyBorder="1" applyAlignment="1">
      <alignment horizontal="right"/>
    </xf>
    <xf numFmtId="0" fontId="73" fillId="20" borderId="25" xfId="0" applyFont="1" applyFill="1" applyBorder="1" applyAlignment="1">
      <alignment horizontal="right"/>
    </xf>
    <xf numFmtId="0" fontId="73" fillId="20" borderId="27" xfId="0" applyFont="1" applyFill="1" applyBorder="1" applyAlignment="1">
      <alignment horizontal="right"/>
    </xf>
    <xf numFmtId="0" fontId="11" fillId="0" borderId="73" xfId="0" applyFont="1" applyBorder="1" applyAlignment="1">
      <alignment horizontal="center"/>
    </xf>
    <xf numFmtId="0" fontId="11" fillId="0" borderId="75" xfId="0" applyFont="1" applyBorder="1" applyAlignment="1">
      <alignment horizontal="center"/>
    </xf>
    <xf numFmtId="0" fontId="34" fillId="25" borderId="0" xfId="46" applyFont="1" applyFill="1" applyBorder="1" applyAlignment="1">
      <alignment horizontal="center"/>
    </xf>
    <xf numFmtId="3" fontId="8" fillId="25" borderId="0" xfId="46" applyNumberFormat="1" applyFont="1" applyFill="1" applyBorder="1" applyAlignment="1">
      <alignment horizontal="left" vertical="top" wrapText="1" indent="2"/>
    </xf>
    <xf numFmtId="0" fontId="72" fillId="20" borderId="23" xfId="46" applyFont="1" applyFill="1" applyBorder="1" applyAlignment="1">
      <alignment horizontal="center"/>
    </xf>
    <xf numFmtId="0" fontId="72" fillId="20" borderId="0" xfId="46" applyFont="1" applyFill="1" applyBorder="1" applyAlignment="1">
      <alignment horizontal="center"/>
    </xf>
    <xf numFmtId="0" fontId="72" fillId="20" borderId="15" xfId="46" applyFont="1" applyFill="1" applyBorder="1" applyAlignment="1">
      <alignment horizontal="center"/>
    </xf>
    <xf numFmtId="0" fontId="34" fillId="20" borderId="23" xfId="46" applyFont="1" applyFill="1" applyBorder="1" applyAlignment="1">
      <alignment horizontal="center"/>
    </xf>
    <xf numFmtId="0" fontId="34" fillId="20" borderId="0" xfId="46" applyFont="1" applyFill="1" applyBorder="1" applyAlignment="1">
      <alignment horizontal="center"/>
    </xf>
    <xf numFmtId="0" fontId="34" fillId="20" borderId="15" xfId="46" applyFont="1" applyFill="1" applyBorder="1" applyAlignment="1">
      <alignment horizontal="center"/>
    </xf>
    <xf numFmtId="0" fontId="73" fillId="20" borderId="24" xfId="46" applyFont="1" applyFill="1" applyBorder="1" applyAlignment="1">
      <alignment horizontal="right"/>
    </xf>
    <xf numFmtId="0" fontId="73" fillId="20" borderId="25" xfId="46" applyFont="1" applyFill="1" applyBorder="1" applyAlignment="1">
      <alignment horizontal="right"/>
    </xf>
    <xf numFmtId="0" fontId="73" fillId="20" borderId="27" xfId="46" applyFont="1" applyFill="1" applyBorder="1" applyAlignment="1">
      <alignment horizontal="right"/>
    </xf>
    <xf numFmtId="0" fontId="8" fillId="0" borderId="73" xfId="46" applyFont="1" applyBorder="1" applyAlignment="1">
      <alignment horizontal="center"/>
    </xf>
    <xf numFmtId="0" fontId="8" fillId="0" borderId="75" xfId="46" applyFont="1" applyBorder="1" applyAlignment="1">
      <alignment horizontal="center"/>
    </xf>
    <xf numFmtId="0" fontId="3" fillId="20" borderId="26" xfId="0" applyFont="1" applyFill="1" applyBorder="1" applyAlignment="1">
      <alignment vertical="top"/>
    </xf>
    <xf numFmtId="0" fontId="3" fillId="20" borderId="16" xfId="0" applyFont="1" applyFill="1" applyBorder="1" applyAlignment="1">
      <alignment vertical="top"/>
    </xf>
    <xf numFmtId="3" fontId="98" fillId="6" borderId="125" xfId="36" applyNumberFormat="1" applyFont="1" applyBorder="1" applyAlignment="1">
      <alignment horizontal="center" vertical="center" wrapText="1"/>
    </xf>
    <xf numFmtId="3" fontId="98" fillId="6" borderId="74" xfId="36" applyNumberFormat="1" applyFont="1" applyBorder="1" applyAlignment="1">
      <alignment horizontal="center" vertical="center" wrapText="1"/>
    </xf>
    <xf numFmtId="3" fontId="98" fillId="6" borderId="116" xfId="36" applyNumberFormat="1" applyFont="1" applyBorder="1" applyAlignment="1">
      <alignment horizontal="center" vertical="center" wrapText="1"/>
    </xf>
    <xf numFmtId="0" fontId="98" fillId="26" borderId="74" xfId="45" applyFont="1" applyFill="1" applyBorder="1" applyAlignment="1">
      <alignment horizontal="center" vertical="center" wrapText="1"/>
    </xf>
    <xf numFmtId="0" fontId="13" fillId="35" borderId="25" xfId="0" applyFont="1" applyFill="1" applyBorder="1" applyAlignment="1" applyProtection="1">
      <alignment horizontal="center"/>
    </xf>
    <xf numFmtId="0" fontId="3" fillId="0" borderId="24" xfId="0" applyFont="1" applyBorder="1" applyAlignment="1" applyProtection="1">
      <alignment horizontal="center" vertical="center"/>
    </xf>
    <xf numFmtId="0" fontId="0" fillId="0" borderId="25" xfId="0" applyBorder="1" applyAlignment="1" applyProtection="1">
      <alignment horizontal="center" vertical="center"/>
    </xf>
    <xf numFmtId="0" fontId="13" fillId="27" borderId="25" xfId="0" applyFont="1" applyFill="1" applyBorder="1" applyAlignment="1" applyProtection="1">
      <alignment horizontal="center"/>
    </xf>
    <xf numFmtId="0" fontId="0" fillId="0" borderId="25" xfId="0" applyBorder="1" applyAlignment="1" applyProtection="1">
      <alignment horizontal="center"/>
    </xf>
    <xf numFmtId="0" fontId="13" fillId="35" borderId="25" xfId="0" applyFont="1" applyFill="1" applyBorder="1" applyAlignment="1">
      <alignment horizontal="center"/>
    </xf>
    <xf numFmtId="0" fontId="13" fillId="27" borderId="25" xfId="0" applyFont="1" applyFill="1" applyBorder="1" applyAlignment="1">
      <alignment horizontal="center"/>
    </xf>
    <xf numFmtId="3" fontId="8" fillId="43" borderId="77" xfId="0" applyNumberFormat="1" applyFont="1" applyFill="1" applyBorder="1" applyAlignment="1">
      <alignment horizontal="right" vertical="center" indent="1"/>
    </xf>
    <xf numFmtId="3" fontId="8" fillId="43" borderId="78" xfId="0" applyNumberFormat="1" applyFont="1" applyFill="1" applyBorder="1" applyAlignment="1">
      <alignment horizontal="right" vertical="center" indent="1"/>
    </xf>
    <xf numFmtId="0" fontId="6" fillId="43" borderId="23" xfId="0" applyFont="1" applyFill="1" applyBorder="1" applyAlignment="1">
      <alignment horizontal="center"/>
    </xf>
    <xf numFmtId="0" fontId="6" fillId="43" borderId="0" xfId="0" applyFont="1" applyFill="1" applyBorder="1" applyAlignment="1">
      <alignment horizontal="center"/>
    </xf>
    <xf numFmtId="0" fontId="6" fillId="43" borderId="15" xfId="0" applyFont="1" applyFill="1" applyBorder="1" applyAlignment="1">
      <alignment horizontal="center"/>
    </xf>
    <xf numFmtId="0" fontId="6" fillId="43" borderId="24" xfId="0" applyFont="1" applyFill="1" applyBorder="1" applyAlignment="1">
      <alignment horizontal="center"/>
    </xf>
    <xf numFmtId="0" fontId="6" fillId="43" borderId="25" xfId="0" applyFont="1" applyFill="1" applyBorder="1" applyAlignment="1">
      <alignment horizontal="center"/>
    </xf>
    <xf numFmtId="0" fontId="6" fillId="43" borderId="27" xfId="0" applyFont="1" applyFill="1" applyBorder="1" applyAlignment="1">
      <alignment horizontal="center"/>
    </xf>
    <xf numFmtId="0" fontId="6" fillId="43" borderId="0" xfId="0" applyFont="1" applyFill="1" applyBorder="1" applyAlignment="1" applyProtection="1">
      <alignment horizontal="center" vertical="top"/>
      <protection locked="0"/>
    </xf>
    <xf numFmtId="0" fontId="14" fillId="43" borderId="73" xfId="0" applyNumberFormat="1" applyFont="1" applyFill="1" applyBorder="1" applyAlignment="1" applyProtection="1">
      <alignment horizontal="left" vertical="top"/>
      <protection locked="0"/>
    </xf>
    <xf numFmtId="0" fontId="14" fillId="43" borderId="74" xfId="0" applyNumberFormat="1" applyFont="1" applyFill="1" applyBorder="1" applyAlignment="1" applyProtection="1">
      <alignment horizontal="left" vertical="top"/>
      <protection locked="0"/>
    </xf>
    <xf numFmtId="0" fontId="14" fillId="43" borderId="75" xfId="0" applyNumberFormat="1" applyFont="1" applyFill="1" applyBorder="1" applyAlignment="1" applyProtection="1">
      <alignment horizontal="left" vertical="top"/>
      <protection locked="0"/>
    </xf>
    <xf numFmtId="3" fontId="11" fillId="43" borderId="58" xfId="0" applyNumberFormat="1" applyFont="1" applyFill="1" applyBorder="1" applyAlignment="1" applyProtection="1">
      <alignment horizontal="right" vertical="center" indent="1"/>
      <protection locked="0"/>
    </xf>
    <xf numFmtId="3" fontId="11" fillId="43" borderId="60" xfId="0" applyNumberFormat="1" applyFont="1" applyFill="1" applyBorder="1" applyAlignment="1" applyProtection="1">
      <alignment horizontal="right" vertical="center" indent="1"/>
      <protection locked="0"/>
    </xf>
    <xf numFmtId="3" fontId="11" fillId="43" borderId="126" xfId="0" applyNumberFormat="1" applyFont="1" applyFill="1" applyBorder="1" applyAlignment="1" applyProtection="1">
      <alignment horizontal="right" vertical="center" indent="1"/>
    </xf>
    <xf numFmtId="3" fontId="11" fillId="43" borderId="127" xfId="0" applyNumberFormat="1" applyFont="1" applyFill="1" applyBorder="1" applyAlignment="1" applyProtection="1">
      <alignment horizontal="right" vertical="center" indent="1"/>
    </xf>
    <xf numFmtId="3" fontId="58" fillId="43" borderId="0" xfId="0" applyNumberFormat="1" applyFont="1" applyFill="1" applyBorder="1" applyAlignment="1">
      <alignment horizontal="left" vertical="center"/>
    </xf>
    <xf numFmtId="167" fontId="57" fillId="43" borderId="0" xfId="0" applyNumberFormat="1" applyFont="1" applyFill="1" applyBorder="1" applyAlignment="1">
      <alignment horizontal="right" vertical="center"/>
    </xf>
    <xf numFmtId="3" fontId="9" fillId="43" borderId="0" xfId="0" applyNumberFormat="1" applyFont="1" applyFill="1" applyBorder="1" applyAlignment="1">
      <alignment horizontal="right" vertical="center"/>
    </xf>
    <xf numFmtId="3" fontId="8" fillId="43" borderId="79" xfId="0" applyNumberFormat="1" applyFont="1" applyFill="1" applyBorder="1" applyAlignment="1">
      <alignment horizontal="right" vertical="center" indent="1"/>
    </xf>
    <xf numFmtId="3" fontId="8" fillId="43" borderId="80" xfId="0" applyNumberFormat="1" applyFont="1" applyFill="1" applyBorder="1" applyAlignment="1">
      <alignment horizontal="right" vertical="center" indent="1"/>
    </xf>
    <xf numFmtId="0" fontId="6" fillId="43" borderId="0" xfId="0" applyFont="1" applyFill="1" applyBorder="1" applyAlignment="1">
      <alignment horizontal="left" vertical="top" wrapText="1"/>
    </xf>
    <xf numFmtId="3" fontId="8" fillId="43" borderId="126" xfId="0" applyNumberFormat="1" applyFont="1" applyFill="1" applyBorder="1" applyAlignment="1">
      <alignment horizontal="right" vertical="center" indent="1"/>
    </xf>
    <xf numFmtId="3" fontId="8" fillId="43" borderId="127" xfId="0" applyNumberFormat="1" applyFont="1" applyFill="1" applyBorder="1" applyAlignment="1">
      <alignment horizontal="right" vertical="center" indent="1"/>
    </xf>
    <xf numFmtId="168" fontId="9" fillId="43" borderId="0" xfId="0" applyNumberFormat="1" applyFont="1" applyFill="1" applyBorder="1" applyAlignment="1">
      <alignment horizontal="center" vertical="center"/>
    </xf>
    <xf numFmtId="0" fontId="6" fillId="43" borderId="0" xfId="0" applyFont="1" applyFill="1" applyBorder="1" applyAlignment="1">
      <alignment vertical="top" wrapText="1"/>
    </xf>
    <xf numFmtId="0" fontId="90" fillId="43" borderId="76" xfId="0" applyFont="1" applyFill="1" applyBorder="1" applyAlignment="1">
      <alignment horizontal="left"/>
    </xf>
    <xf numFmtId="0" fontId="90" fillId="43" borderId="34" xfId="0" applyFont="1" applyFill="1" applyBorder="1" applyAlignment="1">
      <alignment horizontal="left"/>
    </xf>
    <xf numFmtId="0" fontId="6" fillId="43" borderId="16" xfId="0" applyFont="1" applyFill="1" applyBorder="1" applyAlignment="1" applyProtection="1">
      <alignment horizontal="center"/>
      <protection locked="0"/>
    </xf>
    <xf numFmtId="0" fontId="7" fillId="43" borderId="23" xfId="0" applyFont="1" applyFill="1" applyBorder="1" applyAlignment="1">
      <alignment horizontal="center"/>
    </xf>
    <xf numFmtId="0" fontId="7" fillId="43" borderId="0" xfId="0" applyFont="1" applyFill="1" applyBorder="1" applyAlignment="1">
      <alignment horizontal="center"/>
    </xf>
    <xf numFmtId="0" fontId="7" fillId="43" borderId="15" xfId="0" applyFont="1" applyFill="1" applyBorder="1" applyAlignment="1">
      <alignment horizontal="center"/>
    </xf>
    <xf numFmtId="0" fontId="76" fillId="43" borderId="23" xfId="0" applyFont="1" applyFill="1" applyBorder="1" applyAlignment="1">
      <alignment horizontal="center"/>
    </xf>
    <xf numFmtId="0" fontId="76" fillId="43" borderId="0" xfId="0" applyFont="1" applyFill="1" applyBorder="1" applyAlignment="1">
      <alignment horizontal="center"/>
    </xf>
    <xf numFmtId="0" fontId="76" fillId="43" borderId="15" xfId="0" applyFont="1" applyFill="1" applyBorder="1" applyAlignment="1">
      <alignment horizontal="center"/>
    </xf>
    <xf numFmtId="0" fontId="8" fillId="43" borderId="0" xfId="0" applyFont="1" applyFill="1" applyBorder="1" applyAlignment="1">
      <alignment vertical="top"/>
    </xf>
    <xf numFmtId="0" fontId="6" fillId="43" borderId="61" xfId="0" applyFont="1" applyFill="1" applyBorder="1" applyAlignment="1">
      <alignment horizontal="center" wrapText="1"/>
    </xf>
    <xf numFmtId="0" fontId="6" fillId="43" borderId="63" xfId="0" applyFont="1" applyFill="1" applyBorder="1" applyAlignment="1">
      <alignment horizontal="center" wrapText="1"/>
    </xf>
    <xf numFmtId="0" fontId="8" fillId="43" borderId="0" xfId="0" applyFont="1" applyFill="1" applyBorder="1" applyAlignment="1">
      <alignment horizontal="left"/>
    </xf>
    <xf numFmtId="0" fontId="8" fillId="43" borderId="145" xfId="0" applyFont="1" applyFill="1" applyBorder="1" applyAlignment="1">
      <alignment horizontal="center"/>
    </xf>
    <xf numFmtId="0" fontId="8" fillId="43" borderId="0" xfId="0" applyFont="1" applyFill="1" applyBorder="1" applyAlignment="1">
      <alignment horizontal="center"/>
    </xf>
    <xf numFmtId="3" fontId="6" fillId="43" borderId="0" xfId="0" applyNumberFormat="1" applyFont="1" applyFill="1" applyBorder="1" applyAlignment="1">
      <alignment horizontal="center" vertical="center"/>
    </xf>
    <xf numFmtId="3" fontId="47" fillId="43" borderId="0" xfId="0" applyNumberFormat="1" applyFont="1" applyFill="1" applyBorder="1" applyAlignment="1">
      <alignment horizontal="left"/>
    </xf>
    <xf numFmtId="3" fontId="8" fillId="43" borderId="81" xfId="0" applyNumberFormat="1" applyFont="1" applyFill="1" applyBorder="1" applyAlignment="1">
      <alignment horizontal="center" vertical="center"/>
    </xf>
    <xf numFmtId="3" fontId="8" fillId="43" borderId="0" xfId="0" applyNumberFormat="1" applyFont="1" applyFill="1" applyBorder="1" applyAlignment="1">
      <alignment horizontal="center" vertical="top" wrapText="1"/>
    </xf>
    <xf numFmtId="0" fontId="6" fillId="43" borderId="0" xfId="0" applyFont="1" applyFill="1" applyBorder="1" applyAlignment="1">
      <alignment wrapText="1"/>
    </xf>
    <xf numFmtId="3" fontId="8" fillId="43" borderId="77" xfId="0" applyNumberFormat="1" applyFont="1" applyFill="1" applyBorder="1" applyAlignment="1">
      <alignment vertical="center"/>
    </xf>
    <xf numFmtId="3" fontId="8" fillId="43" borderId="78" xfId="0" applyNumberFormat="1" applyFont="1" applyFill="1" applyBorder="1" applyAlignment="1">
      <alignment vertical="center"/>
    </xf>
    <xf numFmtId="9" fontId="8" fillId="43" borderId="77" xfId="49" applyFont="1" applyFill="1" applyBorder="1" applyAlignment="1" applyProtection="1">
      <alignment horizontal="right" vertical="center" indent="1"/>
      <protection locked="0"/>
    </xf>
    <xf numFmtId="9" fontId="8" fillId="43" borderId="78" xfId="49" applyFont="1" applyFill="1" applyBorder="1" applyAlignment="1" applyProtection="1">
      <alignment horizontal="right" vertical="center" indent="1"/>
      <protection locked="0"/>
    </xf>
    <xf numFmtId="9" fontId="8" fillId="43" borderId="77" xfId="49" applyFont="1" applyFill="1" applyBorder="1" applyAlignment="1">
      <alignment horizontal="right" vertical="center" indent="1"/>
    </xf>
    <xf numFmtId="9" fontId="8" fillId="43" borderId="78" xfId="49" applyFont="1" applyFill="1" applyBorder="1" applyAlignment="1">
      <alignment horizontal="right" vertical="center" indent="1"/>
    </xf>
    <xf numFmtId="3" fontId="8" fillId="43" borderId="126" xfId="0" applyNumberFormat="1" applyFont="1" applyFill="1" applyBorder="1" applyAlignment="1">
      <alignment vertical="center"/>
    </xf>
    <xf numFmtId="3" fontId="8" fillId="43" borderId="127" xfId="0" applyNumberFormat="1" applyFont="1" applyFill="1" applyBorder="1" applyAlignment="1">
      <alignment vertical="center"/>
    </xf>
    <xf numFmtId="3" fontId="8" fillId="43" borderId="0" xfId="0" applyNumberFormat="1" applyFont="1" applyFill="1" applyBorder="1" applyAlignment="1">
      <alignment vertical="center"/>
    </xf>
    <xf numFmtId="3" fontId="8" fillId="43" borderId="79" xfId="0" applyNumberFormat="1" applyFont="1" applyFill="1" applyBorder="1" applyAlignment="1">
      <alignment vertical="center"/>
    </xf>
    <xf numFmtId="3" fontId="8" fillId="43" borderId="80" xfId="0" applyNumberFormat="1" applyFont="1" applyFill="1" applyBorder="1" applyAlignment="1">
      <alignment vertical="center"/>
    </xf>
    <xf numFmtId="3" fontId="8" fillId="43" borderId="81" xfId="0" applyNumberFormat="1" applyFont="1" applyFill="1" applyBorder="1" applyAlignment="1">
      <alignment vertical="center"/>
    </xf>
    <xf numFmtId="3" fontId="58" fillId="43" borderId="0" xfId="0" applyNumberFormat="1" applyFont="1" applyFill="1" applyBorder="1" applyAlignment="1">
      <alignment horizontal="left"/>
    </xf>
    <xf numFmtId="1" fontId="70" fillId="43" borderId="76" xfId="0" applyNumberFormat="1" applyFont="1" applyFill="1" applyBorder="1" applyAlignment="1">
      <alignment horizontal="center"/>
    </xf>
    <xf numFmtId="1" fontId="70" fillId="43" borderId="34" xfId="0" applyNumberFormat="1" applyFont="1" applyFill="1" applyBorder="1" applyAlignment="1">
      <alignment horizontal="center"/>
    </xf>
    <xf numFmtId="0" fontId="53" fillId="43" borderId="133" xfId="0" applyFont="1" applyFill="1" applyBorder="1" applyAlignment="1">
      <alignment horizontal="center"/>
    </xf>
    <xf numFmtId="0" fontId="49" fillId="43" borderId="0" xfId="0" applyFont="1" applyFill="1" applyBorder="1" applyAlignment="1">
      <alignment horizontal="left" wrapText="1"/>
    </xf>
    <xf numFmtId="3" fontId="8" fillId="43" borderId="0" xfId="0" applyNumberFormat="1" applyFont="1" applyFill="1" applyBorder="1" applyAlignment="1">
      <alignment horizontal="center" vertical="center" wrapText="1"/>
    </xf>
    <xf numFmtId="3" fontId="8" fillId="43" borderId="126" xfId="0" applyNumberFormat="1" applyFont="1" applyFill="1" applyBorder="1" applyAlignment="1">
      <alignment horizontal="right"/>
    </xf>
    <xf numFmtId="3" fontId="8" fillId="43" borderId="127" xfId="0" applyNumberFormat="1" applyFont="1" applyFill="1" applyBorder="1" applyAlignment="1">
      <alignment horizontal="right"/>
    </xf>
    <xf numFmtId="0" fontId="0" fillId="43" borderId="127" xfId="0" applyFill="1" applyBorder="1" applyAlignment="1">
      <alignment horizontal="right" vertical="center" indent="1"/>
    </xf>
    <xf numFmtId="1" fontId="63" fillId="43" borderId="76" xfId="0" applyNumberFormat="1" applyFont="1" applyFill="1" applyBorder="1" applyAlignment="1">
      <alignment horizontal="left"/>
    </xf>
    <xf numFmtId="1" fontId="63" fillId="43" borderId="34" xfId="0" applyNumberFormat="1" applyFont="1" applyFill="1" applyBorder="1" applyAlignment="1">
      <alignment horizontal="left"/>
    </xf>
    <xf numFmtId="0" fontId="95" fillId="43" borderId="0" xfId="0" applyFont="1" applyFill="1" applyBorder="1" applyAlignment="1">
      <alignment horizontal="center" vertical="center"/>
    </xf>
    <xf numFmtId="0" fontId="12" fillId="43" borderId="0" xfId="0" applyFont="1" applyFill="1" applyBorder="1" applyAlignment="1">
      <alignment horizontal="left" wrapText="1"/>
    </xf>
    <xf numFmtId="0" fontId="8" fillId="43" borderId="44" xfId="0" applyFont="1" applyFill="1" applyBorder="1" applyAlignment="1">
      <alignment horizontal="left" vertical="center" wrapText="1"/>
    </xf>
    <xf numFmtId="0" fontId="8" fillId="43" borderId="36" xfId="0" applyFont="1" applyFill="1" applyBorder="1" applyAlignment="1">
      <alignment horizontal="left" vertical="center" wrapText="1"/>
    </xf>
    <xf numFmtId="0" fontId="8" fillId="43" borderId="40" xfId="0" applyFont="1" applyFill="1" applyBorder="1" applyAlignment="1">
      <alignment horizontal="left" vertical="center" wrapText="1"/>
    </xf>
    <xf numFmtId="0" fontId="8" fillId="43" borderId="76" xfId="0" applyFont="1" applyFill="1" applyBorder="1" applyAlignment="1">
      <alignment horizontal="left" vertical="center" wrapText="1"/>
    </xf>
    <xf numFmtId="0" fontId="8" fillId="43" borderId="34" xfId="0" applyFont="1" applyFill="1" applyBorder="1" applyAlignment="1">
      <alignment horizontal="left" vertical="center" wrapText="1"/>
    </xf>
    <xf numFmtId="0" fontId="8" fillId="43" borderId="42" xfId="0" applyFont="1" applyFill="1" applyBorder="1" applyAlignment="1">
      <alignment horizontal="left" vertical="center" wrapText="1"/>
    </xf>
    <xf numFmtId="0" fontId="82" fillId="43" borderId="58" xfId="0" applyFont="1" applyFill="1" applyBorder="1" applyAlignment="1">
      <alignment horizontal="center"/>
    </xf>
    <xf numFmtId="0" fontId="82" fillId="43" borderId="59" xfId="0" applyFont="1" applyFill="1" applyBorder="1" applyAlignment="1">
      <alignment horizontal="center"/>
    </xf>
    <xf numFmtId="0" fontId="82" fillId="43" borderId="60" xfId="0" applyFont="1" applyFill="1" applyBorder="1" applyAlignment="1">
      <alignment horizontal="center"/>
    </xf>
    <xf numFmtId="0" fontId="2" fillId="43" borderId="0" xfId="0" applyFont="1" applyFill="1" applyAlignment="1">
      <alignment vertical="top" wrapText="1"/>
    </xf>
    <xf numFmtId="0" fontId="2" fillId="43" borderId="0" xfId="0" applyFont="1" applyFill="1" applyBorder="1" applyAlignment="1">
      <alignment vertical="top" wrapText="1"/>
    </xf>
    <xf numFmtId="3" fontId="11" fillId="43" borderId="77" xfId="0" applyNumberFormat="1" applyFont="1" applyFill="1" applyBorder="1" applyAlignment="1">
      <alignment horizontal="right" vertical="center" indent="1"/>
    </xf>
    <xf numFmtId="3" fontId="12" fillId="43" borderId="78" xfId="0" applyNumberFormat="1" applyFont="1" applyFill="1" applyBorder="1" applyAlignment="1">
      <alignment horizontal="right" vertical="center" indent="1"/>
    </xf>
    <xf numFmtId="3" fontId="11" fillId="43" borderId="0" xfId="0" applyNumberFormat="1" applyFont="1" applyFill="1" applyBorder="1" applyAlignment="1">
      <alignment horizontal="center"/>
    </xf>
    <xf numFmtId="0" fontId="11" fillId="43" borderId="0" xfId="0" applyFont="1" applyFill="1" applyBorder="1" applyAlignment="1">
      <alignment horizontal="center"/>
    </xf>
    <xf numFmtId="0" fontId="47" fillId="43" borderId="0" xfId="0" applyFont="1" applyFill="1" applyBorder="1" applyAlignment="1">
      <alignment horizontal="center"/>
    </xf>
    <xf numFmtId="0" fontId="8" fillId="43" borderId="0" xfId="0" applyFont="1" applyFill="1" applyBorder="1" applyAlignment="1">
      <alignment vertical="top" wrapText="1"/>
    </xf>
    <xf numFmtId="0" fontId="3" fillId="43" borderId="0" xfId="0" applyFont="1" applyFill="1" applyBorder="1" applyAlignment="1">
      <alignment vertical="top" wrapText="1"/>
    </xf>
    <xf numFmtId="0" fontId="3" fillId="43" borderId="0" xfId="0" applyFont="1" applyFill="1" applyAlignment="1">
      <alignment vertical="top" wrapText="1"/>
    </xf>
    <xf numFmtId="3" fontId="11" fillId="43" borderId="0" xfId="0" applyNumberFormat="1" applyFont="1" applyFill="1" applyBorder="1" applyAlignment="1">
      <alignment horizontal="right" vertical="center" indent="1"/>
    </xf>
    <xf numFmtId="0" fontId="2" fillId="43" borderId="0" xfId="0" applyFont="1" applyFill="1" applyBorder="1" applyAlignment="1">
      <alignment wrapText="1"/>
    </xf>
    <xf numFmtId="0" fontId="2" fillId="43" borderId="0" xfId="0" applyFont="1" applyFill="1" applyAlignment="1">
      <alignment wrapText="1"/>
    </xf>
    <xf numFmtId="0" fontId="6" fillId="43" borderId="0" xfId="0" applyFont="1" applyFill="1" applyBorder="1" applyAlignment="1">
      <alignment horizontal="left" wrapText="1"/>
    </xf>
    <xf numFmtId="3" fontId="8" fillId="43" borderId="58" xfId="0" applyNumberFormat="1" applyFont="1" applyFill="1" applyBorder="1" applyAlignment="1" applyProtection="1">
      <alignment horizontal="right" vertical="center" indent="1"/>
      <protection locked="0"/>
    </xf>
    <xf numFmtId="3" fontId="8" fillId="43" borderId="60" xfId="0" applyNumberFormat="1" applyFont="1" applyFill="1" applyBorder="1" applyAlignment="1" applyProtection="1">
      <alignment horizontal="right" vertical="center" indent="1"/>
      <protection locked="0"/>
    </xf>
    <xf numFmtId="0" fontId="0" fillId="0" borderId="0" xfId="0" applyAlignment="1">
      <alignment horizontal="left" wrapText="1"/>
    </xf>
    <xf numFmtId="0" fontId="8" fillId="43" borderId="0" xfId="0" applyFont="1" applyFill="1" applyBorder="1" applyAlignment="1">
      <alignment wrapText="1"/>
    </xf>
    <xf numFmtId="0" fontId="8" fillId="43" borderId="16" xfId="0" applyFont="1" applyFill="1" applyBorder="1" applyAlignment="1">
      <alignment horizontal="left" wrapText="1"/>
    </xf>
    <xf numFmtId="0" fontId="8" fillId="43" borderId="0" xfId="0" applyFont="1" applyFill="1" applyBorder="1" applyAlignment="1">
      <alignment horizontal="left" wrapText="1"/>
    </xf>
    <xf numFmtId="3" fontId="11" fillId="43" borderId="78" xfId="0" applyNumberFormat="1" applyFont="1" applyFill="1" applyBorder="1" applyAlignment="1">
      <alignment horizontal="right" vertical="center" indent="1"/>
    </xf>
    <xf numFmtId="0" fontId="12" fillId="43" borderId="0" xfId="0" applyFont="1" applyFill="1" applyBorder="1" applyAlignment="1">
      <alignment horizontal="left" vertical="top" wrapText="1"/>
    </xf>
    <xf numFmtId="3" fontId="11" fillId="43" borderId="77" xfId="0" applyNumberFormat="1" applyFont="1" applyFill="1" applyBorder="1" applyAlignment="1" applyProtection="1">
      <alignment horizontal="right" vertical="center" indent="1"/>
    </xf>
    <xf numFmtId="3" fontId="12" fillId="43" borderId="78" xfId="0" applyNumberFormat="1" applyFont="1" applyFill="1" applyBorder="1" applyAlignment="1" applyProtection="1">
      <alignment horizontal="right" vertical="center" indent="1"/>
    </xf>
    <xf numFmtId="0" fontId="6" fillId="43" borderId="0" xfId="0" applyFont="1" applyFill="1" applyBorder="1" applyAlignment="1" applyProtection="1">
      <alignment vertical="top" wrapText="1"/>
    </xf>
    <xf numFmtId="0" fontId="12" fillId="43" borderId="0" xfId="0" applyFont="1" applyFill="1" applyBorder="1" applyAlignment="1" applyProtection="1">
      <alignment vertical="top" wrapText="1"/>
    </xf>
    <xf numFmtId="0" fontId="0" fillId="43" borderId="0" xfId="0" applyFill="1" applyBorder="1" applyAlignment="1" applyProtection="1">
      <alignment vertical="top" wrapText="1"/>
    </xf>
    <xf numFmtId="0" fontId="6" fillId="43" borderId="0" xfId="0" applyFont="1" applyFill="1" applyBorder="1" applyAlignment="1" applyProtection="1">
      <alignment horizontal="left" vertical="top" wrapText="1"/>
    </xf>
    <xf numFmtId="0" fontId="12" fillId="43" borderId="0" xfId="0" applyFont="1" applyFill="1" applyBorder="1" applyAlignment="1" applyProtection="1">
      <alignment horizontal="left" vertical="top" wrapText="1"/>
    </xf>
    <xf numFmtId="14" fontId="11" fillId="43" borderId="58" xfId="0" applyNumberFormat="1" applyFont="1" applyFill="1" applyBorder="1" applyAlignment="1" applyProtection="1">
      <alignment horizontal="right" vertical="center" indent="1"/>
      <protection locked="0"/>
    </xf>
    <xf numFmtId="14" fontId="11" fillId="43" borderId="60" xfId="0" applyNumberFormat="1" applyFont="1" applyFill="1" applyBorder="1" applyAlignment="1" applyProtection="1">
      <alignment horizontal="right" vertical="center" indent="1"/>
      <protection locked="0"/>
    </xf>
    <xf numFmtId="0" fontId="87" fillId="43" borderId="0" xfId="0" applyFont="1" applyFill="1" applyBorder="1" applyAlignment="1">
      <alignment horizontal="center" vertical="center"/>
    </xf>
    <xf numFmtId="0" fontId="87" fillId="43" borderId="0" xfId="0" applyFont="1" applyFill="1" applyBorder="1" applyAlignment="1">
      <alignment horizontal="center" vertical="center" wrapText="1"/>
    </xf>
    <xf numFmtId="0" fontId="11" fillId="43" borderId="25" xfId="0" applyFont="1" applyFill="1" applyBorder="1" applyAlignment="1">
      <alignment horizontal="center"/>
    </xf>
    <xf numFmtId="0" fontId="11" fillId="43" borderId="81" xfId="0" applyFont="1" applyFill="1" applyBorder="1" applyAlignment="1">
      <alignment horizontal="center"/>
    </xf>
    <xf numFmtId="0" fontId="76" fillId="43" borderId="0" xfId="0" applyFont="1" applyFill="1" applyBorder="1" applyAlignment="1">
      <alignment horizontal="left" vertical="center" wrapText="1"/>
    </xf>
    <xf numFmtId="0" fontId="12" fillId="43" borderId="0" xfId="0" applyFont="1" applyFill="1" applyBorder="1" applyAlignment="1">
      <alignment horizontal="center"/>
    </xf>
    <xf numFmtId="0" fontId="11" fillId="43" borderId="0" xfId="0" applyFont="1" applyFill="1" applyBorder="1" applyAlignment="1">
      <alignment horizontal="center" wrapText="1"/>
    </xf>
    <xf numFmtId="0" fontId="0" fillId="43" borderId="0" xfId="0" applyFill="1" applyBorder="1" applyAlignment="1">
      <alignment wrapText="1"/>
    </xf>
    <xf numFmtId="0" fontId="3" fillId="43" borderId="16" xfId="0" applyFont="1" applyFill="1" applyBorder="1" applyAlignment="1">
      <alignment horizontal="left"/>
    </xf>
    <xf numFmtId="0" fontId="11" fillId="43" borderId="0" xfId="0" applyFont="1" applyFill="1" applyBorder="1" applyAlignment="1">
      <alignment horizontal="left"/>
    </xf>
    <xf numFmtId="0" fontId="33" fillId="43" borderId="23" xfId="0" applyFont="1" applyFill="1" applyBorder="1" applyAlignment="1">
      <alignment horizontal="center"/>
    </xf>
    <xf numFmtId="0" fontId="0" fillId="43" borderId="0" xfId="0" applyFill="1" applyBorder="1" applyAlignment="1">
      <alignment horizontal="center"/>
    </xf>
    <xf numFmtId="0" fontId="0" fillId="43" borderId="15" xfId="0" applyFill="1" applyBorder="1" applyAlignment="1">
      <alignment horizontal="center"/>
    </xf>
    <xf numFmtId="0" fontId="2" fillId="43" borderId="0" xfId="0" applyFont="1" applyFill="1" applyBorder="1" applyAlignment="1">
      <alignment horizontal="center"/>
    </xf>
    <xf numFmtId="0" fontId="2" fillId="43" borderId="15" xfId="0" applyFont="1" applyFill="1" applyBorder="1" applyAlignment="1">
      <alignment horizontal="center"/>
    </xf>
    <xf numFmtId="0" fontId="47" fillId="27" borderId="0" xfId="0" applyFont="1" applyFill="1" applyBorder="1" applyAlignment="1">
      <alignment horizontal="center"/>
    </xf>
    <xf numFmtId="0" fontId="52" fillId="27" borderId="0" xfId="0" applyFont="1" applyFill="1" applyBorder="1" applyAlignment="1">
      <alignment horizontal="center"/>
    </xf>
    <xf numFmtId="0" fontId="81" fillId="27" borderId="0" xfId="0" applyFont="1" applyFill="1" applyBorder="1" applyAlignment="1">
      <alignment horizontal="center" vertical="center"/>
    </xf>
    <xf numFmtId="3" fontId="11" fillId="27" borderId="58" xfId="0" applyNumberFormat="1" applyFont="1" applyFill="1" applyBorder="1" applyAlignment="1" applyProtection="1">
      <alignment horizontal="right" vertical="center" indent="1"/>
      <protection locked="0"/>
    </xf>
    <xf numFmtId="3" fontId="11" fillId="27" borderId="60" xfId="0" applyNumberFormat="1" applyFont="1" applyFill="1" applyBorder="1" applyAlignment="1" applyProtection="1">
      <alignment horizontal="right" vertical="center" indent="1"/>
      <protection locked="0"/>
    </xf>
    <xf numFmtId="3" fontId="11" fillId="27" borderId="126" xfId="0" applyNumberFormat="1" applyFont="1" applyFill="1" applyBorder="1" applyAlignment="1">
      <alignment horizontal="right" vertical="center" indent="1"/>
    </xf>
    <xf numFmtId="3" fontId="11" fillId="27" borderId="127" xfId="0" applyNumberFormat="1" applyFont="1" applyFill="1" applyBorder="1" applyAlignment="1">
      <alignment horizontal="right" vertical="center" indent="1"/>
    </xf>
    <xf numFmtId="0" fontId="8" fillId="27" borderId="19" xfId="0" applyFont="1" applyFill="1" applyBorder="1" applyAlignment="1">
      <alignment horizontal="center" vertical="center" wrapText="1"/>
    </xf>
    <xf numFmtId="0" fontId="11" fillId="27" borderId="19" xfId="0" applyFont="1" applyFill="1" applyBorder="1" applyAlignment="1">
      <alignment horizontal="center" vertical="center"/>
    </xf>
    <xf numFmtId="0" fontId="11" fillId="27" borderId="81" xfId="0" applyFont="1" applyFill="1" applyBorder="1" applyAlignment="1">
      <alignment horizontal="center" vertical="center"/>
    </xf>
    <xf numFmtId="3" fontId="11" fillId="27" borderId="0" xfId="0" applyNumberFormat="1" applyFont="1" applyFill="1" applyBorder="1" applyAlignment="1">
      <alignment horizontal="center" vertical="center"/>
    </xf>
    <xf numFmtId="3" fontId="11" fillId="27" borderId="126" xfId="0" applyNumberFormat="1" applyFont="1" applyFill="1" applyBorder="1" applyAlignment="1" applyProtection="1">
      <alignment horizontal="right" vertical="center" indent="1"/>
    </xf>
    <xf numFmtId="3" fontId="11" fillId="27" borderId="127" xfId="0" applyNumberFormat="1" applyFont="1" applyFill="1" applyBorder="1" applyAlignment="1" applyProtection="1">
      <alignment horizontal="right" vertical="center" indent="1"/>
    </xf>
    <xf numFmtId="3" fontId="12" fillId="27" borderId="127" xfId="0" applyNumberFormat="1" applyFont="1" applyFill="1" applyBorder="1" applyAlignment="1">
      <alignment horizontal="right" vertical="center" indent="1"/>
    </xf>
    <xf numFmtId="3" fontId="11" fillId="27" borderId="128" xfId="0" applyNumberFormat="1" applyFont="1" applyFill="1" applyBorder="1" applyAlignment="1">
      <alignment horizontal="right" vertical="center" indent="1"/>
    </xf>
    <xf numFmtId="3" fontId="11" fillId="27" borderId="129" xfId="0" applyNumberFormat="1" applyFont="1" applyFill="1" applyBorder="1" applyAlignment="1">
      <alignment horizontal="right" vertical="center" indent="1"/>
    </xf>
    <xf numFmtId="0" fontId="6" fillId="27" borderId="0" xfId="0" applyFont="1" applyFill="1" applyBorder="1" applyAlignment="1">
      <alignment vertical="top" wrapText="1"/>
    </xf>
    <xf numFmtId="0" fontId="0" fillId="27" borderId="0" xfId="0" applyFill="1" applyAlignment="1">
      <alignment vertical="top" wrapText="1"/>
    </xf>
    <xf numFmtId="3" fontId="11" fillId="27" borderId="126" xfId="0" applyNumberFormat="1" applyFont="1" applyFill="1" applyBorder="1" applyAlignment="1" applyProtection="1">
      <alignment horizontal="right" vertical="center" indent="1"/>
      <protection locked="0"/>
    </xf>
    <xf numFmtId="3" fontId="11" fillId="27" borderId="127" xfId="0" applyNumberFormat="1" applyFont="1" applyFill="1" applyBorder="1" applyAlignment="1" applyProtection="1">
      <alignment horizontal="right" vertical="center" indent="1"/>
      <protection locked="0"/>
    </xf>
    <xf numFmtId="3" fontId="11" fillId="27" borderId="77" xfId="0" applyNumberFormat="1" applyFont="1" applyFill="1" applyBorder="1" applyAlignment="1">
      <alignment horizontal="right" vertical="center" indent="1"/>
    </xf>
    <xf numFmtId="3" fontId="12" fillId="27" borderId="78" xfId="0" applyNumberFormat="1" applyFont="1" applyFill="1" applyBorder="1" applyAlignment="1">
      <alignment horizontal="right" vertical="center" indent="1"/>
    </xf>
    <xf numFmtId="0" fontId="8" fillId="27" borderId="126" xfId="0" applyFont="1" applyFill="1" applyBorder="1" applyAlignment="1">
      <alignment vertical="center"/>
    </xf>
    <xf numFmtId="0" fontId="8" fillId="27" borderId="127" xfId="0" applyFont="1" applyFill="1" applyBorder="1" applyAlignment="1">
      <alignment vertical="center"/>
    </xf>
    <xf numFmtId="3" fontId="8" fillId="27" borderId="126" xfId="0" applyNumberFormat="1" applyFont="1" applyFill="1" applyBorder="1" applyAlignment="1">
      <alignment horizontal="right"/>
    </xf>
    <xf numFmtId="3" fontId="8" fillId="27" borderId="127" xfId="0" applyNumberFormat="1" applyFont="1" applyFill="1" applyBorder="1" applyAlignment="1">
      <alignment horizontal="right"/>
    </xf>
    <xf numFmtId="3" fontId="8" fillId="27" borderId="126" xfId="0" applyNumberFormat="1" applyFont="1" applyFill="1" applyBorder="1" applyAlignment="1"/>
    <xf numFmtId="0" fontId="3" fillId="27" borderId="127" xfId="0" applyFont="1" applyFill="1" applyBorder="1" applyAlignment="1"/>
    <xf numFmtId="0" fontId="0" fillId="27" borderId="0" xfId="0" applyFill="1" applyAlignment="1">
      <alignment wrapText="1"/>
    </xf>
    <xf numFmtId="3" fontId="8" fillId="27" borderId="126" xfId="0" applyNumberFormat="1" applyFont="1" applyFill="1" applyBorder="1" applyAlignment="1">
      <alignment horizontal="right" vertical="center" indent="1"/>
    </xf>
    <xf numFmtId="3" fontId="11" fillId="27" borderId="131" xfId="0" applyNumberFormat="1" applyFont="1" applyFill="1" applyBorder="1" applyAlignment="1" applyProtection="1">
      <alignment horizontal="right" vertical="center" indent="1"/>
    </xf>
    <xf numFmtId="3" fontId="11" fillId="27" borderId="132" xfId="0" applyNumberFormat="1" applyFont="1" applyFill="1" applyBorder="1" applyAlignment="1" applyProtection="1">
      <alignment horizontal="right" vertical="center" indent="1"/>
    </xf>
    <xf numFmtId="0" fontId="11" fillId="27" borderId="0" xfId="0" applyFont="1" applyFill="1" applyBorder="1" applyAlignment="1">
      <alignment horizontal="center" vertical="center"/>
    </xf>
    <xf numFmtId="3" fontId="11" fillId="27" borderId="108" xfId="0" applyNumberFormat="1" applyFont="1" applyFill="1" applyBorder="1" applyAlignment="1" applyProtection="1">
      <alignment horizontal="right" vertical="center" indent="1"/>
      <protection locked="0"/>
    </xf>
    <xf numFmtId="3" fontId="11" fillId="27" borderId="109" xfId="0" applyNumberFormat="1" applyFont="1" applyFill="1" applyBorder="1" applyAlignment="1" applyProtection="1">
      <alignment horizontal="right" vertical="center" indent="1"/>
      <protection locked="0"/>
    </xf>
    <xf numFmtId="0" fontId="11" fillId="27" borderId="0" xfId="0" applyFont="1" applyFill="1" applyBorder="1" applyAlignment="1">
      <alignment horizontal="center" wrapText="1"/>
    </xf>
    <xf numFmtId="0" fontId="0" fillId="27" borderId="0" xfId="0" applyFill="1" applyBorder="1" applyAlignment="1">
      <alignment wrapText="1"/>
    </xf>
    <xf numFmtId="3" fontId="11" fillId="27" borderId="77" xfId="0" applyNumberFormat="1" applyFont="1" applyFill="1" applyBorder="1" applyAlignment="1" applyProtection="1">
      <alignment horizontal="right" vertical="center" indent="1"/>
      <protection locked="0"/>
    </xf>
    <xf numFmtId="3" fontId="12" fillId="27" borderId="78" xfId="0" applyNumberFormat="1" applyFont="1" applyFill="1" applyBorder="1" applyAlignment="1" applyProtection="1">
      <alignment horizontal="right" vertical="center" indent="1"/>
      <protection locked="0"/>
    </xf>
    <xf numFmtId="0" fontId="12" fillId="27" borderId="0" xfId="0" applyFont="1" applyFill="1" applyBorder="1" applyAlignment="1">
      <alignment vertical="top" wrapText="1"/>
    </xf>
    <xf numFmtId="0" fontId="0" fillId="27" borderId="0" xfId="0" applyFill="1" applyBorder="1" applyAlignment="1">
      <alignment vertical="top" wrapText="1"/>
    </xf>
    <xf numFmtId="0" fontId="87" fillId="27" borderId="0" xfId="0" applyFont="1" applyFill="1" applyBorder="1" applyAlignment="1">
      <alignment horizontal="center" vertical="center"/>
    </xf>
    <xf numFmtId="0" fontId="87" fillId="27" borderId="0" xfId="0" applyFont="1" applyFill="1" applyBorder="1" applyAlignment="1">
      <alignment horizontal="center" vertical="center" wrapText="1"/>
    </xf>
    <xf numFmtId="0" fontId="11" fillId="27" borderId="0" xfId="0" applyFont="1" applyFill="1" applyBorder="1" applyAlignment="1">
      <alignment horizontal="center"/>
    </xf>
    <xf numFmtId="0" fontId="76" fillId="27" borderId="0" xfId="0" applyFont="1" applyFill="1" applyBorder="1" applyAlignment="1">
      <alignment horizontal="left" vertical="center" wrapText="1"/>
    </xf>
    <xf numFmtId="0" fontId="12" fillId="27" borderId="0" xfId="0" applyFont="1" applyFill="1" applyBorder="1" applyAlignment="1">
      <alignment horizontal="center"/>
    </xf>
    <xf numFmtId="0" fontId="6" fillId="27" borderId="0" xfId="0" applyFont="1" applyFill="1" applyBorder="1" applyAlignment="1">
      <alignment horizontal="center"/>
    </xf>
    <xf numFmtId="0" fontId="8" fillId="27" borderId="0" xfId="0" applyFont="1" applyFill="1" applyBorder="1" applyAlignment="1">
      <alignment horizontal="center" wrapText="1"/>
    </xf>
    <xf numFmtId="3" fontId="8" fillId="27" borderId="0" xfId="0" applyNumberFormat="1" applyFont="1" applyFill="1" applyBorder="1" applyAlignment="1">
      <alignment horizontal="center" wrapText="1"/>
    </xf>
    <xf numFmtId="3" fontId="11" fillId="27" borderId="0" xfId="0" applyNumberFormat="1" applyFont="1" applyFill="1" applyBorder="1" applyAlignment="1">
      <alignment horizontal="center" wrapText="1"/>
    </xf>
    <xf numFmtId="0" fontId="8" fillId="27" borderId="34" xfId="0" applyFont="1" applyFill="1" applyBorder="1" applyAlignment="1">
      <alignment horizontal="center" vertical="center"/>
    </xf>
    <xf numFmtId="0" fontId="33" fillId="27" borderId="23" xfId="0" applyFont="1" applyFill="1" applyBorder="1" applyAlignment="1">
      <alignment horizontal="center"/>
    </xf>
    <xf numFmtId="0" fontId="0" fillId="27" borderId="0" xfId="0" applyFill="1" applyBorder="1" applyAlignment="1">
      <alignment horizontal="center"/>
    </xf>
    <xf numFmtId="0" fontId="0" fillId="27" borderId="15" xfId="0" applyFill="1" applyBorder="1" applyAlignment="1">
      <alignment horizontal="center"/>
    </xf>
    <xf numFmtId="0" fontId="7" fillId="27" borderId="23" xfId="0" applyFont="1" applyFill="1" applyBorder="1" applyAlignment="1">
      <alignment horizontal="center"/>
    </xf>
    <xf numFmtId="0" fontId="2" fillId="27" borderId="0" xfId="0" applyFont="1" applyFill="1" applyBorder="1" applyAlignment="1">
      <alignment horizontal="center"/>
    </xf>
    <xf numFmtId="0" fontId="2" fillId="27" borderId="15" xfId="0" applyFont="1" applyFill="1" applyBorder="1" applyAlignment="1">
      <alignment horizontal="center"/>
    </xf>
    <xf numFmtId="0" fontId="6" fillId="27" borderId="23" xfId="0" applyFont="1" applyFill="1" applyBorder="1" applyAlignment="1">
      <alignment horizontal="center"/>
    </xf>
    <xf numFmtId="0" fontId="6" fillId="27" borderId="15" xfId="0" applyFont="1" applyFill="1" applyBorder="1" applyAlignment="1">
      <alignment horizontal="center"/>
    </xf>
    <xf numFmtId="0" fontId="3" fillId="27" borderId="0" xfId="0" applyFont="1" applyFill="1" applyBorder="1" applyAlignment="1">
      <alignment horizontal="left"/>
    </xf>
    <xf numFmtId="0" fontId="117" fillId="52" borderId="0" xfId="61" applyFont="1" applyFill="1" applyBorder="1" applyAlignment="1" applyProtection="1">
      <alignment horizontal="center" vertical="center" wrapText="1"/>
    </xf>
    <xf numFmtId="0" fontId="0" fillId="52" borderId="0" xfId="61" applyFont="1" applyFill="1" applyBorder="1" applyAlignment="1">
      <alignment horizontal="center" vertical="center"/>
    </xf>
    <xf numFmtId="2" fontId="55" fillId="52" borderId="0" xfId="64" applyNumberFormat="1" applyFont="1" applyFill="1" applyBorder="1" applyAlignment="1">
      <alignment wrapText="1"/>
    </xf>
    <xf numFmtId="0" fontId="55" fillId="52" borderId="0" xfId="61" applyFont="1" applyFill="1" applyBorder="1" applyAlignment="1">
      <alignment wrapText="1"/>
    </xf>
    <xf numFmtId="0" fontId="121" fillId="52" borderId="23" xfId="61" applyFont="1" applyFill="1" applyBorder="1" applyAlignment="1" applyProtection="1">
      <alignment horizontal="left"/>
    </xf>
    <xf numFmtId="0" fontId="120" fillId="52" borderId="0" xfId="61" applyFont="1" applyFill="1" applyBorder="1" applyAlignment="1">
      <alignment horizontal="left"/>
    </xf>
    <xf numFmtId="0" fontId="120" fillId="52" borderId="15" xfId="61" applyFont="1" applyFill="1" applyBorder="1" applyAlignment="1">
      <alignment horizontal="left"/>
    </xf>
    <xf numFmtId="0" fontId="35" fillId="52" borderId="0" xfId="61" quotePrefix="1" applyFont="1" applyFill="1" applyBorder="1" applyAlignment="1" applyProtection="1">
      <alignment horizontal="center"/>
    </xf>
    <xf numFmtId="0" fontId="0" fillId="52" borderId="0" xfId="61" applyFont="1" applyFill="1" applyAlignment="1"/>
    <xf numFmtId="0" fontId="8" fillId="52" borderId="0" xfId="61" quotePrefix="1" applyFont="1" applyFill="1" applyBorder="1" applyAlignment="1" applyProtection="1">
      <alignment horizontal="center" vertical="center"/>
    </xf>
    <xf numFmtId="0" fontId="0" fillId="52" borderId="0" xfId="0" applyFill="1" applyAlignment="1">
      <alignment horizontal="center" vertical="center"/>
    </xf>
    <xf numFmtId="0" fontId="8" fillId="52" borderId="0" xfId="61" applyFont="1" applyFill="1" applyBorder="1" applyAlignment="1" applyProtection="1">
      <alignment horizontal="center" vertical="center" wrapText="1"/>
    </xf>
    <xf numFmtId="0" fontId="6" fillId="52" borderId="0" xfId="0" applyFont="1" applyFill="1" applyAlignment="1">
      <alignment horizontal="center" vertical="center" wrapText="1"/>
    </xf>
    <xf numFmtId="0" fontId="0" fillId="52" borderId="0" xfId="0" applyFill="1" applyAlignment="1">
      <alignment horizontal="center" vertical="center" wrapText="1"/>
    </xf>
    <xf numFmtId="0" fontId="8" fillId="52" borderId="0" xfId="61" quotePrefix="1" applyFont="1" applyFill="1" applyBorder="1" applyAlignment="1" applyProtection="1">
      <alignment horizontal="center" vertical="center" wrapText="1"/>
    </xf>
    <xf numFmtId="0" fontId="47" fillId="27" borderId="0" xfId="0" applyFont="1" applyFill="1" applyBorder="1" applyAlignment="1">
      <alignment horizontal="center" wrapText="1"/>
    </xf>
    <xf numFmtId="3" fontId="83" fillId="27" borderId="0" xfId="0" applyNumberFormat="1" applyFont="1" applyFill="1" applyBorder="1" applyAlignment="1" applyProtection="1">
      <alignment horizontal="right" vertical="center" indent="1"/>
      <protection locked="0"/>
    </xf>
    <xf numFmtId="3" fontId="11" fillId="27" borderId="0" xfId="0" applyNumberFormat="1" applyFont="1" applyFill="1" applyBorder="1" applyAlignment="1">
      <alignment horizontal="right" vertical="center" indent="1"/>
    </xf>
    <xf numFmtId="3" fontId="11" fillId="27" borderId="77" xfId="0" applyNumberFormat="1" applyFont="1" applyFill="1" applyBorder="1" applyAlignment="1" applyProtection="1">
      <alignment horizontal="right" vertical="center" indent="1"/>
    </xf>
    <xf numFmtId="3" fontId="12" fillId="27" borderId="78" xfId="0" applyNumberFormat="1" applyFont="1" applyFill="1" applyBorder="1" applyAlignment="1" applyProtection="1">
      <alignment horizontal="right" vertical="center" indent="1"/>
    </xf>
    <xf numFmtId="0" fontId="6" fillId="27" borderId="0" xfId="0" applyFont="1" applyFill="1" applyBorder="1" applyAlignment="1">
      <alignment wrapText="1"/>
    </xf>
    <xf numFmtId="0" fontId="11" fillId="27" borderId="25" xfId="0" applyFont="1" applyFill="1" applyBorder="1" applyAlignment="1">
      <alignment horizontal="center"/>
    </xf>
    <xf numFmtId="0" fontId="11" fillId="27" borderId="0" xfId="0" applyFont="1" applyFill="1" applyBorder="1" applyAlignment="1">
      <alignment wrapText="1"/>
    </xf>
    <xf numFmtId="0" fontId="0" fillId="27" borderId="26" xfId="0" applyFill="1" applyBorder="1" applyAlignment="1">
      <alignment wrapText="1"/>
    </xf>
    <xf numFmtId="0" fontId="0" fillId="27" borderId="16" xfId="0" applyFill="1" applyBorder="1" applyAlignment="1">
      <alignment wrapText="1"/>
    </xf>
    <xf numFmtId="0" fontId="0" fillId="27" borderId="17" xfId="0" applyFill="1" applyBorder="1" applyAlignment="1">
      <alignment wrapText="1"/>
    </xf>
    <xf numFmtId="0" fontId="0" fillId="27" borderId="23" xfId="0" applyFill="1" applyBorder="1" applyAlignment="1">
      <alignment wrapText="1"/>
    </xf>
    <xf numFmtId="0" fontId="0" fillId="27" borderId="15" xfId="0" applyFill="1" applyBorder="1" applyAlignment="1">
      <alignment wrapText="1"/>
    </xf>
    <xf numFmtId="0" fontId="0" fillId="27" borderId="24" xfId="0" applyFill="1" applyBorder="1" applyAlignment="1">
      <alignment wrapText="1"/>
    </xf>
    <xf numFmtId="0" fontId="0" fillId="27" borderId="25" xfId="0" applyFill="1" applyBorder="1" applyAlignment="1">
      <alignment wrapText="1"/>
    </xf>
    <xf numFmtId="0" fontId="0" fillId="27" borderId="27" xfId="0" applyFill="1" applyBorder="1" applyAlignment="1">
      <alignment wrapText="1"/>
    </xf>
    <xf numFmtId="0" fontId="49" fillId="27" borderId="0" xfId="0" applyFont="1" applyFill="1" applyBorder="1" applyAlignment="1">
      <alignment horizontal="left" vertical="top" wrapText="1" indent="1"/>
    </xf>
    <xf numFmtId="0" fontId="0" fillId="27" borderId="0" xfId="0" applyFill="1" applyAlignment="1">
      <alignment horizontal="left" vertical="top" wrapText="1" indent="1"/>
    </xf>
    <xf numFmtId="4" fontId="81" fillId="27" borderId="0" xfId="0" applyNumberFormat="1" applyFont="1" applyFill="1" applyBorder="1" applyAlignment="1">
      <alignment horizontal="center" vertical="center"/>
    </xf>
    <xf numFmtId="0" fontId="49" fillId="27" borderId="0" xfId="0" applyFont="1" applyFill="1" applyBorder="1" applyAlignment="1">
      <alignment vertical="top" wrapText="1"/>
    </xf>
    <xf numFmtId="0" fontId="0" fillId="27" borderId="0" xfId="0" applyFill="1" applyBorder="1" applyAlignment="1">
      <alignment vertical="top"/>
    </xf>
    <xf numFmtId="0" fontId="46" fillId="27" borderId="0" xfId="0" applyFont="1" applyFill="1" applyBorder="1" applyAlignment="1">
      <alignment horizontal="right" vertical="center" wrapText="1"/>
    </xf>
    <xf numFmtId="0" fontId="0" fillId="27" borderId="0" xfId="0" applyFill="1" applyAlignment="1">
      <alignment horizontal="right" vertical="center" wrapText="1"/>
    </xf>
    <xf numFmtId="3" fontId="46" fillId="27" borderId="82" xfId="0" applyNumberFormat="1" applyFont="1" applyFill="1" applyBorder="1" applyAlignment="1">
      <alignment horizontal="center" wrapText="1"/>
    </xf>
    <xf numFmtId="0" fontId="0" fillId="27" borderId="25" xfId="0" applyFill="1" applyBorder="1" applyAlignment="1">
      <alignment horizontal="center" wrapText="1"/>
    </xf>
    <xf numFmtId="0" fontId="0" fillId="27" borderId="0" xfId="0" applyFill="1" applyBorder="1" applyAlignment="1">
      <alignment horizontal="left" vertical="top" indent="1"/>
    </xf>
    <xf numFmtId="0" fontId="12" fillId="27" borderId="0" xfId="0" applyFont="1" applyFill="1" applyBorder="1" applyAlignment="1">
      <alignment horizontal="left" vertical="top" wrapText="1" indent="1"/>
    </xf>
    <xf numFmtId="3" fontId="92" fillId="27" borderId="0" xfId="0" applyNumberFormat="1" applyFont="1" applyFill="1" applyBorder="1" applyAlignment="1" applyProtection="1">
      <alignment horizontal="center" vertical="center"/>
      <protection locked="0"/>
    </xf>
    <xf numFmtId="3" fontId="92" fillId="27" borderId="0" xfId="0" applyNumberFormat="1" applyFont="1" applyFill="1" applyBorder="1" applyAlignment="1">
      <alignment horizontal="center" vertical="top" wrapText="1"/>
    </xf>
    <xf numFmtId="0" fontId="92" fillId="27" borderId="0" xfId="0" applyFont="1" applyFill="1" applyAlignment="1">
      <alignment wrapText="1"/>
    </xf>
    <xf numFmtId="0" fontId="92" fillId="27" borderId="15" xfId="0" applyFont="1" applyFill="1" applyBorder="1" applyAlignment="1">
      <alignment wrapText="1"/>
    </xf>
    <xf numFmtId="0" fontId="92" fillId="27" borderId="25" xfId="0" applyFont="1" applyFill="1" applyBorder="1" applyAlignment="1">
      <alignment wrapText="1"/>
    </xf>
    <xf numFmtId="0" fontId="92" fillId="27" borderId="27" xfId="0" applyFont="1" applyFill="1" applyBorder="1" applyAlignment="1">
      <alignment wrapText="1"/>
    </xf>
    <xf numFmtId="0" fontId="71" fillId="27" borderId="25" xfId="0" applyFont="1" applyFill="1" applyBorder="1" applyAlignment="1">
      <alignment vertical="top" wrapText="1"/>
    </xf>
    <xf numFmtId="0" fontId="47" fillId="27" borderId="0" xfId="0" applyFont="1" applyFill="1" applyBorder="1" applyAlignment="1">
      <alignment wrapText="1"/>
    </xf>
    <xf numFmtId="0" fontId="47" fillId="27" borderId="0" xfId="0" applyFont="1" applyFill="1" applyAlignment="1">
      <alignment wrapText="1"/>
    </xf>
    <xf numFmtId="3" fontId="81" fillId="27" borderId="0" xfId="0" applyNumberFormat="1" applyFont="1" applyFill="1" applyBorder="1" applyAlignment="1" applyProtection="1">
      <alignment horizontal="right" vertical="center"/>
      <protection locked="0"/>
    </xf>
    <xf numFmtId="0" fontId="92" fillId="27" borderId="0" xfId="0" applyFont="1" applyFill="1" applyAlignment="1">
      <alignment vertical="center"/>
    </xf>
    <xf numFmtId="0" fontId="47" fillId="27" borderId="0" xfId="0" applyFont="1" applyFill="1" applyBorder="1" applyAlignment="1">
      <alignment horizontal="left" wrapText="1"/>
    </xf>
    <xf numFmtId="0" fontId="11" fillId="27" borderId="16" xfId="0" applyFont="1" applyFill="1" applyBorder="1" applyAlignment="1">
      <alignment horizontal="left" vertical="center" wrapText="1"/>
    </xf>
    <xf numFmtId="0" fontId="0" fillId="27" borderId="16" xfId="0" applyFill="1" applyBorder="1" applyAlignment="1">
      <alignment horizontal="left" vertical="center" wrapText="1"/>
    </xf>
    <xf numFmtId="0" fontId="0" fillId="27" borderId="25" xfId="0" applyFill="1" applyBorder="1" applyAlignment="1">
      <alignment horizontal="left" vertical="center" wrapText="1"/>
    </xf>
    <xf numFmtId="0" fontId="11" fillId="27" borderId="23" xfId="0" applyFont="1" applyFill="1" applyBorder="1" applyAlignment="1">
      <alignment horizontal="center" vertical="center" wrapText="1"/>
    </xf>
    <xf numFmtId="0" fontId="11" fillId="27" borderId="0" xfId="0" applyFont="1" applyFill="1" applyBorder="1" applyAlignment="1">
      <alignment horizontal="center" vertical="center" wrapText="1"/>
    </xf>
    <xf numFmtId="0" fontId="11" fillId="27" borderId="15" xfId="0"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0" xfId="0" applyFill="1" applyBorder="1" applyAlignment="1">
      <alignment horizontal="center" vertical="center" wrapText="1"/>
    </xf>
    <xf numFmtId="0" fontId="0" fillId="27" borderId="15" xfId="0" applyFill="1" applyBorder="1" applyAlignment="1">
      <alignment horizontal="center" vertical="center" wrapText="1"/>
    </xf>
    <xf numFmtId="0" fontId="11" fillId="27" borderId="23" xfId="0" applyFont="1" applyFill="1" applyBorder="1" applyAlignment="1">
      <alignment horizontal="center" vertical="center"/>
    </xf>
    <xf numFmtId="0" fontId="11" fillId="27" borderId="15" xfId="0" applyFont="1" applyFill="1" applyBorder="1" applyAlignment="1">
      <alignment horizontal="center" vertical="center"/>
    </xf>
    <xf numFmtId="0" fontId="8" fillId="27" borderId="0" xfId="0" applyFont="1" applyFill="1" applyBorder="1" applyAlignment="1">
      <alignment horizontal="center" vertical="center" wrapText="1"/>
    </xf>
    <xf numFmtId="0" fontId="12" fillId="27" borderId="0" xfId="0" applyFont="1" applyFill="1" applyBorder="1" applyAlignment="1">
      <alignment horizontal="center" vertical="center" wrapText="1"/>
    </xf>
    <xf numFmtId="4" fontId="12" fillId="27" borderId="73" xfId="0" applyNumberFormat="1" applyFont="1" applyFill="1" applyBorder="1" applyAlignment="1" applyProtection="1">
      <alignment horizontal="left" indent="1"/>
      <protection locked="0"/>
    </xf>
    <xf numFmtId="4" fontId="12" fillId="27" borderId="75" xfId="0" applyNumberFormat="1" applyFont="1" applyFill="1" applyBorder="1" applyAlignment="1" applyProtection="1">
      <alignment horizontal="left" indent="1"/>
      <protection locked="0"/>
    </xf>
    <xf numFmtId="49" fontId="12" fillId="27" borderId="73" xfId="0" applyNumberFormat="1" applyFont="1" applyFill="1" applyBorder="1" applyAlignment="1" applyProtection="1">
      <alignment horizontal="left" indent="1"/>
      <protection locked="0"/>
    </xf>
    <xf numFmtId="49" fontId="12" fillId="27" borderId="75" xfId="0" applyNumberFormat="1" applyFont="1" applyFill="1" applyBorder="1" applyAlignment="1" applyProtection="1">
      <alignment horizontal="left" indent="1"/>
      <protection locked="0"/>
    </xf>
    <xf numFmtId="0" fontId="12" fillId="27" borderId="73" xfId="0" applyNumberFormat="1" applyFont="1" applyFill="1" applyBorder="1" applyAlignment="1" applyProtection="1">
      <alignment horizontal="left" indent="1"/>
      <protection locked="0"/>
    </xf>
    <xf numFmtId="0" fontId="12" fillId="27" borderId="75" xfId="0" applyNumberFormat="1" applyFont="1" applyFill="1" applyBorder="1" applyAlignment="1" applyProtection="1">
      <alignment horizontal="left" indent="1"/>
      <protection locked="0"/>
    </xf>
  </cellXfs>
  <cellStyles count="70">
    <cellStyle name="%" xfId="6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cellStyle name="CellBAValue 2" xfId="28"/>
    <cellStyle name="CellNationValue" xfId="29"/>
    <cellStyle name="CellUAValue" xfId="30"/>
    <cellStyle name="CellUAValue 2" xfId="31"/>
    <cellStyle name="Check Cell" xfId="32" builtinId="23" customBuiltin="1"/>
    <cellStyle name="Comma" xfId="33" builtinId="3"/>
    <cellStyle name="Comma 2" xfId="53"/>
    <cellStyle name="Comma 2 2" xfId="54"/>
    <cellStyle name="Comma 3" xfId="62"/>
    <cellStyle name="Currency" xfId="34" builtinId="4"/>
    <cellStyle name="Explanatory Text" xfId="35" builtinId="53" customBuiltin="1"/>
    <cellStyle name="Good" xfId="36" builtinId="26" customBuiltin="1"/>
    <cellStyle name="Heading 1" xfId="37" builtinId="16" customBuiltin="1"/>
    <cellStyle name="Heading 2" xfId="38" builtinId="17" customBuiltin="1"/>
    <cellStyle name="Heading 3" xfId="39" builtinId="18" customBuiltin="1"/>
    <cellStyle name="Heading 4" xfId="40" builtinId="19" customBuiltin="1"/>
    <cellStyle name="Hyperlink 2" xfId="55"/>
    <cellStyle name="Hyperlink 2 2" xfId="66"/>
    <cellStyle name="Hyperlink 3" xfId="67"/>
    <cellStyle name="Hyperlink 4" xfId="68"/>
    <cellStyle name="Hyperlink_140108 Draft NNDR1Sup 201415" xfId="41"/>
    <cellStyle name="Hyperlink_NNDR1 Form 2013-14 V14" xfId="42"/>
    <cellStyle name="Input" xfId="43" builtinId="20" customBuiltin="1"/>
    <cellStyle name="Linked Cell" xfId="44" builtinId="24" customBuiltin="1"/>
    <cellStyle name="Neutral" xfId="45" builtinId="28" customBuiltin="1"/>
    <cellStyle name="Neutral 2" xfId="57"/>
    <cellStyle name="Normal" xfId="0" builtinId="0"/>
    <cellStyle name="Normal 2" xfId="46"/>
    <cellStyle name="Normal 2 2" xfId="69"/>
    <cellStyle name="Normal 3" xfId="58"/>
    <cellStyle name="Normal 3 2" xfId="65"/>
    <cellStyle name="Normal 4" xfId="60"/>
    <cellStyle name="Normal 5" xfId="56"/>
    <cellStyle name="Normal 5 2" xfId="63"/>
    <cellStyle name="Normal_Sheet1" xfId="64"/>
    <cellStyle name="Note" xfId="47" builtinId="10" customBuiltin="1"/>
    <cellStyle name="Output" xfId="48" builtinId="21" customBuiltin="1"/>
    <cellStyle name="Percent" xfId="49" builtinId="5"/>
    <cellStyle name="Percent 2" xfId="59"/>
    <cellStyle name="Title" xfId="50" builtinId="15" customBuiltin="1"/>
    <cellStyle name="Total" xfId="51" builtinId="25" customBuiltin="1"/>
    <cellStyle name="Warning Text" xfId="52" builtinId="11" customBuiltin="1"/>
  </cellStyles>
  <dxfs count="355">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ont>
        <b/>
        <i val="0"/>
        <color rgb="FFFF0000"/>
      </font>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i val="0"/>
        <color theme="0"/>
      </font>
      <fill>
        <patternFill>
          <bgColor indexed="17"/>
        </patternFill>
      </fill>
    </dxf>
    <dxf>
      <font>
        <b/>
        <i val="0"/>
        <color theme="0"/>
      </font>
      <fill>
        <patternFill>
          <bgColor indexed="10"/>
        </patternFill>
      </fill>
    </dxf>
    <dxf>
      <fill>
        <patternFill>
          <bgColor theme="9" tint="0.59996337778862885"/>
        </patternFill>
      </fill>
    </dxf>
    <dxf>
      <font>
        <b/>
        <i val="0"/>
        <color theme="0"/>
      </font>
      <fill>
        <patternFill>
          <bgColor indexed="17"/>
        </patternFill>
      </fill>
    </dxf>
    <dxf>
      <font>
        <b/>
        <i val="0"/>
        <color theme="0"/>
      </font>
      <fill>
        <patternFill>
          <bgColor indexed="10"/>
        </patternFill>
      </fill>
    </dxf>
    <dxf>
      <fill>
        <patternFill>
          <bgColor theme="9" tint="0.59996337778862885"/>
        </patternFill>
      </fill>
    </dxf>
    <dxf>
      <font>
        <b/>
        <i val="0"/>
        <color theme="0"/>
      </font>
      <fill>
        <patternFill>
          <bgColor indexed="17"/>
        </patternFill>
      </fill>
    </dxf>
    <dxf>
      <font>
        <b/>
        <i val="0"/>
        <color theme="0"/>
      </font>
      <fill>
        <patternFill>
          <bgColor indexed="10"/>
        </patternFill>
      </fill>
    </dxf>
    <dxf>
      <fill>
        <patternFill>
          <bgColor theme="9" tint="0.59996337778862885"/>
        </patternFill>
      </fill>
    </dxf>
    <dxf>
      <font>
        <b/>
        <i val="0"/>
        <strike val="0"/>
        <color theme="0"/>
      </font>
      <fill>
        <patternFill>
          <bgColor rgb="FFFF00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i val="0"/>
        <condense val="0"/>
        <extend val="0"/>
      </font>
      <fill>
        <patternFill>
          <bgColor indexed="17"/>
        </patternFill>
      </fill>
    </dxf>
    <dxf>
      <font>
        <b/>
        <i val="0"/>
        <condense val="0"/>
        <extend val="0"/>
        <color auto="1"/>
      </font>
      <fill>
        <patternFill>
          <bgColor indexed="10"/>
        </patternFill>
      </fill>
    </dxf>
    <dxf>
      <font>
        <b/>
        <i val="0"/>
        <condense val="0"/>
        <extend val="0"/>
      </font>
      <fill>
        <patternFill>
          <bgColor indexed="17"/>
        </patternFill>
      </fill>
    </dxf>
    <dxf>
      <font>
        <b/>
        <i val="0"/>
        <condense val="0"/>
        <extend val="0"/>
        <color auto="1"/>
      </font>
      <fill>
        <patternFill>
          <bgColor indexed="10"/>
        </patternFill>
      </fill>
    </dxf>
    <dxf>
      <font>
        <b/>
        <i val="0"/>
        <color theme="0"/>
      </font>
      <fill>
        <patternFill>
          <bgColor indexed="17"/>
        </patternFill>
      </fill>
    </dxf>
    <dxf>
      <font>
        <b/>
        <i val="0"/>
        <color theme="0"/>
      </font>
      <fill>
        <patternFill>
          <bgColor indexed="10"/>
        </patternFill>
      </fill>
    </dxf>
    <dxf>
      <fill>
        <patternFill>
          <bgColor theme="9" tint="0.59996337778862885"/>
        </patternFill>
      </fill>
    </dxf>
    <dxf>
      <font>
        <b/>
        <i val="0"/>
        <color theme="0"/>
      </font>
      <fill>
        <patternFill>
          <bgColor indexed="17"/>
        </patternFill>
      </fill>
    </dxf>
    <dxf>
      <font>
        <b/>
        <i val="0"/>
        <color theme="0"/>
      </font>
      <fill>
        <patternFill>
          <bgColor indexed="10"/>
        </patternFill>
      </fill>
    </dxf>
    <dxf>
      <fill>
        <patternFill>
          <bgColor theme="9" tint="0.59996337778862885"/>
        </patternFill>
      </fill>
    </dxf>
    <dxf>
      <font>
        <b/>
        <i val="0"/>
        <color theme="0"/>
      </font>
      <fill>
        <patternFill>
          <bgColor indexed="17"/>
        </patternFill>
      </fill>
    </dxf>
    <dxf>
      <font>
        <b/>
        <i val="0"/>
        <color theme="0"/>
      </font>
      <fill>
        <patternFill>
          <bgColor indexed="10"/>
        </patternFill>
      </fill>
    </dxf>
    <dxf>
      <fill>
        <patternFill>
          <bgColor theme="9" tint="0.59996337778862885"/>
        </patternFill>
      </fill>
    </dxf>
    <dxf>
      <font>
        <b/>
        <i val="0"/>
        <color theme="0"/>
      </font>
      <fill>
        <patternFill>
          <bgColor indexed="17"/>
        </patternFill>
      </fill>
    </dxf>
    <dxf>
      <font>
        <b/>
        <i val="0"/>
        <color theme="0"/>
      </font>
      <fill>
        <patternFill>
          <bgColor indexed="10"/>
        </patternFill>
      </fill>
    </dxf>
    <dxf>
      <fill>
        <patternFill>
          <bgColor theme="9" tint="0.59996337778862885"/>
        </patternFill>
      </fill>
    </dxf>
    <dxf>
      <font>
        <b/>
        <i val="0"/>
        <color theme="0"/>
      </font>
      <fill>
        <patternFill>
          <bgColor indexed="17"/>
        </patternFill>
      </fill>
    </dxf>
    <dxf>
      <font>
        <b/>
        <i val="0"/>
        <color theme="0"/>
      </font>
      <fill>
        <patternFill>
          <bgColor indexed="10"/>
        </patternFill>
      </fill>
    </dxf>
    <dxf>
      <fill>
        <patternFill>
          <bgColor theme="9" tint="0.59996337778862885"/>
        </patternFill>
      </fill>
    </dxf>
    <dxf>
      <font>
        <b/>
        <i val="0"/>
        <color theme="0"/>
      </font>
      <fill>
        <patternFill>
          <bgColor indexed="17"/>
        </patternFill>
      </fill>
    </dxf>
    <dxf>
      <font>
        <b/>
        <i val="0"/>
        <color theme="0"/>
      </font>
      <fill>
        <patternFill>
          <bgColor indexed="10"/>
        </patternFill>
      </fill>
    </dxf>
    <dxf>
      <fill>
        <patternFill>
          <bgColor theme="9" tint="0.59996337778862885"/>
        </patternFill>
      </fill>
    </dxf>
    <dxf>
      <font>
        <b/>
        <i val="0"/>
        <color theme="0"/>
      </font>
      <fill>
        <patternFill>
          <bgColor indexed="17"/>
        </patternFill>
      </fill>
    </dxf>
    <dxf>
      <font>
        <b/>
        <i val="0"/>
        <color theme="0"/>
      </font>
      <fill>
        <patternFill>
          <bgColor indexed="10"/>
        </patternFill>
      </fill>
    </dxf>
    <dxf>
      <font>
        <b/>
        <i val="0"/>
      </font>
      <fill>
        <patternFill>
          <bgColor theme="8" tint="0.59996337778862885"/>
        </patternFill>
      </fill>
    </dxf>
    <dxf>
      <fill>
        <patternFill patternType="none">
          <bgColor indexed="65"/>
        </patternFill>
      </fill>
    </dxf>
    <dxf>
      <fill>
        <patternFill patternType="none">
          <bgColor indexed="65"/>
        </patternFill>
      </fill>
    </dxf>
    <dxf>
      <font>
        <b/>
        <i val="0"/>
        <strike val="0"/>
        <color theme="0"/>
      </font>
      <fill>
        <patternFill>
          <bgColor rgb="FFFF0000"/>
        </patternFill>
      </fill>
    </dxf>
    <dxf>
      <font>
        <b/>
        <i val="0"/>
        <condense val="0"/>
        <extend val="0"/>
      </font>
      <fill>
        <patternFill>
          <bgColor indexed="17"/>
        </patternFill>
      </fill>
    </dxf>
    <dxf>
      <font>
        <b/>
        <i val="0"/>
        <condense val="0"/>
        <extend val="0"/>
        <color auto="1"/>
      </font>
      <fill>
        <patternFill>
          <bgColor indexed="10"/>
        </patternFill>
      </fill>
    </dxf>
    <dxf>
      <font>
        <b/>
        <i val="0"/>
        <condense val="0"/>
        <extend val="0"/>
      </font>
      <fill>
        <patternFill>
          <bgColor indexed="17"/>
        </patternFill>
      </fill>
    </dxf>
    <dxf>
      <font>
        <b/>
        <i val="0"/>
        <condense val="0"/>
        <extend val="0"/>
        <color auto="1"/>
      </font>
      <fill>
        <patternFill>
          <bgColor indexed="10"/>
        </patternFill>
      </fill>
    </dxf>
    <dxf>
      <font>
        <b/>
        <i val="0"/>
        <condense val="0"/>
        <extend val="0"/>
      </font>
      <fill>
        <patternFill>
          <bgColor indexed="17"/>
        </patternFill>
      </fill>
    </dxf>
    <dxf>
      <font>
        <b/>
        <i val="0"/>
        <condense val="0"/>
        <extend val="0"/>
        <color auto="1"/>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ont>
        <b/>
        <i val="0"/>
        <color rgb="FFFF0000"/>
      </font>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s>
  <tableStyles count="0" defaultTableStyle="TableStyleMedium9" defaultPivotStyle="PivotStyleLight16"/>
  <colors>
    <mruColors>
      <color rgb="FFFFFFCC"/>
      <color rgb="FFFFFF99"/>
      <color rgb="FF008000"/>
      <color rgb="FF99CCFF"/>
      <color rgb="FFDDD9C4"/>
      <color rgb="FFCCFFFF"/>
      <color rgb="FFFDE9D9"/>
      <color rgb="FF808000"/>
      <color rgb="FFD8E4B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tyles" Target="styles.xml"/></Relationships>
</file>

<file path=xl/ctrlProps/ctrlProp1.xml><?xml version="1.0" encoding="utf-8"?>
<formControlPr xmlns="http://schemas.microsoft.com/office/spreadsheetml/2009/9/main" objectType="List" dx="16" fmlaLink="F1" fmlaRange="Data!$B$8:$C$334" noThreeD="1" sel="327" val="321"/>
</file>

<file path=xl/ctrlProps/ctrlProp2.xml><?xml version="1.0" encoding="utf-8"?>
<formControlPr xmlns="http://schemas.microsoft.com/office/spreadsheetml/2009/9/main" objectType="List" dx="16"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895475" cy="1095375"/>
    <xdr:pic>
      <xdr:nvPicPr>
        <xdr:cNvPr id="2"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8954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561975</xdr:colOff>
          <xdr:row>10</xdr:row>
          <xdr:rowOff>85725</xdr:rowOff>
        </xdr:from>
        <xdr:to>
          <xdr:col>15</xdr:col>
          <xdr:colOff>0</xdr:colOff>
          <xdr:row>14</xdr:row>
          <xdr:rowOff>95250</xdr:rowOff>
        </xdr:to>
        <xdr:sp macro="" textlink="">
          <xdr:nvSpPr>
            <xdr:cNvPr id="2053" name="List Box 5" hidden="1">
              <a:extLst>
                <a:ext uri="{63B3BB69-23CF-44E3-9099-C40C66FF867C}">
                  <a14:compatExt spid="_x0000_s2053"/>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 name="Line 1"/>
        <xdr:cNvSpPr>
          <a:spLocks noChangeShapeType="1"/>
        </xdr:cNvSpPr>
      </xdr:nvSpPr>
      <xdr:spPr bwMode="auto">
        <a:xfrm>
          <a:off x="54864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3990975</xdr:colOff>
      <xdr:row>1</xdr:row>
      <xdr:rowOff>0</xdr:rowOff>
    </xdr:from>
    <xdr:to>
      <xdr:col>17</xdr:col>
      <xdr:colOff>0</xdr:colOff>
      <xdr:row>1</xdr:row>
      <xdr:rowOff>0</xdr:rowOff>
    </xdr:to>
    <xdr:sp macro="" textlink="">
      <xdr:nvSpPr>
        <xdr:cNvPr id="3" name="Line 1"/>
        <xdr:cNvSpPr>
          <a:spLocks noChangeShapeType="1"/>
        </xdr:cNvSpPr>
      </xdr:nvSpPr>
      <xdr:spPr bwMode="auto">
        <a:xfrm>
          <a:off x="103632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3990975</xdr:colOff>
      <xdr:row>1</xdr:row>
      <xdr:rowOff>0</xdr:rowOff>
    </xdr:from>
    <xdr:to>
      <xdr:col>25</xdr:col>
      <xdr:colOff>0</xdr:colOff>
      <xdr:row>1</xdr:row>
      <xdr:rowOff>0</xdr:rowOff>
    </xdr:to>
    <xdr:sp macro="" textlink="">
      <xdr:nvSpPr>
        <xdr:cNvPr id="4" name="Line 1"/>
        <xdr:cNvSpPr>
          <a:spLocks noChangeShapeType="1"/>
        </xdr:cNvSpPr>
      </xdr:nvSpPr>
      <xdr:spPr bwMode="auto">
        <a:xfrm>
          <a:off x="152400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502</xdr:row>
      <xdr:rowOff>0</xdr:rowOff>
    </xdr:from>
    <xdr:to>
      <xdr:col>9</xdr:col>
      <xdr:colOff>371475</xdr:colOff>
      <xdr:row>504</xdr:row>
      <xdr:rowOff>0</xdr:rowOff>
    </xdr:to>
    <xdr:sp macro="" textlink="">
      <xdr:nvSpPr>
        <xdr:cNvPr id="3" name="TextBox 2"/>
        <xdr:cNvSpPr txBox="1"/>
      </xdr:nvSpPr>
      <xdr:spPr>
        <a:xfrm>
          <a:off x="4267200" y="78190725"/>
          <a:ext cx="2438400" cy="449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Check if Validation parameters fiddled in both validation tabs</a:t>
          </a:r>
        </a:p>
        <a:p>
          <a:endParaRPr lang="en-GB" sz="1100"/>
        </a:p>
        <a:p>
          <a:endParaRPr lang="en-GB" sz="1100"/>
        </a:p>
      </xdr:txBody>
    </xdr:sp>
    <xdr:clientData/>
  </xdr:twoCellAnchor>
  <xdr:twoCellAnchor>
    <xdr:from>
      <xdr:col>7</xdr:col>
      <xdr:colOff>0</xdr:colOff>
      <xdr:row>510</xdr:row>
      <xdr:rowOff>0</xdr:rowOff>
    </xdr:from>
    <xdr:to>
      <xdr:col>10</xdr:col>
      <xdr:colOff>66675</xdr:colOff>
      <xdr:row>512</xdr:row>
      <xdr:rowOff>125186</xdr:rowOff>
    </xdr:to>
    <xdr:sp macro="" textlink="">
      <xdr:nvSpPr>
        <xdr:cNvPr id="4" name="TextBox 3"/>
        <xdr:cNvSpPr txBox="1"/>
      </xdr:nvSpPr>
      <xdr:spPr>
        <a:xfrm>
          <a:off x="4267200" y="79809975"/>
          <a:ext cx="2905125" cy="449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Check if comparator data in Main</a:t>
          </a:r>
          <a:r>
            <a:rPr lang="en-GB" sz="1100" baseline="0"/>
            <a:t> </a:t>
          </a:r>
          <a:r>
            <a:rPr lang="en-GB" sz="1100"/>
            <a:t>Validation tab overwritten</a:t>
          </a:r>
        </a:p>
        <a:p>
          <a:endParaRPr lang="en-GB" sz="1100"/>
        </a:p>
      </xdr:txBody>
    </xdr:sp>
    <xdr:clientData/>
  </xdr:twoCellAnchor>
  <xdr:twoCellAnchor>
    <xdr:from>
      <xdr:col>7</xdr:col>
      <xdr:colOff>381000</xdr:colOff>
      <xdr:row>528</xdr:row>
      <xdr:rowOff>0</xdr:rowOff>
    </xdr:from>
    <xdr:to>
      <xdr:col>9</xdr:col>
      <xdr:colOff>533400</xdr:colOff>
      <xdr:row>530</xdr:row>
      <xdr:rowOff>125186</xdr:rowOff>
    </xdr:to>
    <xdr:sp macro="" textlink="">
      <xdr:nvSpPr>
        <xdr:cNvPr id="5" name="TextBox 4"/>
        <xdr:cNvSpPr txBox="1"/>
      </xdr:nvSpPr>
      <xdr:spPr>
        <a:xfrm>
          <a:off x="4648200" y="82886550"/>
          <a:ext cx="2219325" cy="449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Check if comparator data in Supp</a:t>
          </a:r>
          <a:r>
            <a:rPr lang="en-GB" sz="1100" baseline="0"/>
            <a:t> </a:t>
          </a:r>
          <a:r>
            <a:rPr lang="en-GB" sz="1100"/>
            <a:t>Validation tab overwritten</a:t>
          </a:r>
        </a:p>
        <a:p>
          <a:endParaRPr lang="en-GB" sz="1100"/>
        </a:p>
      </xdr:txBody>
    </xdr:sp>
    <xdr:clientData/>
  </xdr:twoCellAnchor>
  <xdr:twoCellAnchor>
    <xdr:from>
      <xdr:col>7</xdr:col>
      <xdr:colOff>0</xdr:colOff>
      <xdr:row>543</xdr:row>
      <xdr:rowOff>0</xdr:rowOff>
    </xdr:from>
    <xdr:to>
      <xdr:col>8</xdr:col>
      <xdr:colOff>255814</xdr:colOff>
      <xdr:row>544</xdr:row>
      <xdr:rowOff>118383</xdr:rowOff>
    </xdr:to>
    <xdr:sp macro="" textlink="">
      <xdr:nvSpPr>
        <xdr:cNvPr id="6" name="TextBox 5"/>
        <xdr:cNvSpPr txBox="1"/>
      </xdr:nvSpPr>
      <xdr:spPr>
        <a:xfrm>
          <a:off x="4267200" y="85477350"/>
          <a:ext cx="4122964" cy="2803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Check version number</a:t>
          </a:r>
        </a:p>
        <a:p>
          <a:endParaRPr lang="en-GB" sz="1100"/>
        </a:p>
      </xdr:txBody>
    </xdr:sp>
    <xdr:clientData/>
  </xdr:twoCellAnchor>
  <xdr:twoCellAnchor>
    <xdr:from>
      <xdr:col>7</xdr:col>
      <xdr:colOff>504824</xdr:colOff>
      <xdr:row>334</xdr:row>
      <xdr:rowOff>142875</xdr:rowOff>
    </xdr:from>
    <xdr:to>
      <xdr:col>10</xdr:col>
      <xdr:colOff>533399</xdr:colOff>
      <xdr:row>337</xdr:row>
      <xdr:rowOff>47625</xdr:rowOff>
    </xdr:to>
    <xdr:sp macro="" textlink="">
      <xdr:nvSpPr>
        <xdr:cNvPr id="12" name="TextBox 11"/>
        <xdr:cNvSpPr txBox="1"/>
      </xdr:nvSpPr>
      <xdr:spPr>
        <a:xfrm>
          <a:off x="4772024" y="53559075"/>
          <a:ext cx="2867025" cy="39052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Check if Val tests have been triggered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8</xdr:col>
      <xdr:colOff>0</xdr:colOff>
      <xdr:row>398</xdr:row>
      <xdr:rowOff>0</xdr:rowOff>
    </xdr:from>
    <xdr:to>
      <xdr:col>11</xdr:col>
      <xdr:colOff>76200</xdr:colOff>
      <xdr:row>400</xdr:row>
      <xdr:rowOff>66675</xdr:rowOff>
    </xdr:to>
    <xdr:sp macro="" textlink="">
      <xdr:nvSpPr>
        <xdr:cNvPr id="13" name="TextBox 12"/>
        <xdr:cNvSpPr txBox="1"/>
      </xdr:nvSpPr>
      <xdr:spPr>
        <a:xfrm>
          <a:off x="5572125" y="60378975"/>
          <a:ext cx="2867025" cy="39052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Check if formulas overwritten</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561975</xdr:colOff>
          <xdr:row>10</xdr:row>
          <xdr:rowOff>85725</xdr:rowOff>
        </xdr:from>
        <xdr:to>
          <xdr:col>16</xdr:col>
          <xdr:colOff>19050</xdr:colOff>
          <xdr:row>13</xdr:row>
          <xdr:rowOff>171450</xdr:rowOff>
        </xdr:to>
        <xdr:sp macro="" textlink="">
          <xdr:nvSpPr>
            <xdr:cNvPr id="26625" name="List Box 1" hidden="1">
              <a:extLst>
                <a:ext uri="{63B3BB69-23CF-44E3-9099-C40C66FF867C}">
                  <a14:compatExt spid="_x0000_s26625"/>
                </a:ext>
              </a:extLst>
            </xdr:cNvPr>
            <xdr:cNvSpPr/>
          </xdr:nvSpPr>
          <xdr:spPr>
            <a:xfrm>
              <a:off x="0" y="0"/>
              <a:ext cx="0" cy="0"/>
            </a:xfrm>
            <a:prstGeom prst="rect">
              <a:avLst/>
            </a:prstGeom>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 name="Line 1"/>
        <xdr:cNvSpPr>
          <a:spLocks noChangeShapeType="1"/>
        </xdr:cNvSpPr>
      </xdr:nvSpPr>
      <xdr:spPr bwMode="auto">
        <a:xfrm>
          <a:off x="1502092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3990975</xdr:colOff>
      <xdr:row>1</xdr:row>
      <xdr:rowOff>0</xdr:rowOff>
    </xdr:from>
    <xdr:to>
      <xdr:col>17</xdr:col>
      <xdr:colOff>0</xdr:colOff>
      <xdr:row>1</xdr:row>
      <xdr:rowOff>0</xdr:rowOff>
    </xdr:to>
    <xdr:sp macro="" textlink="">
      <xdr:nvSpPr>
        <xdr:cNvPr id="3" name="Line 1"/>
        <xdr:cNvSpPr>
          <a:spLocks noChangeShapeType="1"/>
        </xdr:cNvSpPr>
      </xdr:nvSpPr>
      <xdr:spPr bwMode="auto">
        <a:xfrm>
          <a:off x="21850350"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3990975</xdr:colOff>
      <xdr:row>1</xdr:row>
      <xdr:rowOff>0</xdr:rowOff>
    </xdr:from>
    <xdr:to>
      <xdr:col>25</xdr:col>
      <xdr:colOff>0</xdr:colOff>
      <xdr:row>1</xdr:row>
      <xdr:rowOff>0</xdr:rowOff>
    </xdr:to>
    <xdr:sp macro="" textlink="">
      <xdr:nvSpPr>
        <xdr:cNvPr id="4" name="Line 1"/>
        <xdr:cNvSpPr>
          <a:spLocks noChangeShapeType="1"/>
        </xdr:cNvSpPr>
      </xdr:nvSpPr>
      <xdr:spPr bwMode="auto">
        <a:xfrm>
          <a:off x="289464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F3Data\NNDR%201%20-%203\NNDR1\2013-14\Final%20NNDR1%20Received\Amber%20Valley%20-%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lfssc01.link.local\UserData$\Temp\LGF3Data\NNDR%201%20-%203\NNDR1\2003-04\Final%20Forms\NNDRFORM%20FINAL%202003-04%20with%20changed%20validation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emp\perhon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GF3Data\NNDR%201%20-%203\NNDR1\2016-17\New%20Baselines%20%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NDR1 Form"/>
      <sheetName val="validation"/>
      <sheetName val="Supplementary Information"/>
      <sheetName val="DATA"/>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34">
          <cell r="E34" t="str">
            <v>perhonen</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ted"/>
      <sheetName val="Sheet1"/>
      <sheetName val="Sheet2"/>
      <sheetName val="Sheet3"/>
    </sheetNames>
    <sheetDataSet>
      <sheetData sheetId="0">
        <row r="97">
          <cell r="F97">
            <v>2526622</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ndr.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5.bin"/><Relationship Id="rId4" Type="http://schemas.openxmlformats.org/officeDocument/2006/relationships/ctrlProp" Target="../ctrlProps/ctrlProp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82"/>
  <sheetViews>
    <sheetView showGridLines="0" tabSelected="1" workbookViewId="0"/>
  </sheetViews>
  <sheetFormatPr defaultRowHeight="12.75" x14ac:dyDescent="0.2"/>
  <cols>
    <col min="1" max="1" width="5.7109375" style="67" customWidth="1"/>
    <col min="2" max="2" width="17.140625" style="67" customWidth="1"/>
    <col min="3" max="3" width="126.7109375" style="67" customWidth="1"/>
    <col min="4" max="4" width="5.7109375" style="67" customWidth="1"/>
  </cols>
  <sheetData>
    <row r="1" spans="1:4" x14ac:dyDescent="0.2">
      <c r="A1" s="1787" t="s">
        <v>807</v>
      </c>
      <c r="B1" s="58"/>
      <c r="C1" s="58"/>
      <c r="D1" s="59"/>
    </row>
    <row r="2" spans="1:4" ht="26.25" customHeight="1" x14ac:dyDescent="0.2">
      <c r="A2" s="60"/>
      <c r="B2" s="61"/>
      <c r="C2" s="61"/>
      <c r="D2" s="62"/>
    </row>
    <row r="3" spans="1:4" ht="26.25" customHeight="1" x14ac:dyDescent="0.2">
      <c r="A3" s="60"/>
      <c r="B3" s="61"/>
      <c r="C3" s="61"/>
      <c r="D3" s="62"/>
    </row>
    <row r="4" spans="1:4" ht="23.25" x14ac:dyDescent="0.35">
      <c r="A4" s="2031" t="s">
        <v>1106</v>
      </c>
      <c r="B4" s="2032"/>
      <c r="C4" s="2032"/>
      <c r="D4" s="2033"/>
    </row>
    <row r="5" spans="1:4" ht="23.25" x14ac:dyDescent="0.35">
      <c r="A5" s="2031" t="s">
        <v>2114</v>
      </c>
      <c r="B5" s="2032"/>
      <c r="C5" s="2032"/>
      <c r="D5" s="2033"/>
    </row>
    <row r="6" spans="1:4" s="9" customFormat="1" ht="15.75" x14ac:dyDescent="0.25">
      <c r="A6" s="775"/>
      <c r="B6" s="776"/>
      <c r="C6" s="776"/>
      <c r="D6" s="777"/>
    </row>
    <row r="7" spans="1:4" s="9" customFormat="1" ht="18" x14ac:dyDescent="0.25">
      <c r="A7" s="2034" t="s">
        <v>1105</v>
      </c>
      <c r="B7" s="2035"/>
      <c r="C7" s="2035"/>
      <c r="D7" s="2036"/>
    </row>
    <row r="8" spans="1:4" s="9" customFormat="1" ht="20.25" customHeight="1" x14ac:dyDescent="0.25">
      <c r="A8" s="798"/>
      <c r="B8" s="799"/>
      <c r="C8" s="773"/>
      <c r="D8" s="774"/>
    </row>
    <row r="9" spans="1:4" s="9" customFormat="1" ht="18" x14ac:dyDescent="0.25">
      <c r="A9" s="2034" t="s">
        <v>567</v>
      </c>
      <c r="B9" s="2035"/>
      <c r="C9" s="2035"/>
      <c r="D9" s="2036"/>
    </row>
    <row r="10" spans="1:4" ht="14.25" customHeight="1" x14ac:dyDescent="0.25">
      <c r="A10" s="768"/>
      <c r="B10" s="769"/>
      <c r="C10" s="769"/>
      <c r="D10" s="770"/>
    </row>
    <row r="11" spans="1:4" ht="18" x14ac:dyDescent="0.25">
      <c r="A11" s="2043" t="s">
        <v>2115</v>
      </c>
      <c r="B11" s="2035"/>
      <c r="C11" s="2035"/>
      <c r="D11" s="2036"/>
    </row>
    <row r="12" spans="1:4" ht="20.25" x14ac:dyDescent="0.3">
      <c r="A12" s="804"/>
      <c r="B12" s="803"/>
      <c r="C12" s="803"/>
      <c r="D12" s="802"/>
    </row>
    <row r="13" spans="1:4" ht="20.25" x14ac:dyDescent="0.2">
      <c r="A13" s="801"/>
      <c r="B13" s="2041" t="s">
        <v>1104</v>
      </c>
      <c r="C13" s="2042"/>
      <c r="D13" s="800"/>
    </row>
    <row r="14" spans="1:4" ht="15.75" x14ac:dyDescent="0.25">
      <c r="A14" s="798"/>
      <c r="B14" s="799"/>
      <c r="C14" s="799"/>
      <c r="D14" s="797"/>
    </row>
    <row r="15" spans="1:4" ht="15.75" x14ac:dyDescent="0.25">
      <c r="A15" s="798"/>
      <c r="B15" s="2044" t="s">
        <v>1103</v>
      </c>
      <c r="C15" s="2044"/>
      <c r="D15" s="797"/>
    </row>
    <row r="16" spans="1:4" ht="18.75" customHeight="1" x14ac:dyDescent="0.25">
      <c r="A16" s="798"/>
      <c r="B16" s="2045"/>
      <c r="C16" s="2045"/>
      <c r="D16" s="797"/>
    </row>
    <row r="17" spans="1:4" x14ac:dyDescent="0.2">
      <c r="A17" s="796"/>
      <c r="B17" s="795"/>
      <c r="C17" s="795"/>
      <c r="D17" s="794"/>
    </row>
    <row r="18" spans="1:4" ht="13.5" thickBot="1" x14ac:dyDescent="0.25">
      <c r="A18" s="64"/>
      <c r="B18" s="65"/>
      <c r="C18" s="65"/>
      <c r="D18" s="66"/>
    </row>
    <row r="19" spans="1:4" ht="13.5" thickBot="1" x14ac:dyDescent="0.25"/>
    <row r="20" spans="1:4" x14ac:dyDescent="0.2">
      <c r="A20" s="68"/>
      <c r="B20" s="69"/>
      <c r="C20" s="69"/>
      <c r="D20" s="70"/>
    </row>
    <row r="21" spans="1:4" ht="18" customHeight="1" x14ac:dyDescent="0.2">
      <c r="A21" s="71"/>
      <c r="B21" s="2040" t="s">
        <v>1102</v>
      </c>
      <c r="C21" s="2040"/>
      <c r="D21" s="72"/>
    </row>
    <row r="22" spans="1:4" ht="18" customHeight="1" x14ac:dyDescent="0.2">
      <c r="A22" s="71"/>
      <c r="B22" s="2040"/>
      <c r="C22" s="2040"/>
      <c r="D22" s="72"/>
    </row>
    <row r="23" spans="1:4" ht="13.5" thickBot="1" x14ac:dyDescent="0.25">
      <c r="A23" s="73"/>
      <c r="B23" s="74"/>
      <c r="C23" s="74"/>
      <c r="D23" s="75"/>
    </row>
    <row r="24" spans="1:4" x14ac:dyDescent="0.2">
      <c r="A24" s="76"/>
      <c r="B24" s="77"/>
      <c r="C24" s="77"/>
      <c r="D24" s="78"/>
    </row>
    <row r="25" spans="1:4" s="88" customFormat="1" ht="18" x14ac:dyDescent="0.25">
      <c r="A25" s="785"/>
      <c r="B25" s="79" t="s">
        <v>577</v>
      </c>
      <c r="C25" s="784"/>
      <c r="D25" s="783"/>
    </row>
    <row r="26" spans="1:4" s="88" customFormat="1" ht="20.100000000000001" customHeight="1" x14ac:dyDescent="0.25">
      <c r="A26" s="785"/>
      <c r="B26" s="2022" t="s">
        <v>1101</v>
      </c>
      <c r="C26" s="2021"/>
      <c r="D26" s="783"/>
    </row>
    <row r="27" spans="1:4" s="88" customFormat="1" ht="20.100000000000001" customHeight="1" x14ac:dyDescent="0.25">
      <c r="A27" s="785"/>
      <c r="B27" s="2022"/>
      <c r="C27" s="2021"/>
      <c r="D27" s="783"/>
    </row>
    <row r="28" spans="1:4" s="88" customFormat="1" ht="20.100000000000001" customHeight="1" x14ac:dyDescent="0.25">
      <c r="A28" s="785"/>
      <c r="B28" s="2021"/>
      <c r="C28" s="2021"/>
      <c r="D28" s="783"/>
    </row>
    <row r="29" spans="1:4" s="88" customFormat="1" ht="23.25" customHeight="1" x14ac:dyDescent="0.25">
      <c r="A29" s="785"/>
      <c r="B29" s="153" t="s">
        <v>578</v>
      </c>
      <c r="C29" s="784"/>
      <c r="D29" s="783"/>
    </row>
    <row r="30" spans="1:4" s="88" customFormat="1" ht="23.25" customHeight="1" thickBot="1" x14ac:dyDescent="0.3">
      <c r="A30" s="785"/>
      <c r="B30" s="153"/>
      <c r="C30" s="784"/>
      <c r="D30" s="783"/>
    </row>
    <row r="31" spans="1:4" s="88" customFormat="1" ht="20.100000000000001" customHeight="1" thickTop="1" thickBot="1" x14ac:dyDescent="0.35">
      <c r="A31" s="785"/>
      <c r="B31" s="80"/>
      <c r="C31" s="2037" t="s">
        <v>1172</v>
      </c>
      <c r="D31" s="783"/>
    </row>
    <row r="32" spans="1:4" s="88" customFormat="1" ht="20.100000000000001" customHeight="1" thickTop="1" x14ac:dyDescent="0.3">
      <c r="A32" s="785"/>
      <c r="B32" s="81"/>
      <c r="C32" s="2039"/>
      <c r="D32" s="783"/>
    </row>
    <row r="33" spans="1:4" s="88" customFormat="1" ht="20.100000000000001" customHeight="1" thickBot="1" x14ac:dyDescent="0.35">
      <c r="A33" s="785"/>
      <c r="B33" s="81"/>
      <c r="C33" s="793"/>
      <c r="D33" s="783"/>
    </row>
    <row r="34" spans="1:4" s="88" customFormat="1" ht="20.100000000000001" customHeight="1" thickTop="1" thickBot="1" x14ac:dyDescent="0.3">
      <c r="A34" s="785"/>
      <c r="B34" s="82"/>
      <c r="C34" s="2037" t="s">
        <v>1100</v>
      </c>
      <c r="D34" s="783"/>
    </row>
    <row r="35" spans="1:4" s="88" customFormat="1" ht="20.100000000000001" customHeight="1" thickTop="1" x14ac:dyDescent="0.25">
      <c r="A35" s="785"/>
      <c r="B35" s="8"/>
      <c r="C35" s="2038"/>
      <c r="D35" s="783"/>
    </row>
    <row r="36" spans="1:4" s="88" customFormat="1" ht="20.100000000000001" customHeight="1" thickBot="1" x14ac:dyDescent="0.35">
      <c r="A36" s="785"/>
      <c r="B36" s="81"/>
      <c r="C36" s="2039"/>
      <c r="D36" s="783"/>
    </row>
    <row r="37" spans="1:4" s="88" customFormat="1" ht="20.25" thickTop="1" thickBot="1" x14ac:dyDescent="0.35">
      <c r="A37" s="785"/>
      <c r="B37" s="83"/>
      <c r="C37" s="2029" t="s">
        <v>1197</v>
      </c>
      <c r="D37" s="783"/>
    </row>
    <row r="38" spans="1:4" s="88" customFormat="1" ht="20.100000000000001" customHeight="1" thickTop="1" x14ac:dyDescent="0.3">
      <c r="A38" s="785"/>
      <c r="B38" s="84"/>
      <c r="C38" s="2030"/>
      <c r="D38" s="783"/>
    </row>
    <row r="39" spans="1:4" s="88" customFormat="1" ht="20.100000000000001" customHeight="1" x14ac:dyDescent="0.3">
      <c r="A39" s="785"/>
      <c r="B39" s="84"/>
      <c r="C39" s="792"/>
      <c r="D39" s="783"/>
    </row>
    <row r="40" spans="1:4" s="88" customFormat="1" ht="20.100000000000001" customHeight="1" x14ac:dyDescent="0.25">
      <c r="A40" s="785"/>
      <c r="B40" s="791" t="s">
        <v>1099</v>
      </c>
      <c r="C40" s="791"/>
      <c r="D40" s="783"/>
    </row>
    <row r="41" spans="1:4" s="88" customFormat="1" ht="20.100000000000001" customHeight="1" x14ac:dyDescent="0.25">
      <c r="A41" s="785"/>
      <c r="B41" s="790"/>
      <c r="C41" s="790"/>
      <c r="D41" s="783"/>
    </row>
    <row r="42" spans="1:4" s="787" customFormat="1" ht="20.100000000000001" customHeight="1" x14ac:dyDescent="0.2">
      <c r="A42" s="789"/>
      <c r="B42" s="2020" t="s">
        <v>1098</v>
      </c>
      <c r="C42" s="2020"/>
      <c r="D42" s="788"/>
    </row>
    <row r="43" spans="1:4" s="88" customFormat="1" ht="20.100000000000001" customHeight="1" x14ac:dyDescent="0.25">
      <c r="A43" s="785"/>
      <c r="B43" s="2020"/>
      <c r="C43" s="2020"/>
      <c r="D43" s="783"/>
    </row>
    <row r="44" spans="1:4" s="88" customFormat="1" ht="20.100000000000001" customHeight="1" x14ac:dyDescent="0.25">
      <c r="A44" s="785"/>
      <c r="B44" s="771"/>
      <c r="C44" s="771"/>
      <c r="D44" s="783"/>
    </row>
    <row r="45" spans="1:4" s="88" customFormat="1" ht="20.100000000000001" customHeight="1" x14ac:dyDescent="0.25">
      <c r="A45" s="785"/>
      <c r="B45" s="537" t="s">
        <v>1041</v>
      </c>
      <c r="C45" s="772"/>
      <c r="D45" s="783"/>
    </row>
    <row r="46" spans="1:4" s="88" customFormat="1" ht="20.100000000000001" customHeight="1" x14ac:dyDescent="0.25">
      <c r="A46" s="785"/>
      <c r="B46" s="2020" t="s">
        <v>1108</v>
      </c>
      <c r="C46" s="2020"/>
      <c r="D46" s="783"/>
    </row>
    <row r="47" spans="1:4" s="88" customFormat="1" ht="20.100000000000001" customHeight="1" x14ac:dyDescent="0.25">
      <c r="A47" s="785"/>
      <c r="B47" s="2020"/>
      <c r="C47" s="2020"/>
      <c r="D47" s="783"/>
    </row>
    <row r="48" spans="1:4" s="88" customFormat="1" ht="20.100000000000001" customHeight="1" x14ac:dyDescent="0.25">
      <c r="A48" s="785"/>
      <c r="B48" s="2020"/>
      <c r="C48" s="2020"/>
      <c r="D48" s="783"/>
    </row>
    <row r="49" spans="1:4" s="88" customFormat="1" ht="20.100000000000001" customHeight="1" x14ac:dyDescent="0.25">
      <c r="A49" s="785"/>
      <c r="B49" s="2020"/>
      <c r="C49" s="2020"/>
      <c r="D49" s="783"/>
    </row>
    <row r="50" spans="1:4" s="88" customFormat="1" ht="20.100000000000001" customHeight="1" x14ac:dyDescent="0.25">
      <c r="A50" s="785"/>
      <c r="B50" s="642" t="s">
        <v>1088</v>
      </c>
      <c r="C50" s="642"/>
      <c r="D50" s="783"/>
    </row>
    <row r="51" spans="1:4" s="88" customFormat="1" ht="20.100000000000001" customHeight="1" x14ac:dyDescent="0.25">
      <c r="A51" s="785"/>
      <c r="B51" s="771"/>
      <c r="C51" s="771"/>
      <c r="D51" s="783"/>
    </row>
    <row r="52" spans="1:4" s="88" customFormat="1" ht="20.100000000000001" customHeight="1" thickBot="1" x14ac:dyDescent="0.3">
      <c r="A52" s="785"/>
      <c r="B52" s="767" t="s">
        <v>1097</v>
      </c>
      <c r="C52" s="771"/>
      <c r="D52" s="783"/>
    </row>
    <row r="53" spans="1:4" s="88" customFormat="1" ht="18" customHeight="1" x14ac:dyDescent="0.25">
      <c r="A53" s="785"/>
      <c r="B53" s="2025" t="s">
        <v>1107</v>
      </c>
      <c r="C53" s="2026"/>
      <c r="D53" s="783"/>
    </row>
    <row r="54" spans="1:4" s="88" customFormat="1" ht="18.75" thickBot="1" x14ac:dyDescent="0.3">
      <c r="A54" s="785"/>
      <c r="B54" s="2027"/>
      <c r="C54" s="2028"/>
      <c r="D54" s="783"/>
    </row>
    <row r="55" spans="1:4" s="88" customFormat="1" ht="18" x14ac:dyDescent="0.25">
      <c r="A55" s="785"/>
      <c r="B55" s="784"/>
      <c r="C55" s="784"/>
      <c r="D55" s="783"/>
    </row>
    <row r="56" spans="1:4" s="88" customFormat="1" ht="18" x14ac:dyDescent="0.25">
      <c r="A56" s="785"/>
      <c r="B56" s="79" t="s">
        <v>579</v>
      </c>
      <c r="C56" s="784"/>
      <c r="D56" s="783"/>
    </row>
    <row r="57" spans="1:4" s="88" customFormat="1" ht="20.100000000000001" customHeight="1" x14ac:dyDescent="0.25">
      <c r="A57" s="785"/>
      <c r="B57" s="2022" t="s">
        <v>2116</v>
      </c>
      <c r="C57" s="2021"/>
      <c r="D57" s="783"/>
    </row>
    <row r="58" spans="1:4" s="88" customFormat="1" ht="20.100000000000001" customHeight="1" x14ac:dyDescent="0.25">
      <c r="A58" s="785"/>
      <c r="B58" s="2021"/>
      <c r="C58" s="2021"/>
      <c r="D58" s="783"/>
    </row>
    <row r="59" spans="1:4" s="88" customFormat="1" ht="20.100000000000001" customHeight="1" x14ac:dyDescent="0.25">
      <c r="A59" s="785"/>
      <c r="B59" s="2021"/>
      <c r="C59" s="2021"/>
      <c r="D59" s="783"/>
    </row>
    <row r="60" spans="1:4" s="88" customFormat="1" ht="20.100000000000001" customHeight="1" x14ac:dyDescent="0.25">
      <c r="A60" s="785"/>
      <c r="B60" s="2023"/>
      <c r="C60" s="2023"/>
      <c r="D60" s="783"/>
    </row>
    <row r="61" spans="1:4" s="88" customFormat="1" ht="18.75" x14ac:dyDescent="0.3">
      <c r="A61" s="785"/>
      <c r="B61" s="153" t="s">
        <v>2117</v>
      </c>
      <c r="C61" s="784"/>
      <c r="D61" s="783"/>
    </row>
    <row r="62" spans="1:4" s="88" customFormat="1" ht="18" x14ac:dyDescent="0.25">
      <c r="A62" s="785"/>
      <c r="B62" s="153"/>
      <c r="C62" s="784"/>
      <c r="D62" s="783"/>
    </row>
    <row r="63" spans="1:4" s="88" customFormat="1" ht="18" x14ac:dyDescent="0.25">
      <c r="A63" s="785"/>
      <c r="B63" s="79" t="s">
        <v>568</v>
      </c>
      <c r="C63" s="784"/>
      <c r="D63" s="783"/>
    </row>
    <row r="64" spans="1:4" s="88" customFormat="1" ht="18" x14ac:dyDescent="0.25">
      <c r="A64" s="785"/>
      <c r="B64" s="153" t="s">
        <v>1109</v>
      </c>
      <c r="C64" s="784"/>
      <c r="D64" s="783"/>
    </row>
    <row r="65" spans="1:4" s="88" customFormat="1" ht="18" x14ac:dyDescent="0.25">
      <c r="A65" s="785"/>
      <c r="B65" s="153"/>
      <c r="C65" s="784"/>
      <c r="D65" s="783"/>
    </row>
    <row r="66" spans="1:4" s="88" customFormat="1" ht="20.100000000000001" customHeight="1" x14ac:dyDescent="0.25">
      <c r="A66" s="785"/>
      <c r="B66" s="2020" t="s">
        <v>1110</v>
      </c>
      <c r="C66" s="2021"/>
      <c r="D66" s="783"/>
    </row>
    <row r="67" spans="1:4" s="88" customFormat="1" ht="20.100000000000001" customHeight="1" x14ac:dyDescent="0.25">
      <c r="A67" s="785"/>
      <c r="B67" s="2021"/>
      <c r="C67" s="2021"/>
      <c r="D67" s="783"/>
    </row>
    <row r="68" spans="1:4" s="88" customFormat="1" ht="20.100000000000001" customHeight="1" x14ac:dyDescent="0.25">
      <c r="A68" s="785"/>
      <c r="B68" s="786"/>
      <c r="C68" s="786"/>
      <c r="D68" s="783"/>
    </row>
    <row r="69" spans="1:4" s="88" customFormat="1" ht="20.100000000000001" customHeight="1" x14ac:dyDescent="0.25">
      <c r="A69" s="785"/>
      <c r="B69" s="2024" t="s">
        <v>1096</v>
      </c>
      <c r="C69" s="2024"/>
      <c r="D69" s="783"/>
    </row>
    <row r="70" spans="1:4" s="88" customFormat="1" ht="20.100000000000001" customHeight="1" x14ac:dyDescent="0.25">
      <c r="A70" s="785"/>
      <c r="B70" s="2024"/>
      <c r="C70" s="2024"/>
      <c r="D70" s="783"/>
    </row>
    <row r="71" spans="1:4" s="88" customFormat="1" ht="20.100000000000001" customHeight="1" x14ac:dyDescent="0.25">
      <c r="A71" s="785"/>
      <c r="B71" s="2024"/>
      <c r="C71" s="2024"/>
      <c r="D71" s="783"/>
    </row>
    <row r="72" spans="1:4" s="88" customFormat="1" ht="18" x14ac:dyDescent="0.25">
      <c r="A72" s="785"/>
      <c r="B72" s="778"/>
      <c r="C72" s="778"/>
      <c r="D72" s="783"/>
    </row>
    <row r="73" spans="1:4" s="88" customFormat="1" ht="18" x14ac:dyDescent="0.25">
      <c r="A73" s="785"/>
      <c r="B73" s="153" t="s">
        <v>1111</v>
      </c>
      <c r="C73" s="784"/>
      <c r="D73" s="783"/>
    </row>
    <row r="74" spans="1:4" s="88" customFormat="1" ht="18" x14ac:dyDescent="0.25">
      <c r="A74" s="785"/>
      <c r="B74" s="370"/>
      <c r="C74" s="784"/>
      <c r="D74" s="783"/>
    </row>
    <row r="75" spans="1:4" s="88" customFormat="1" ht="20.100000000000001" customHeight="1" x14ac:dyDescent="0.25">
      <c r="A75" s="785"/>
      <c r="B75" s="153" t="s">
        <v>1112</v>
      </c>
      <c r="C75" s="784"/>
      <c r="D75" s="783"/>
    </row>
    <row r="76" spans="1:4" s="88" customFormat="1" ht="20.100000000000001" customHeight="1" x14ac:dyDescent="0.25">
      <c r="A76" s="785"/>
      <c r="B76" s="86" t="s">
        <v>1095</v>
      </c>
      <c r="C76" s="784"/>
      <c r="D76" s="783"/>
    </row>
    <row r="77" spans="1:4" s="88" customFormat="1" ht="18.75" thickBot="1" x14ac:dyDescent="0.3">
      <c r="A77" s="782"/>
      <c r="B77" s="781"/>
      <c r="C77" s="781"/>
      <c r="D77" s="780"/>
    </row>
    <row r="78" spans="1:4" ht="15" x14ac:dyDescent="0.2">
      <c r="B78" s="779"/>
    </row>
    <row r="79" spans="1:4" ht="15" x14ac:dyDescent="0.2">
      <c r="B79" s="779"/>
    </row>
    <row r="80" spans="1:4" ht="15" x14ac:dyDescent="0.2">
      <c r="B80" s="779"/>
    </row>
    <row r="81" spans="2:2" ht="15" x14ac:dyDescent="0.2">
      <c r="B81" s="779"/>
    </row>
    <row r="82" spans="2:2" ht="15" x14ac:dyDescent="0.2">
      <c r="B82" s="779"/>
    </row>
  </sheetData>
  <sheetProtection sheet="1" objects="1" scenarios="1"/>
  <mergeCells count="18">
    <mergeCell ref="B42:C43"/>
    <mergeCell ref="C37:C38"/>
    <mergeCell ref="A4:D4"/>
    <mergeCell ref="A5:D5"/>
    <mergeCell ref="A7:D7"/>
    <mergeCell ref="A9:D9"/>
    <mergeCell ref="C34:C36"/>
    <mergeCell ref="C31:C32"/>
    <mergeCell ref="B21:C22"/>
    <mergeCell ref="B26:C28"/>
    <mergeCell ref="B13:C13"/>
    <mergeCell ref="A11:D11"/>
    <mergeCell ref="B15:C16"/>
    <mergeCell ref="B66:C67"/>
    <mergeCell ref="B57:C60"/>
    <mergeCell ref="B69:C71"/>
    <mergeCell ref="B53:C54"/>
    <mergeCell ref="B46:C49"/>
  </mergeCells>
  <hyperlinks>
    <hyperlink ref="B76" r:id="rId1"/>
  </hyperlinks>
  <printOptions horizontalCentered="1" verticalCentered="1"/>
  <pageMargins left="0.74803149606299213" right="0.74803149606299213" top="0.78740157480314965" bottom="0.78740157480314965" header="0.51181102362204722" footer="0.51181102362204722"/>
  <pageSetup paperSize="9" scale="51"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Q1561"/>
  <sheetViews>
    <sheetView workbookViewId="0">
      <pane xSplit="2" ySplit="4" topLeftCell="C5" activePane="bottomRight" state="frozen"/>
      <selection sqref="A1:J1"/>
      <selection pane="topRight" sqref="A1:J1"/>
      <selection pane="bottomLeft" sqref="A1:J1"/>
      <selection pane="bottomRight" sqref="A1:J1"/>
    </sheetView>
  </sheetViews>
  <sheetFormatPr defaultColWidth="9.140625" defaultRowHeight="12.75" x14ac:dyDescent="0.2"/>
  <cols>
    <col min="1" max="1" width="7.5703125" style="1028" customWidth="1"/>
    <col min="2" max="2" width="28.42578125" style="1028" bestFit="1" customWidth="1"/>
    <col min="3" max="3" width="10.5703125" style="1029" customWidth="1"/>
    <col min="4" max="4" width="8.7109375" style="1028" customWidth="1"/>
    <col min="5" max="5" width="23.28515625" style="1028" customWidth="1"/>
    <col min="6" max="6" width="11.28515625" style="1029" customWidth="1"/>
    <col min="7" max="7" width="6.85546875" style="1028" customWidth="1"/>
    <col min="8" max="8" width="33" style="1028" customWidth="1"/>
    <col min="9" max="9" width="11.140625" style="1029" customWidth="1"/>
    <col min="10" max="10" width="7.7109375" style="1029" customWidth="1"/>
    <col min="11" max="11" width="1.5703125" style="1029" customWidth="1"/>
    <col min="12" max="12" width="13" style="1029" customWidth="1"/>
    <col min="13" max="13" width="8.28515625" style="1029" customWidth="1"/>
    <col min="14" max="14" width="25.28515625" style="1029" customWidth="1"/>
    <col min="15" max="15" width="12.42578125" style="1029" customWidth="1"/>
    <col min="16" max="16" width="8" style="1029" customWidth="1"/>
    <col min="17" max="17" width="33.140625" style="1029" customWidth="1"/>
    <col min="18" max="18" width="10.5703125" style="1029" customWidth="1"/>
    <col min="19" max="19" width="9.140625" style="1031"/>
    <col min="20" max="20" width="11.42578125" style="953" customWidth="1"/>
    <col min="21" max="21" width="36.42578125" style="894" customWidth="1"/>
    <col min="22" max="22" width="30" style="894" customWidth="1"/>
    <col min="23" max="23" width="26.140625" style="894" bestFit="1" customWidth="1"/>
    <col min="24" max="24" width="8" style="1029" customWidth="1"/>
    <col min="25" max="27" width="16.7109375" style="1033" customWidth="1"/>
    <col min="28" max="28" width="12.85546875" style="1029" customWidth="1"/>
    <col min="29" max="31" width="9.140625" style="1011" customWidth="1"/>
    <col min="32" max="33" width="15.85546875" style="1011" customWidth="1"/>
    <col min="34" max="35" width="9.140625" style="1011"/>
    <col min="36" max="36" width="25.7109375" style="1011" bestFit="1" customWidth="1"/>
    <col min="37" max="37" width="44.28515625" style="1011" bestFit="1" customWidth="1"/>
    <col min="38" max="16384" width="9.140625" style="1011"/>
  </cols>
  <sheetData>
    <row r="1" spans="1:43" ht="15.75" x14ac:dyDescent="0.2">
      <c r="A1" s="2350" t="s">
        <v>1092</v>
      </c>
      <c r="B1" s="2351"/>
      <c r="C1" s="2351"/>
      <c r="D1" s="2351"/>
      <c r="E1" s="2351"/>
      <c r="F1" s="2351"/>
      <c r="G1" s="2351"/>
      <c r="H1" s="2351"/>
      <c r="I1" s="2351"/>
      <c r="J1" s="2351"/>
      <c r="K1" s="1096"/>
      <c r="L1" s="1100"/>
      <c r="M1" s="1100"/>
      <c r="N1" s="1100"/>
      <c r="O1" s="1100"/>
      <c r="P1" s="1100"/>
      <c r="Q1" s="1100"/>
      <c r="R1" s="1100"/>
      <c r="S1" s="1101"/>
      <c r="T1" s="946"/>
      <c r="U1" s="876"/>
      <c r="V1" s="876"/>
      <c r="W1" s="876"/>
      <c r="X1" s="1009"/>
      <c r="Y1" s="976"/>
      <c r="Z1" s="977"/>
      <c r="AA1" s="917"/>
      <c r="AB1" s="1010"/>
    </row>
    <row r="2" spans="1:43" ht="15" x14ac:dyDescent="0.2">
      <c r="A2" s="1012"/>
      <c r="B2" s="1013"/>
      <c r="C2" s="1014"/>
      <c r="D2" s="1013"/>
      <c r="E2" s="1013"/>
      <c r="F2" s="1014"/>
      <c r="G2" s="1013"/>
      <c r="H2" s="1013"/>
      <c r="I2" s="1014"/>
      <c r="J2" s="1014"/>
      <c r="K2" s="1097"/>
      <c r="L2" s="1102"/>
      <c r="M2" s="1102"/>
      <c r="N2" s="1102"/>
      <c r="O2" s="1102"/>
      <c r="P2" s="1102"/>
      <c r="Q2" s="1102"/>
      <c r="R2" s="1102"/>
      <c r="S2" s="1103"/>
      <c r="T2" s="947"/>
      <c r="U2" s="877"/>
      <c r="V2" s="877"/>
      <c r="W2" s="877"/>
      <c r="X2" s="1015"/>
      <c r="Y2" s="918"/>
      <c r="Z2" s="878"/>
      <c r="AA2" s="919"/>
      <c r="AB2" s="1016"/>
    </row>
    <row r="3" spans="1:43" s="434" customFormat="1" ht="15.75" thickBot="1" x14ac:dyDescent="0.25">
      <c r="A3" s="904">
        <v>1</v>
      </c>
      <c r="B3" s="905">
        <v>2</v>
      </c>
      <c r="C3" s="905">
        <v>3</v>
      </c>
      <c r="D3" s="905">
        <v>4</v>
      </c>
      <c r="E3" s="905">
        <v>5</v>
      </c>
      <c r="F3" s="905">
        <v>6</v>
      </c>
      <c r="G3" s="905">
        <v>7</v>
      </c>
      <c r="H3" s="905">
        <v>8</v>
      </c>
      <c r="I3" s="905">
        <v>9</v>
      </c>
      <c r="J3" s="905">
        <v>10</v>
      </c>
      <c r="K3" s="1098"/>
      <c r="L3" s="905">
        <v>12</v>
      </c>
      <c r="M3" s="905">
        <v>13</v>
      </c>
      <c r="N3" s="905">
        <v>14</v>
      </c>
      <c r="O3" s="905">
        <v>15</v>
      </c>
      <c r="P3" s="905">
        <v>16</v>
      </c>
      <c r="Q3" s="905">
        <v>17</v>
      </c>
      <c r="R3" s="905">
        <v>18</v>
      </c>
      <c r="S3" s="905">
        <v>19</v>
      </c>
      <c r="T3" s="906">
        <v>20</v>
      </c>
      <c r="U3" s="906">
        <v>21</v>
      </c>
      <c r="V3" s="906">
        <v>22</v>
      </c>
      <c r="W3" s="906">
        <v>23</v>
      </c>
      <c r="X3" s="935">
        <v>24</v>
      </c>
      <c r="Y3" s="920">
        <v>25</v>
      </c>
      <c r="Z3" s="907">
        <v>26</v>
      </c>
      <c r="AA3" s="921">
        <v>27</v>
      </c>
      <c r="AB3" s="909">
        <v>28</v>
      </c>
      <c r="AC3" s="1034">
        <v>29</v>
      </c>
      <c r="AD3" s="1034">
        <v>30</v>
      </c>
      <c r="AE3" s="1034">
        <v>31</v>
      </c>
      <c r="AF3" s="1034">
        <v>32</v>
      </c>
      <c r="AG3" s="1034">
        <v>33</v>
      </c>
    </row>
    <row r="4" spans="1:43" s="903" customFormat="1" ht="51" x14ac:dyDescent="0.2">
      <c r="A4" s="901" t="s">
        <v>790</v>
      </c>
      <c r="B4" s="902" t="s">
        <v>596</v>
      </c>
      <c r="C4" s="942" t="s">
        <v>2239</v>
      </c>
      <c r="D4" s="902" t="s">
        <v>790</v>
      </c>
      <c r="E4" s="902" t="s">
        <v>597</v>
      </c>
      <c r="F4" s="942" t="s">
        <v>2240</v>
      </c>
      <c r="G4" s="902" t="s">
        <v>790</v>
      </c>
      <c r="H4" s="902" t="s">
        <v>598</v>
      </c>
      <c r="I4" s="942" t="s">
        <v>2241</v>
      </c>
      <c r="J4" s="942" t="s">
        <v>2245</v>
      </c>
      <c r="K4" s="1099"/>
      <c r="L4" s="942" t="s">
        <v>2242</v>
      </c>
      <c r="M4" s="902" t="s">
        <v>790</v>
      </c>
      <c r="N4" s="902" t="s">
        <v>597</v>
      </c>
      <c r="O4" s="942" t="s">
        <v>2243</v>
      </c>
      <c r="P4" s="902" t="s">
        <v>790</v>
      </c>
      <c r="Q4" s="902" t="s">
        <v>598</v>
      </c>
      <c r="R4" s="942" t="s">
        <v>2244</v>
      </c>
      <c r="S4" s="942" t="s">
        <v>2246</v>
      </c>
      <c r="T4" s="908" t="s">
        <v>1093</v>
      </c>
      <c r="U4" s="2355" t="s">
        <v>1006</v>
      </c>
      <c r="V4" s="2355"/>
      <c r="W4" s="2355"/>
      <c r="X4" s="936" t="s">
        <v>1042</v>
      </c>
      <c r="Y4" s="2352" t="s">
        <v>1078</v>
      </c>
      <c r="Z4" s="2353"/>
      <c r="AA4" s="2354"/>
      <c r="AB4" s="910" t="s">
        <v>1079</v>
      </c>
      <c r="AC4" s="2352" t="s">
        <v>1203</v>
      </c>
      <c r="AD4" s="2353"/>
      <c r="AE4" s="2354"/>
      <c r="AF4" s="1111" t="s">
        <v>2259</v>
      </c>
      <c r="AG4" s="1111"/>
    </row>
    <row r="5" spans="1:43" s="166" customFormat="1" ht="38.25" x14ac:dyDescent="0.2">
      <c r="A5" s="879"/>
      <c r="B5" s="880"/>
      <c r="C5" s="943"/>
      <c r="D5" s="880"/>
      <c r="E5" s="880"/>
      <c r="F5" s="943"/>
      <c r="G5" s="880"/>
      <c r="H5" s="880"/>
      <c r="I5" s="943"/>
      <c r="J5" s="943"/>
      <c r="K5" s="943"/>
      <c r="L5" s="943"/>
      <c r="M5" s="943"/>
      <c r="N5" s="943"/>
      <c r="O5" s="943"/>
      <c r="P5" s="943"/>
      <c r="Q5" s="943"/>
      <c r="R5" s="943"/>
      <c r="S5" s="881"/>
      <c r="T5" s="948"/>
      <c r="U5" s="877"/>
      <c r="V5" s="877"/>
      <c r="W5" s="877"/>
      <c r="X5" s="1017"/>
      <c r="Y5" s="922"/>
      <c r="Z5" s="882"/>
      <c r="AA5" s="923"/>
      <c r="AB5" s="911"/>
      <c r="AI5" s="166" t="s">
        <v>1113</v>
      </c>
      <c r="AJ5" s="166" t="s">
        <v>1210</v>
      </c>
      <c r="AK5" s="166" t="s">
        <v>1211</v>
      </c>
      <c r="AL5" s="166" t="s">
        <v>1212</v>
      </c>
      <c r="AM5" s="166" t="s">
        <v>1213</v>
      </c>
      <c r="AN5" s="166" t="s">
        <v>1214</v>
      </c>
      <c r="AO5" s="166" t="s">
        <v>1199</v>
      </c>
      <c r="AP5" s="166" t="s">
        <v>1201</v>
      </c>
      <c r="AQ5" s="166" t="s">
        <v>1200</v>
      </c>
    </row>
    <row r="6" spans="1:43" ht="15" x14ac:dyDescent="0.2">
      <c r="A6" s="1018" t="s">
        <v>843</v>
      </c>
      <c r="B6" s="1019" t="s">
        <v>842</v>
      </c>
      <c r="C6" s="1020">
        <v>0.4</v>
      </c>
      <c r="D6" s="597" t="s">
        <v>760</v>
      </c>
      <c r="E6" s="597" t="s">
        <v>761</v>
      </c>
      <c r="F6" s="1020">
        <v>0.1</v>
      </c>
      <c r="G6" s="597" t="s">
        <v>600</v>
      </c>
      <c r="H6" s="597" t="s">
        <v>639</v>
      </c>
      <c r="I6" s="1020">
        <v>0</v>
      </c>
      <c r="J6" s="1020">
        <f t="shared" ref="J6:J69" si="0">+C6+F6+I6</f>
        <v>0.5</v>
      </c>
      <c r="K6" s="1020"/>
      <c r="L6" s="1020">
        <v>0.4</v>
      </c>
      <c r="M6" s="597" t="s">
        <v>760</v>
      </c>
      <c r="N6" s="597" t="s">
        <v>761</v>
      </c>
      <c r="O6" s="1020">
        <v>0.1</v>
      </c>
      <c r="P6" s="597" t="s">
        <v>600</v>
      </c>
      <c r="Q6" s="597" t="s">
        <v>639</v>
      </c>
      <c r="R6" s="1020">
        <v>0</v>
      </c>
      <c r="S6" s="1020">
        <f t="shared" ref="S6:S69" si="1">+L6+O6+R6</f>
        <v>0.5</v>
      </c>
      <c r="T6" s="947"/>
      <c r="U6" s="877"/>
      <c r="V6" s="877"/>
      <c r="W6" s="877"/>
      <c r="X6" s="1015"/>
      <c r="Y6" s="924"/>
      <c r="Z6" s="883"/>
      <c r="AA6" s="925"/>
      <c r="AB6" s="912"/>
      <c r="AC6" s="1011" t="s">
        <v>1206</v>
      </c>
      <c r="AD6" s="1011" t="s">
        <v>1206</v>
      </c>
      <c r="AE6" s="1011" t="s">
        <v>1206</v>
      </c>
      <c r="AF6" s="1011" t="s">
        <v>1206</v>
      </c>
      <c r="AH6" s="1011" t="b">
        <f t="shared" ref="AH6:AH69" si="2">+A6=AI6</f>
        <v>1</v>
      </c>
      <c r="AI6" s="1011" t="s">
        <v>843</v>
      </c>
      <c r="AJ6" s="1011" t="s">
        <v>842</v>
      </c>
      <c r="AK6" s="1011" t="s">
        <v>1215</v>
      </c>
      <c r="AL6" s="1011" t="s">
        <v>1216</v>
      </c>
    </row>
    <row r="7" spans="1:43" ht="15" x14ac:dyDescent="0.2">
      <c r="A7" s="1018" t="s">
        <v>845</v>
      </c>
      <c r="B7" s="1019" t="s">
        <v>844</v>
      </c>
      <c r="C7" s="1020">
        <v>0.4</v>
      </c>
      <c r="D7" s="597" t="s">
        <v>640</v>
      </c>
      <c r="E7" s="597" t="s">
        <v>641</v>
      </c>
      <c r="F7" s="1020">
        <v>0.1</v>
      </c>
      <c r="G7" s="597" t="s">
        <v>600</v>
      </c>
      <c r="H7" s="597" t="s">
        <v>639</v>
      </c>
      <c r="I7" s="1020">
        <v>0</v>
      </c>
      <c r="J7" s="1020">
        <f t="shared" si="0"/>
        <v>0.5</v>
      </c>
      <c r="K7" s="1020"/>
      <c r="L7" s="1020">
        <v>0.4</v>
      </c>
      <c r="M7" s="597" t="s">
        <v>640</v>
      </c>
      <c r="N7" s="597" t="s">
        <v>641</v>
      </c>
      <c r="O7" s="1020">
        <v>0.1</v>
      </c>
      <c r="P7" s="597" t="s">
        <v>600</v>
      </c>
      <c r="Q7" s="597" t="s">
        <v>639</v>
      </c>
      <c r="R7" s="1020">
        <v>0</v>
      </c>
      <c r="S7" s="1020">
        <f t="shared" si="1"/>
        <v>0.5</v>
      </c>
      <c r="T7" s="947"/>
      <c r="U7" s="877"/>
      <c r="V7" s="877"/>
      <c r="W7" s="877"/>
      <c r="X7" s="1015"/>
      <c r="Y7" s="924"/>
      <c r="Z7" s="883"/>
      <c r="AA7" s="925"/>
      <c r="AB7" s="912"/>
      <c r="AC7" s="1011" t="s">
        <v>1206</v>
      </c>
      <c r="AD7" s="1011" t="s">
        <v>1206</v>
      </c>
      <c r="AE7" s="1011" t="s">
        <v>1206</v>
      </c>
      <c r="AF7" s="1011" t="s">
        <v>1206</v>
      </c>
      <c r="AH7" s="1011" t="b">
        <f t="shared" si="2"/>
        <v>1</v>
      </c>
      <c r="AI7" s="1011" t="s">
        <v>845</v>
      </c>
      <c r="AJ7" s="1011" t="s">
        <v>844</v>
      </c>
      <c r="AK7" s="1011" t="s">
        <v>1217</v>
      </c>
      <c r="AL7" s="1011" t="s">
        <v>1218</v>
      </c>
    </row>
    <row r="8" spans="1:43" ht="15" x14ac:dyDescent="0.2">
      <c r="A8" s="1018" t="s">
        <v>847</v>
      </c>
      <c r="B8" s="1019" t="s">
        <v>846</v>
      </c>
      <c r="C8" s="1020">
        <v>0.4</v>
      </c>
      <c r="D8" s="597" t="s">
        <v>645</v>
      </c>
      <c r="E8" s="597" t="s">
        <v>646</v>
      </c>
      <c r="F8" s="1020">
        <v>0.09</v>
      </c>
      <c r="G8" s="597" t="s">
        <v>643</v>
      </c>
      <c r="H8" s="597" t="s">
        <v>644</v>
      </c>
      <c r="I8" s="1020">
        <v>0.01</v>
      </c>
      <c r="J8" s="1020">
        <f t="shared" si="0"/>
        <v>0.5</v>
      </c>
      <c r="K8" s="1020"/>
      <c r="L8" s="1020">
        <v>0.4</v>
      </c>
      <c r="M8" s="597" t="s">
        <v>645</v>
      </c>
      <c r="N8" s="597" t="s">
        <v>646</v>
      </c>
      <c r="O8" s="1020">
        <v>0.09</v>
      </c>
      <c r="P8" s="597" t="s">
        <v>643</v>
      </c>
      <c r="Q8" s="597" t="s">
        <v>644</v>
      </c>
      <c r="R8" s="1020">
        <v>0.01</v>
      </c>
      <c r="S8" s="1020">
        <f t="shared" si="1"/>
        <v>0.5</v>
      </c>
      <c r="T8" s="947"/>
      <c r="U8" s="877"/>
      <c r="V8" s="884"/>
      <c r="W8" s="877"/>
      <c r="X8" s="1015"/>
      <c r="Y8" s="924"/>
      <c r="Z8" s="883"/>
      <c r="AA8" s="925"/>
      <c r="AB8" s="912"/>
      <c r="AC8" s="1011" t="s">
        <v>1206</v>
      </c>
      <c r="AD8" s="1011" t="s">
        <v>1206</v>
      </c>
      <c r="AE8" s="1011" t="s">
        <v>1206</v>
      </c>
      <c r="AF8" s="1011" t="s">
        <v>1206</v>
      </c>
      <c r="AH8" s="1011" t="b">
        <f t="shared" si="2"/>
        <v>1</v>
      </c>
      <c r="AI8" s="1011" t="s">
        <v>847</v>
      </c>
      <c r="AJ8" s="1011" t="s">
        <v>846</v>
      </c>
      <c r="AK8" s="1011" t="s">
        <v>1219</v>
      </c>
      <c r="AL8" s="1011" t="s">
        <v>1220</v>
      </c>
    </row>
    <row r="9" spans="1:43" ht="15" x14ac:dyDescent="0.2">
      <c r="A9" s="1018" t="s">
        <v>849</v>
      </c>
      <c r="B9" s="1019" t="s">
        <v>848</v>
      </c>
      <c r="C9" s="1020">
        <v>0.4</v>
      </c>
      <c r="D9" s="597" t="s">
        <v>760</v>
      </c>
      <c r="E9" s="597" t="s">
        <v>761</v>
      </c>
      <c r="F9" s="1020">
        <v>0.1</v>
      </c>
      <c r="G9" s="597" t="s">
        <v>600</v>
      </c>
      <c r="H9" s="597" t="s">
        <v>639</v>
      </c>
      <c r="I9" s="1020">
        <v>0</v>
      </c>
      <c r="J9" s="1020">
        <f t="shared" si="0"/>
        <v>0.5</v>
      </c>
      <c r="K9" s="1020"/>
      <c r="L9" s="1020">
        <v>0.4</v>
      </c>
      <c r="M9" s="597" t="s">
        <v>760</v>
      </c>
      <c r="N9" s="597" t="s">
        <v>761</v>
      </c>
      <c r="O9" s="1020">
        <v>0.1</v>
      </c>
      <c r="P9" s="597" t="s">
        <v>600</v>
      </c>
      <c r="Q9" s="597" t="s">
        <v>639</v>
      </c>
      <c r="R9" s="1020">
        <v>0</v>
      </c>
      <c r="S9" s="1020">
        <f t="shared" si="1"/>
        <v>0.5</v>
      </c>
      <c r="T9" s="947"/>
      <c r="U9" s="877"/>
      <c r="V9" s="877"/>
      <c r="W9" s="877"/>
      <c r="X9" s="1015"/>
      <c r="Y9" s="924"/>
      <c r="Z9" s="883"/>
      <c r="AA9" s="925"/>
      <c r="AB9" s="912"/>
      <c r="AC9" s="1011" t="s">
        <v>1206</v>
      </c>
      <c r="AD9" s="1011" t="s">
        <v>1206</v>
      </c>
      <c r="AE9" s="1011" t="s">
        <v>1206</v>
      </c>
      <c r="AF9" s="1011" t="s">
        <v>1206</v>
      </c>
      <c r="AH9" s="1011" t="b">
        <f t="shared" si="2"/>
        <v>1</v>
      </c>
      <c r="AI9" s="1011" t="s">
        <v>849</v>
      </c>
      <c r="AJ9" s="1011" t="s">
        <v>848</v>
      </c>
      <c r="AK9" s="1011" t="s">
        <v>1221</v>
      </c>
      <c r="AL9" s="1011" t="s">
        <v>1222</v>
      </c>
    </row>
    <row r="10" spans="1:43" ht="15" x14ac:dyDescent="0.2">
      <c r="A10" s="1018" t="s">
        <v>851</v>
      </c>
      <c r="B10" s="1019" t="s">
        <v>850</v>
      </c>
      <c r="C10" s="1020">
        <v>0.4</v>
      </c>
      <c r="D10" s="597" t="s">
        <v>736</v>
      </c>
      <c r="E10" s="597" t="s">
        <v>737</v>
      </c>
      <c r="F10" s="1020">
        <v>0.09</v>
      </c>
      <c r="G10" s="597" t="s">
        <v>734</v>
      </c>
      <c r="H10" s="597" t="s">
        <v>735</v>
      </c>
      <c r="I10" s="1020">
        <v>0.01</v>
      </c>
      <c r="J10" s="1020">
        <f t="shared" si="0"/>
        <v>0.5</v>
      </c>
      <c r="K10" s="1020"/>
      <c r="L10" s="1020">
        <v>0.4</v>
      </c>
      <c r="M10" s="597" t="s">
        <v>736</v>
      </c>
      <c r="N10" s="597" t="s">
        <v>737</v>
      </c>
      <c r="O10" s="1020">
        <v>0.09</v>
      </c>
      <c r="P10" s="597" t="s">
        <v>734</v>
      </c>
      <c r="Q10" s="597" t="s">
        <v>735</v>
      </c>
      <c r="R10" s="1020">
        <v>0.01</v>
      </c>
      <c r="S10" s="1020">
        <f t="shared" si="1"/>
        <v>0.5</v>
      </c>
      <c r="T10" s="949"/>
      <c r="U10" s="885"/>
      <c r="V10" s="885"/>
      <c r="W10" s="885"/>
      <c r="X10" s="1015"/>
      <c r="Y10" s="924"/>
      <c r="Z10" s="883"/>
      <c r="AA10" s="925"/>
      <c r="AB10" s="913"/>
      <c r="AC10" s="1011" t="s">
        <v>1206</v>
      </c>
      <c r="AD10" s="1011" t="s">
        <v>1206</v>
      </c>
      <c r="AE10" s="1011" t="s">
        <v>1206</v>
      </c>
      <c r="AF10" s="1011" t="s">
        <v>1206</v>
      </c>
      <c r="AH10" s="1011" t="b">
        <f t="shared" si="2"/>
        <v>1</v>
      </c>
      <c r="AI10" s="1011" t="s">
        <v>851</v>
      </c>
      <c r="AJ10" s="1011" t="s">
        <v>850</v>
      </c>
      <c r="AK10" s="1011" t="s">
        <v>1223</v>
      </c>
      <c r="AL10" s="1011" t="s">
        <v>1224</v>
      </c>
    </row>
    <row r="11" spans="1:43" ht="15" x14ac:dyDescent="0.2">
      <c r="A11" s="1018" t="s">
        <v>853</v>
      </c>
      <c r="B11" s="1021" t="s">
        <v>852</v>
      </c>
      <c r="C11" s="1020">
        <v>0.4</v>
      </c>
      <c r="D11" s="597" t="s">
        <v>704</v>
      </c>
      <c r="E11" s="597" t="s">
        <v>705</v>
      </c>
      <c r="F11" s="1020">
        <v>0.09</v>
      </c>
      <c r="G11" s="597" t="s">
        <v>702</v>
      </c>
      <c r="H11" s="597" t="s">
        <v>703</v>
      </c>
      <c r="I11" s="1020">
        <v>0.01</v>
      </c>
      <c r="J11" s="1020">
        <f t="shared" si="0"/>
        <v>0.5</v>
      </c>
      <c r="K11" s="1020"/>
      <c r="L11" s="1020">
        <v>0.4</v>
      </c>
      <c r="M11" s="597" t="s">
        <v>704</v>
      </c>
      <c r="N11" s="597" t="s">
        <v>705</v>
      </c>
      <c r="O11" s="1020">
        <v>0.09</v>
      </c>
      <c r="P11" s="597" t="s">
        <v>702</v>
      </c>
      <c r="Q11" s="597" t="s">
        <v>703</v>
      </c>
      <c r="R11" s="1020">
        <v>0.01</v>
      </c>
      <c r="S11" s="1020">
        <f t="shared" si="1"/>
        <v>0.5</v>
      </c>
      <c r="T11" s="947"/>
      <c r="U11" s="877"/>
      <c r="V11" s="877"/>
      <c r="W11" s="877"/>
      <c r="X11" s="1015"/>
      <c r="Y11" s="924"/>
      <c r="Z11" s="883"/>
      <c r="AA11" s="925"/>
      <c r="AB11" s="912"/>
      <c r="AC11" s="1011" t="s">
        <v>1206</v>
      </c>
      <c r="AD11" s="1011" t="s">
        <v>1206</v>
      </c>
      <c r="AE11" s="1011" t="s">
        <v>1206</v>
      </c>
      <c r="AF11" s="1011" t="s">
        <v>1206</v>
      </c>
      <c r="AH11" s="1011" t="b">
        <f t="shared" si="2"/>
        <v>1</v>
      </c>
      <c r="AI11" s="1011" t="s">
        <v>853</v>
      </c>
      <c r="AJ11" s="1011" t="s">
        <v>852</v>
      </c>
      <c r="AK11" s="1011" t="s">
        <v>1225</v>
      </c>
      <c r="AL11" s="1011" t="s">
        <v>1226</v>
      </c>
      <c r="AM11" s="1011" t="s">
        <v>1227</v>
      </c>
      <c r="AN11" s="1011" t="s">
        <v>1226</v>
      </c>
    </row>
    <row r="12" spans="1:43" ht="15" x14ac:dyDescent="0.2">
      <c r="A12" s="1018" t="s">
        <v>855</v>
      </c>
      <c r="B12" s="1019" t="s">
        <v>854</v>
      </c>
      <c r="C12" s="1020">
        <v>0.4</v>
      </c>
      <c r="D12" s="597" t="s">
        <v>621</v>
      </c>
      <c r="E12" s="597" t="s">
        <v>622</v>
      </c>
      <c r="F12" s="1020">
        <v>0.09</v>
      </c>
      <c r="G12" s="597" t="s">
        <v>619</v>
      </c>
      <c r="H12" s="597" t="s">
        <v>620</v>
      </c>
      <c r="I12" s="1020">
        <v>0.01</v>
      </c>
      <c r="J12" s="1020">
        <f t="shared" si="0"/>
        <v>0.5</v>
      </c>
      <c r="K12" s="1020"/>
      <c r="L12" s="1020">
        <v>0.4</v>
      </c>
      <c r="M12" s="597" t="s">
        <v>621</v>
      </c>
      <c r="N12" s="597" t="s">
        <v>622</v>
      </c>
      <c r="O12" s="1020">
        <v>0.09</v>
      </c>
      <c r="P12" s="597" t="s">
        <v>619</v>
      </c>
      <c r="Q12" s="597" t="s">
        <v>620</v>
      </c>
      <c r="R12" s="1020">
        <v>0.01</v>
      </c>
      <c r="S12" s="1020">
        <f t="shared" si="1"/>
        <v>0.5</v>
      </c>
      <c r="T12" s="947" t="s">
        <v>1005</v>
      </c>
      <c r="U12" s="886" t="s">
        <v>854</v>
      </c>
      <c r="V12" s="877"/>
      <c r="W12" s="877"/>
      <c r="X12" s="1015"/>
      <c r="Y12" s="1057">
        <v>25581</v>
      </c>
      <c r="Z12" s="964"/>
      <c r="AA12" s="1023"/>
      <c r="AB12" s="912"/>
      <c r="AC12" s="1011" t="s">
        <v>1206</v>
      </c>
      <c r="AD12" s="1011" t="s">
        <v>1206</v>
      </c>
      <c r="AE12" s="1011" t="s">
        <v>1206</v>
      </c>
      <c r="AF12" s="1011" t="s">
        <v>1206</v>
      </c>
      <c r="AH12" s="1011" t="b">
        <f t="shared" si="2"/>
        <v>1</v>
      </c>
      <c r="AI12" s="1011" t="s">
        <v>855</v>
      </c>
      <c r="AJ12" s="1011" t="s">
        <v>854</v>
      </c>
      <c r="AK12" s="1011" t="s">
        <v>1228</v>
      </c>
      <c r="AL12" s="1011" t="s">
        <v>1229</v>
      </c>
    </row>
    <row r="13" spans="1:43" ht="15.75" customHeight="1" x14ac:dyDescent="0.2">
      <c r="A13" s="1018" t="s">
        <v>857</v>
      </c>
      <c r="B13" s="1019" t="s">
        <v>856</v>
      </c>
      <c r="C13" s="1020">
        <v>0.4</v>
      </c>
      <c r="D13" s="597" t="s">
        <v>751</v>
      </c>
      <c r="E13" s="597" t="s">
        <v>752</v>
      </c>
      <c r="F13" s="1020">
        <v>0.1</v>
      </c>
      <c r="G13" s="597" t="s">
        <v>600</v>
      </c>
      <c r="H13" s="597" t="s">
        <v>639</v>
      </c>
      <c r="I13" s="1020">
        <v>0</v>
      </c>
      <c r="J13" s="1020">
        <f t="shared" si="0"/>
        <v>0.5</v>
      </c>
      <c r="K13" s="1020"/>
      <c r="L13" s="1020">
        <v>0.4</v>
      </c>
      <c r="M13" s="597" t="s">
        <v>751</v>
      </c>
      <c r="N13" s="597" t="s">
        <v>752</v>
      </c>
      <c r="O13" s="1020">
        <v>0.1</v>
      </c>
      <c r="P13" s="597" t="s">
        <v>600</v>
      </c>
      <c r="Q13" s="597" t="s">
        <v>639</v>
      </c>
      <c r="R13" s="1020">
        <v>0</v>
      </c>
      <c r="S13" s="1020">
        <f t="shared" si="1"/>
        <v>0.5</v>
      </c>
      <c r="T13" s="947"/>
      <c r="U13" s="887"/>
      <c r="V13" s="877"/>
      <c r="W13" s="877"/>
      <c r="X13" s="1015"/>
      <c r="Y13" s="965"/>
      <c r="Z13" s="966"/>
      <c r="AA13" s="967"/>
      <c r="AB13" s="912"/>
      <c r="AC13" s="1011" t="s">
        <v>1206</v>
      </c>
      <c r="AD13" s="1011" t="s">
        <v>1206</v>
      </c>
      <c r="AE13" s="1011" t="s">
        <v>1206</v>
      </c>
      <c r="AF13" s="1011" t="s">
        <v>1206</v>
      </c>
      <c r="AH13" s="1011" t="b">
        <f t="shared" si="2"/>
        <v>1</v>
      </c>
      <c r="AI13" s="1011" t="s">
        <v>857</v>
      </c>
      <c r="AJ13" s="1011" t="s">
        <v>856</v>
      </c>
      <c r="AK13" s="1011" t="s">
        <v>1230</v>
      </c>
      <c r="AL13" s="1011" t="s">
        <v>1231</v>
      </c>
    </row>
    <row r="14" spans="1:43" ht="15.75" customHeight="1" x14ac:dyDescent="0.2">
      <c r="A14" s="1018" t="s">
        <v>859</v>
      </c>
      <c r="B14" s="1019" t="s">
        <v>783</v>
      </c>
      <c r="C14" s="1020">
        <v>0.3</v>
      </c>
      <c r="D14" s="597" t="s">
        <v>779</v>
      </c>
      <c r="E14" s="597" t="s">
        <v>780</v>
      </c>
      <c r="F14" s="1020">
        <v>0.37</v>
      </c>
      <c r="G14" s="597" t="s">
        <v>600</v>
      </c>
      <c r="H14" s="597" t="s">
        <v>600</v>
      </c>
      <c r="I14" s="1020">
        <v>0</v>
      </c>
      <c r="J14" s="1020">
        <f t="shared" si="0"/>
        <v>0.66999999999999993</v>
      </c>
      <c r="K14" s="1020"/>
      <c r="L14" s="1020">
        <v>0.3</v>
      </c>
      <c r="M14" s="597" t="s">
        <v>779</v>
      </c>
      <c r="N14" s="597" t="s">
        <v>780</v>
      </c>
      <c r="O14" s="1020">
        <v>0.2</v>
      </c>
      <c r="P14" s="597" t="s">
        <v>600</v>
      </c>
      <c r="Q14" s="597" t="s">
        <v>600</v>
      </c>
      <c r="R14" s="1020">
        <v>0</v>
      </c>
      <c r="S14" s="1020">
        <f t="shared" si="1"/>
        <v>0.5</v>
      </c>
      <c r="T14" s="947"/>
      <c r="U14" s="877"/>
      <c r="V14" s="877"/>
      <c r="W14" s="877"/>
      <c r="X14" s="937" t="s">
        <v>1005</v>
      </c>
      <c r="Y14" s="924"/>
      <c r="Z14" s="883"/>
      <c r="AA14" s="925"/>
      <c r="AB14" s="914" t="s">
        <v>1005</v>
      </c>
      <c r="AC14" s="1011" t="s">
        <v>1206</v>
      </c>
      <c r="AD14" s="1011" t="s">
        <v>1206</v>
      </c>
      <c r="AE14" s="1011" t="s">
        <v>1206</v>
      </c>
      <c r="AF14" s="1011" t="s">
        <v>1206</v>
      </c>
      <c r="AH14" s="1011" t="b">
        <f t="shared" si="2"/>
        <v>1</v>
      </c>
      <c r="AI14" s="1011" t="s">
        <v>859</v>
      </c>
      <c r="AJ14" s="1011" t="s">
        <v>858</v>
      </c>
      <c r="AK14" s="1011" t="s">
        <v>1232</v>
      </c>
      <c r="AL14" s="1011" t="s">
        <v>1233</v>
      </c>
    </row>
    <row r="15" spans="1:43" ht="15.75" customHeight="1" x14ac:dyDescent="0.2">
      <c r="A15" s="1018" t="s">
        <v>861</v>
      </c>
      <c r="B15" s="1019" t="s">
        <v>860</v>
      </c>
      <c r="C15" s="1020">
        <v>0.3</v>
      </c>
      <c r="D15" s="597" t="s">
        <v>779</v>
      </c>
      <c r="E15" s="597" t="s">
        <v>780</v>
      </c>
      <c r="F15" s="1020">
        <v>0.37</v>
      </c>
      <c r="G15" s="597" t="s">
        <v>600</v>
      </c>
      <c r="H15" s="597" t="s">
        <v>600</v>
      </c>
      <c r="I15" s="1020">
        <v>0</v>
      </c>
      <c r="J15" s="1020">
        <f t="shared" si="0"/>
        <v>0.66999999999999993</v>
      </c>
      <c r="K15" s="1020"/>
      <c r="L15" s="1020">
        <v>0.3</v>
      </c>
      <c r="M15" s="597" t="s">
        <v>779</v>
      </c>
      <c r="N15" s="597" t="s">
        <v>780</v>
      </c>
      <c r="O15" s="1020">
        <v>0.2</v>
      </c>
      <c r="P15" s="597" t="s">
        <v>600</v>
      </c>
      <c r="Q15" s="597" t="s">
        <v>600</v>
      </c>
      <c r="R15" s="1020">
        <v>0</v>
      </c>
      <c r="S15" s="1020">
        <f t="shared" si="1"/>
        <v>0.5</v>
      </c>
      <c r="T15" s="947"/>
      <c r="U15" s="877"/>
      <c r="V15" s="877"/>
      <c r="W15" s="877"/>
      <c r="X15" s="937" t="s">
        <v>1005</v>
      </c>
      <c r="Y15" s="924"/>
      <c r="Z15" s="883"/>
      <c r="AA15" s="925"/>
      <c r="AB15" s="914" t="s">
        <v>1005</v>
      </c>
      <c r="AC15" s="1011" t="s">
        <v>1206</v>
      </c>
      <c r="AD15" s="1011" t="s">
        <v>1206</v>
      </c>
      <c r="AE15" s="1011" t="s">
        <v>1206</v>
      </c>
      <c r="AF15" s="1011" t="s">
        <v>1206</v>
      </c>
      <c r="AH15" s="1011" t="b">
        <f t="shared" si="2"/>
        <v>1</v>
      </c>
      <c r="AI15" s="1011" t="s">
        <v>861</v>
      </c>
      <c r="AJ15" s="1011" t="s">
        <v>860</v>
      </c>
      <c r="AK15" s="1011" t="s">
        <v>1234</v>
      </c>
      <c r="AL15" s="1011" t="s">
        <v>1235</v>
      </c>
    </row>
    <row r="16" spans="1:43" ht="15" x14ac:dyDescent="0.2">
      <c r="A16" s="1018" t="s">
        <v>863</v>
      </c>
      <c r="B16" s="1019" t="s">
        <v>862</v>
      </c>
      <c r="C16" s="1020">
        <v>0.49</v>
      </c>
      <c r="D16" s="597" t="s">
        <v>600</v>
      </c>
      <c r="E16" s="597" t="s">
        <v>765</v>
      </c>
      <c r="F16" s="1020">
        <v>0</v>
      </c>
      <c r="G16" s="597" t="s">
        <v>770</v>
      </c>
      <c r="H16" s="597" t="s">
        <v>771</v>
      </c>
      <c r="I16" s="1020">
        <v>0.01</v>
      </c>
      <c r="J16" s="1020">
        <f t="shared" si="0"/>
        <v>0.5</v>
      </c>
      <c r="K16" s="1020"/>
      <c r="L16" s="1020">
        <v>0.49</v>
      </c>
      <c r="M16" s="597" t="s">
        <v>600</v>
      </c>
      <c r="N16" s="597" t="s">
        <v>765</v>
      </c>
      <c r="O16" s="1020">
        <v>0</v>
      </c>
      <c r="P16" s="597" t="s">
        <v>770</v>
      </c>
      <c r="Q16" s="597" t="s">
        <v>771</v>
      </c>
      <c r="R16" s="1020">
        <v>0.01</v>
      </c>
      <c r="S16" s="1020">
        <f t="shared" si="1"/>
        <v>0.5</v>
      </c>
      <c r="T16" s="947" t="s">
        <v>1005</v>
      </c>
      <c r="U16" s="877" t="s">
        <v>972</v>
      </c>
      <c r="V16" s="877"/>
      <c r="W16" s="877"/>
      <c r="X16" s="937" t="s">
        <v>1005</v>
      </c>
      <c r="Y16" s="926">
        <v>89845</v>
      </c>
      <c r="Z16" s="888"/>
      <c r="AA16" s="927"/>
      <c r="AB16" s="914" t="s">
        <v>1005</v>
      </c>
      <c r="AC16" s="1011" t="s">
        <v>1206</v>
      </c>
      <c r="AD16" s="1011" t="s">
        <v>1206</v>
      </c>
      <c r="AE16" s="1011" t="s">
        <v>1206</v>
      </c>
      <c r="AF16" s="1011" t="s">
        <v>1206</v>
      </c>
      <c r="AH16" s="1011" t="b">
        <f t="shared" si="2"/>
        <v>1</v>
      </c>
      <c r="AI16" s="1011" t="s">
        <v>863</v>
      </c>
      <c r="AJ16" s="1011" t="s">
        <v>862</v>
      </c>
      <c r="AK16" s="1011" t="s">
        <v>1236</v>
      </c>
      <c r="AL16" s="1011" t="s">
        <v>1237</v>
      </c>
    </row>
    <row r="17" spans="1:43" ht="15.75" customHeight="1" x14ac:dyDescent="0.2">
      <c r="A17" s="1018" t="s">
        <v>865</v>
      </c>
      <c r="B17" s="1019" t="s">
        <v>864</v>
      </c>
      <c r="C17" s="1020">
        <v>0.4</v>
      </c>
      <c r="D17" s="597" t="s">
        <v>640</v>
      </c>
      <c r="E17" s="597" t="s">
        <v>641</v>
      </c>
      <c r="F17" s="1020">
        <v>0.1</v>
      </c>
      <c r="G17" s="597" t="s">
        <v>600</v>
      </c>
      <c r="H17" s="597" t="s">
        <v>639</v>
      </c>
      <c r="I17" s="1020">
        <v>0</v>
      </c>
      <c r="J17" s="1020">
        <f t="shared" si="0"/>
        <v>0.5</v>
      </c>
      <c r="K17" s="1020"/>
      <c r="L17" s="1020">
        <v>0.4</v>
      </c>
      <c r="M17" s="597" t="s">
        <v>640</v>
      </c>
      <c r="N17" s="597" t="s">
        <v>641</v>
      </c>
      <c r="O17" s="1020">
        <v>0.1</v>
      </c>
      <c r="P17" s="597" t="s">
        <v>600</v>
      </c>
      <c r="Q17" s="597" t="s">
        <v>639</v>
      </c>
      <c r="R17" s="1020">
        <v>0</v>
      </c>
      <c r="S17" s="1020">
        <f t="shared" si="1"/>
        <v>0.5</v>
      </c>
      <c r="T17" s="947"/>
      <c r="U17" s="877"/>
      <c r="V17" s="877"/>
      <c r="W17" s="877"/>
      <c r="X17" s="1015"/>
      <c r="Y17" s="924"/>
      <c r="Z17" s="883"/>
      <c r="AA17" s="925"/>
      <c r="AB17" s="912"/>
      <c r="AC17" s="1011" t="s">
        <v>1206</v>
      </c>
      <c r="AD17" s="1011" t="s">
        <v>1206</v>
      </c>
      <c r="AE17" s="1011" t="s">
        <v>1206</v>
      </c>
      <c r="AF17" s="1011" t="s">
        <v>1206</v>
      </c>
      <c r="AH17" s="1011" t="b">
        <f t="shared" si="2"/>
        <v>1</v>
      </c>
      <c r="AI17" s="1011" t="s">
        <v>865</v>
      </c>
      <c r="AJ17" s="1011" t="s">
        <v>864</v>
      </c>
      <c r="AK17" s="1011" t="s">
        <v>1238</v>
      </c>
      <c r="AL17" s="1011" t="s">
        <v>1239</v>
      </c>
    </row>
    <row r="18" spans="1:43" ht="15.75" customHeight="1" x14ac:dyDescent="0.2">
      <c r="A18" s="1018" t="s">
        <v>867</v>
      </c>
      <c r="B18" s="1019" t="s">
        <v>866</v>
      </c>
      <c r="C18" s="1020">
        <v>0.4</v>
      </c>
      <c r="D18" s="597" t="s">
        <v>673</v>
      </c>
      <c r="E18" s="597" t="s">
        <v>674</v>
      </c>
      <c r="F18" s="1020">
        <v>0.09</v>
      </c>
      <c r="G18" s="597" t="s">
        <v>670</v>
      </c>
      <c r="H18" s="597" t="s">
        <v>671</v>
      </c>
      <c r="I18" s="1020">
        <v>0.01</v>
      </c>
      <c r="J18" s="1020">
        <f t="shared" si="0"/>
        <v>0.5</v>
      </c>
      <c r="K18" s="1020"/>
      <c r="L18" s="1020">
        <v>0.4</v>
      </c>
      <c r="M18" s="597" t="s">
        <v>673</v>
      </c>
      <c r="N18" s="597" t="s">
        <v>674</v>
      </c>
      <c r="O18" s="1020">
        <v>0.09</v>
      </c>
      <c r="P18" s="597" t="s">
        <v>670</v>
      </c>
      <c r="Q18" s="597" t="s">
        <v>671</v>
      </c>
      <c r="R18" s="1020">
        <v>0.01</v>
      </c>
      <c r="S18" s="1020">
        <f t="shared" si="1"/>
        <v>0.5</v>
      </c>
      <c r="T18" s="947"/>
      <c r="U18" s="877"/>
      <c r="V18" s="877"/>
      <c r="W18" s="877"/>
      <c r="X18" s="1015"/>
      <c r="Y18" s="924"/>
      <c r="Z18" s="883"/>
      <c r="AA18" s="925"/>
      <c r="AB18" s="912"/>
      <c r="AC18" s="1011" t="s">
        <v>1206</v>
      </c>
      <c r="AD18" s="1011" t="s">
        <v>1206</v>
      </c>
      <c r="AE18" s="1011" t="s">
        <v>1206</v>
      </c>
      <c r="AF18" s="1011" t="s">
        <v>1206</v>
      </c>
      <c r="AH18" s="1011" t="b">
        <f t="shared" si="2"/>
        <v>1</v>
      </c>
      <c r="AI18" s="1011" t="s">
        <v>867</v>
      </c>
      <c r="AJ18" s="1011" t="s">
        <v>866</v>
      </c>
      <c r="AK18" s="1011" t="s">
        <v>1240</v>
      </c>
      <c r="AL18" s="1011" t="s">
        <v>1241</v>
      </c>
      <c r="AM18" s="1011" t="s">
        <v>1242</v>
      </c>
    </row>
    <row r="19" spans="1:43" ht="15.75" customHeight="1" x14ac:dyDescent="0.2">
      <c r="A19" s="1018" t="s">
        <v>869</v>
      </c>
      <c r="B19" s="1019" t="s">
        <v>868</v>
      </c>
      <c r="C19" s="1020">
        <v>0.4</v>
      </c>
      <c r="D19" s="597" t="s">
        <v>685</v>
      </c>
      <c r="E19" s="597" t="s">
        <v>686</v>
      </c>
      <c r="F19" s="1020">
        <v>0.09</v>
      </c>
      <c r="G19" s="597" t="s">
        <v>682</v>
      </c>
      <c r="H19" s="597" t="s">
        <v>683</v>
      </c>
      <c r="I19" s="1020">
        <v>0.01</v>
      </c>
      <c r="J19" s="1020">
        <f t="shared" si="0"/>
        <v>0.5</v>
      </c>
      <c r="K19" s="1020"/>
      <c r="L19" s="1020">
        <v>0.4</v>
      </c>
      <c r="M19" s="597" t="s">
        <v>685</v>
      </c>
      <c r="N19" s="597" t="s">
        <v>686</v>
      </c>
      <c r="O19" s="1020">
        <v>0.09</v>
      </c>
      <c r="P19" s="597" t="s">
        <v>682</v>
      </c>
      <c r="Q19" s="597" t="s">
        <v>683</v>
      </c>
      <c r="R19" s="1020">
        <v>0.01</v>
      </c>
      <c r="S19" s="1020">
        <f t="shared" si="1"/>
        <v>0.5</v>
      </c>
      <c r="T19" s="1106" t="s">
        <v>1005</v>
      </c>
      <c r="U19" s="1110" t="s">
        <v>2254</v>
      </c>
      <c r="V19" s="877"/>
      <c r="W19" s="877"/>
      <c r="X19" s="1015"/>
      <c r="Y19" s="965"/>
      <c r="Z19" s="966"/>
      <c r="AA19" s="967"/>
      <c r="AB19" s="912"/>
      <c r="AC19" s="1011" t="s">
        <v>1005</v>
      </c>
      <c r="AD19" s="1011" t="s">
        <v>1206</v>
      </c>
      <c r="AE19" s="1011" t="s">
        <v>1206</v>
      </c>
      <c r="AF19" s="1011" t="s">
        <v>1206</v>
      </c>
      <c r="AH19" s="1011" t="b">
        <f t="shared" si="2"/>
        <v>1</v>
      </c>
      <c r="AI19" s="1011" t="s">
        <v>869</v>
      </c>
      <c r="AJ19" s="1011" t="s">
        <v>868</v>
      </c>
      <c r="AK19" s="1011" t="s">
        <v>1243</v>
      </c>
      <c r="AL19" s="1011" t="s">
        <v>1244</v>
      </c>
    </row>
    <row r="20" spans="1:43" ht="15.75" customHeight="1" x14ac:dyDescent="0.2">
      <c r="A20" s="1018" t="s">
        <v>871</v>
      </c>
      <c r="B20" s="1019" t="s">
        <v>870</v>
      </c>
      <c r="C20" s="1020">
        <v>0.4</v>
      </c>
      <c r="D20" s="597" t="s">
        <v>736</v>
      </c>
      <c r="E20" s="597" t="s">
        <v>737</v>
      </c>
      <c r="F20" s="1020">
        <v>0.09</v>
      </c>
      <c r="G20" s="597" t="s">
        <v>734</v>
      </c>
      <c r="H20" s="597" t="s">
        <v>735</v>
      </c>
      <c r="I20" s="1020">
        <v>0.01</v>
      </c>
      <c r="J20" s="1020">
        <f t="shared" si="0"/>
        <v>0.5</v>
      </c>
      <c r="K20" s="1020"/>
      <c r="L20" s="1020">
        <v>0.4</v>
      </c>
      <c r="M20" s="597" t="s">
        <v>736</v>
      </c>
      <c r="N20" s="597" t="s">
        <v>737</v>
      </c>
      <c r="O20" s="1020">
        <v>0.09</v>
      </c>
      <c r="P20" s="597" t="s">
        <v>734</v>
      </c>
      <c r="Q20" s="597" t="s">
        <v>735</v>
      </c>
      <c r="R20" s="1020">
        <v>0.01</v>
      </c>
      <c r="S20" s="1020">
        <f t="shared" si="1"/>
        <v>0.5</v>
      </c>
      <c r="T20" s="947"/>
      <c r="U20" s="877"/>
      <c r="V20" s="877"/>
      <c r="W20" s="877"/>
      <c r="X20" s="1015"/>
      <c r="Y20" s="924"/>
      <c r="Z20" s="883"/>
      <c r="AA20" s="925"/>
      <c r="AB20" s="912"/>
      <c r="AC20" s="1011" t="s">
        <v>1206</v>
      </c>
      <c r="AD20" s="1011" t="s">
        <v>1206</v>
      </c>
      <c r="AE20" s="1011" t="s">
        <v>1206</v>
      </c>
      <c r="AF20" s="1011" t="s">
        <v>1206</v>
      </c>
      <c r="AH20" s="1011" t="b">
        <f t="shared" si="2"/>
        <v>1</v>
      </c>
      <c r="AI20" s="1011" t="s">
        <v>871</v>
      </c>
      <c r="AJ20" s="1011" t="s">
        <v>870</v>
      </c>
      <c r="AK20" s="1011" t="s">
        <v>1245</v>
      </c>
      <c r="AL20" s="1011" t="s">
        <v>1246</v>
      </c>
      <c r="AM20" s="1011" t="s">
        <v>1247</v>
      </c>
      <c r="AN20" s="1011" t="s">
        <v>1248</v>
      </c>
      <c r="AO20" s="1011" t="s">
        <v>1246</v>
      </c>
      <c r="AP20" s="1011" t="s">
        <v>1249</v>
      </c>
      <c r="AQ20" s="1011" t="s">
        <v>1245</v>
      </c>
    </row>
    <row r="21" spans="1:43" ht="15" x14ac:dyDescent="0.2">
      <c r="A21" s="1018" t="s">
        <v>873</v>
      </c>
      <c r="B21" s="1019" t="s">
        <v>599</v>
      </c>
      <c r="C21" s="1020">
        <v>0.94</v>
      </c>
      <c r="D21" s="597" t="s">
        <v>3091</v>
      </c>
      <c r="E21" s="597" t="s">
        <v>3092</v>
      </c>
      <c r="F21" s="1020">
        <v>0.05</v>
      </c>
      <c r="G21" s="597" t="s">
        <v>602</v>
      </c>
      <c r="H21" s="597" t="s">
        <v>603</v>
      </c>
      <c r="I21" s="1020">
        <v>0.01</v>
      </c>
      <c r="J21" s="1020">
        <f t="shared" si="0"/>
        <v>1</v>
      </c>
      <c r="K21" s="1020"/>
      <c r="L21" s="1020">
        <v>0.49</v>
      </c>
      <c r="M21" s="597" t="s">
        <v>600</v>
      </c>
      <c r="N21" s="597" t="s">
        <v>601</v>
      </c>
      <c r="O21" s="1020">
        <v>0</v>
      </c>
      <c r="P21" s="597" t="s">
        <v>602</v>
      </c>
      <c r="Q21" s="597" t="s">
        <v>603</v>
      </c>
      <c r="R21" s="1020">
        <v>0.01</v>
      </c>
      <c r="S21" s="1020">
        <f t="shared" si="1"/>
        <v>0.5</v>
      </c>
      <c r="T21" s="947" t="s">
        <v>1005</v>
      </c>
      <c r="U21" s="889" t="s">
        <v>973</v>
      </c>
      <c r="V21" s="1109" t="s">
        <v>2253</v>
      </c>
      <c r="W21" s="877"/>
      <c r="X21" s="937" t="s">
        <v>1005</v>
      </c>
      <c r="Y21" s="1055">
        <v>4927042</v>
      </c>
      <c r="Z21" s="964"/>
      <c r="AA21" s="927"/>
      <c r="AB21" s="914" t="s">
        <v>1005</v>
      </c>
      <c r="AC21" s="1011" t="s">
        <v>1206</v>
      </c>
      <c r="AD21" s="1011" t="s">
        <v>1005</v>
      </c>
      <c r="AE21" s="1011" t="s">
        <v>1206</v>
      </c>
      <c r="AF21" s="1011" t="s">
        <v>1206</v>
      </c>
      <c r="AH21" s="1011" t="b">
        <f t="shared" si="2"/>
        <v>1</v>
      </c>
      <c r="AI21" s="1011" t="s">
        <v>873</v>
      </c>
      <c r="AJ21" s="1011" t="s">
        <v>872</v>
      </c>
      <c r="AK21" s="1011" t="s">
        <v>1250</v>
      </c>
      <c r="AL21" s="1011" t="s">
        <v>1251</v>
      </c>
      <c r="AM21" s="1011" t="s">
        <v>1252</v>
      </c>
      <c r="AN21" s="1011" t="s">
        <v>1253</v>
      </c>
      <c r="AO21" s="1011" t="s">
        <v>1254</v>
      </c>
      <c r="AQ21" s="1011" t="s">
        <v>1255</v>
      </c>
    </row>
    <row r="22" spans="1:43" ht="15.75" customHeight="1" x14ac:dyDescent="0.2">
      <c r="A22" s="1018" t="s">
        <v>875</v>
      </c>
      <c r="B22" s="597" t="s">
        <v>874</v>
      </c>
      <c r="C22" s="1020">
        <v>0.49</v>
      </c>
      <c r="D22" s="597" t="s">
        <v>600</v>
      </c>
      <c r="E22" s="597" t="s">
        <v>601</v>
      </c>
      <c r="F22" s="1020">
        <v>0</v>
      </c>
      <c r="G22" s="597" t="s">
        <v>608</v>
      </c>
      <c r="H22" s="597" t="s">
        <v>609</v>
      </c>
      <c r="I22" s="1020">
        <v>0.01</v>
      </c>
      <c r="J22" s="1020">
        <f t="shared" si="0"/>
        <v>0.5</v>
      </c>
      <c r="K22" s="1020"/>
      <c r="L22" s="1020">
        <v>0.49</v>
      </c>
      <c r="M22" s="597" t="s">
        <v>600</v>
      </c>
      <c r="N22" s="597" t="s">
        <v>601</v>
      </c>
      <c r="O22" s="1020">
        <v>0</v>
      </c>
      <c r="P22" s="597" t="s">
        <v>608</v>
      </c>
      <c r="Q22" s="597" t="s">
        <v>609</v>
      </c>
      <c r="R22" s="1020">
        <v>0.01</v>
      </c>
      <c r="S22" s="1020">
        <f t="shared" si="1"/>
        <v>0.5</v>
      </c>
      <c r="T22" s="947"/>
      <c r="U22" s="877"/>
      <c r="V22" s="877"/>
      <c r="W22" s="877"/>
      <c r="X22" s="937" t="s">
        <v>1005</v>
      </c>
      <c r="Y22" s="918"/>
      <c r="Z22" s="878"/>
      <c r="AA22" s="919"/>
      <c r="AB22" s="914" t="s">
        <v>1005</v>
      </c>
      <c r="AC22" s="1011" t="s">
        <v>1206</v>
      </c>
      <c r="AD22" s="1011" t="s">
        <v>1206</v>
      </c>
      <c r="AE22" s="1011" t="s">
        <v>1206</v>
      </c>
      <c r="AF22" s="1011" t="s">
        <v>1206</v>
      </c>
      <c r="AH22" s="1011" t="b">
        <f t="shared" si="2"/>
        <v>1</v>
      </c>
      <c r="AI22" s="1011" t="s">
        <v>875</v>
      </c>
      <c r="AJ22" s="1011" t="s">
        <v>1256</v>
      </c>
      <c r="AK22" s="1011" t="s">
        <v>1257</v>
      </c>
      <c r="AL22" s="1011" t="s">
        <v>1258</v>
      </c>
      <c r="AM22" s="1011" t="s">
        <v>1259</v>
      </c>
      <c r="AN22" s="1011" t="s">
        <v>1260</v>
      </c>
    </row>
    <row r="23" spans="1:43" ht="15.75" customHeight="1" x14ac:dyDescent="0.2">
      <c r="A23" s="1018" t="s">
        <v>877</v>
      </c>
      <c r="B23" s="1019" t="s">
        <v>876</v>
      </c>
      <c r="C23" s="1020">
        <v>0.3</v>
      </c>
      <c r="D23" s="597" t="s">
        <v>779</v>
      </c>
      <c r="E23" s="597" t="s">
        <v>780</v>
      </c>
      <c r="F23" s="1020">
        <v>0.37</v>
      </c>
      <c r="G23" s="597" t="s">
        <v>600</v>
      </c>
      <c r="H23" s="597" t="s">
        <v>600</v>
      </c>
      <c r="I23" s="1020">
        <v>0</v>
      </c>
      <c r="J23" s="1020">
        <f t="shared" si="0"/>
        <v>0.66999999999999993</v>
      </c>
      <c r="K23" s="1020"/>
      <c r="L23" s="1020">
        <v>0.3</v>
      </c>
      <c r="M23" s="597" t="s">
        <v>779</v>
      </c>
      <c r="N23" s="597" t="s">
        <v>780</v>
      </c>
      <c r="O23" s="1020">
        <v>0.2</v>
      </c>
      <c r="P23" s="597" t="s">
        <v>600</v>
      </c>
      <c r="Q23" s="597" t="s">
        <v>600</v>
      </c>
      <c r="R23" s="1020">
        <v>0</v>
      </c>
      <c r="S23" s="1020">
        <f t="shared" si="1"/>
        <v>0.5</v>
      </c>
      <c r="T23" s="947"/>
      <c r="U23" s="877"/>
      <c r="V23" s="877"/>
      <c r="W23" s="877"/>
      <c r="X23" s="937" t="s">
        <v>1005</v>
      </c>
      <c r="Y23" s="924"/>
      <c r="Z23" s="883"/>
      <c r="AA23" s="925"/>
      <c r="AB23" s="914" t="s">
        <v>1005</v>
      </c>
      <c r="AC23" s="1011" t="s">
        <v>1206</v>
      </c>
      <c r="AD23" s="1011" t="s">
        <v>1206</v>
      </c>
      <c r="AE23" s="1011" t="s">
        <v>1206</v>
      </c>
      <c r="AF23" s="1011" t="s">
        <v>1206</v>
      </c>
      <c r="AH23" s="1011" t="b">
        <f t="shared" si="2"/>
        <v>1</v>
      </c>
      <c r="AI23" s="1011" t="s">
        <v>877</v>
      </c>
      <c r="AJ23" s="1011" t="s">
        <v>876</v>
      </c>
      <c r="AK23" s="1011" t="s">
        <v>1261</v>
      </c>
      <c r="AL23" s="1011" t="s">
        <v>1262</v>
      </c>
    </row>
    <row r="24" spans="1:43" ht="15" x14ac:dyDescent="0.2">
      <c r="A24" s="1018" t="s">
        <v>879</v>
      </c>
      <c r="B24" s="1019" t="s">
        <v>878</v>
      </c>
      <c r="C24" s="1020">
        <v>0.99</v>
      </c>
      <c r="D24" s="597" t="s">
        <v>600</v>
      </c>
      <c r="E24" s="597" t="s">
        <v>765</v>
      </c>
      <c r="F24" s="1020">
        <v>0</v>
      </c>
      <c r="G24" s="597" t="s">
        <v>774</v>
      </c>
      <c r="H24" s="597" t="s">
        <v>775</v>
      </c>
      <c r="I24" s="1020">
        <v>0.01</v>
      </c>
      <c r="J24" s="1020">
        <f t="shared" si="0"/>
        <v>1</v>
      </c>
      <c r="K24" s="1020"/>
      <c r="L24" s="1020">
        <v>0.49</v>
      </c>
      <c r="M24" s="597" t="s">
        <v>600</v>
      </c>
      <c r="N24" s="597" t="s">
        <v>765</v>
      </c>
      <c r="O24" s="1020">
        <v>0</v>
      </c>
      <c r="P24" s="597" t="s">
        <v>774</v>
      </c>
      <c r="Q24" s="597" t="s">
        <v>775</v>
      </c>
      <c r="R24" s="1020">
        <v>0.01</v>
      </c>
      <c r="S24" s="1020">
        <f t="shared" si="1"/>
        <v>0.5</v>
      </c>
      <c r="T24" s="947" t="s">
        <v>1005</v>
      </c>
      <c r="U24" s="877" t="s">
        <v>1032</v>
      </c>
      <c r="V24" s="877" t="s">
        <v>1207</v>
      </c>
      <c r="W24" s="877"/>
      <c r="X24" s="937" t="s">
        <v>1005</v>
      </c>
      <c r="Y24" s="926">
        <v>4060102</v>
      </c>
      <c r="Z24" s="964">
        <v>6579664</v>
      </c>
      <c r="AA24" s="927"/>
      <c r="AB24" s="914" t="s">
        <v>1005</v>
      </c>
      <c r="AC24" s="1011" t="s">
        <v>1206</v>
      </c>
      <c r="AD24" s="1011" t="s">
        <v>1206</v>
      </c>
      <c r="AE24" s="1011" t="s">
        <v>1206</v>
      </c>
      <c r="AF24" s="1011" t="s">
        <v>1206</v>
      </c>
      <c r="AH24" s="1011" t="b">
        <f t="shared" si="2"/>
        <v>1</v>
      </c>
      <c r="AI24" s="1011" t="s">
        <v>879</v>
      </c>
      <c r="AJ24" s="1011" t="s">
        <v>878</v>
      </c>
      <c r="AK24" s="1011" t="s">
        <v>1263</v>
      </c>
      <c r="AL24" s="1011" t="s">
        <v>1264</v>
      </c>
    </row>
    <row r="25" spans="1:43" ht="15.75" customHeight="1" x14ac:dyDescent="0.2">
      <c r="A25" s="1018" t="s">
        <v>881</v>
      </c>
      <c r="B25" s="1019" t="s">
        <v>880</v>
      </c>
      <c r="C25" s="1020">
        <v>0.4</v>
      </c>
      <c r="D25" s="597" t="s">
        <v>717</v>
      </c>
      <c r="E25" s="597" t="s">
        <v>718</v>
      </c>
      <c r="F25" s="1020">
        <v>0.09</v>
      </c>
      <c r="G25" s="597" t="s">
        <v>714</v>
      </c>
      <c r="H25" s="597" t="s">
        <v>715</v>
      </c>
      <c r="I25" s="1020">
        <v>0.01</v>
      </c>
      <c r="J25" s="1020">
        <f t="shared" si="0"/>
        <v>0.5</v>
      </c>
      <c r="K25" s="1020"/>
      <c r="L25" s="1020">
        <v>0.4</v>
      </c>
      <c r="M25" s="597" t="s">
        <v>717</v>
      </c>
      <c r="N25" s="597" t="s">
        <v>718</v>
      </c>
      <c r="O25" s="1020">
        <v>0.09</v>
      </c>
      <c r="P25" s="597" t="s">
        <v>714</v>
      </c>
      <c r="Q25" s="597" t="s">
        <v>715</v>
      </c>
      <c r="R25" s="1020">
        <v>0.01</v>
      </c>
      <c r="S25" s="1020">
        <f t="shared" si="1"/>
        <v>0.5</v>
      </c>
      <c r="T25" s="947"/>
      <c r="U25" s="877"/>
      <c r="V25" s="877"/>
      <c r="W25" s="877"/>
      <c r="X25" s="1015"/>
      <c r="Y25" s="924"/>
      <c r="Z25" s="883"/>
      <c r="AA25" s="925"/>
      <c r="AB25" s="912"/>
      <c r="AC25" s="1011" t="s">
        <v>1206</v>
      </c>
      <c r="AD25" s="1011" t="s">
        <v>1206</v>
      </c>
      <c r="AE25" s="1011" t="s">
        <v>1206</v>
      </c>
      <c r="AF25" s="1011" t="s">
        <v>1206</v>
      </c>
      <c r="AH25" s="1011" t="b">
        <f t="shared" si="2"/>
        <v>1</v>
      </c>
      <c r="AI25" s="1011" t="s">
        <v>881</v>
      </c>
      <c r="AJ25" s="1011" t="s">
        <v>880</v>
      </c>
      <c r="AK25" s="1011" t="s">
        <v>1265</v>
      </c>
      <c r="AL25" s="1011" t="s">
        <v>1266</v>
      </c>
      <c r="AO25" s="1011" t="s">
        <v>1267</v>
      </c>
      <c r="AP25" s="1011" t="s">
        <v>1268</v>
      </c>
      <c r="AQ25" s="1011" t="s">
        <v>1269</v>
      </c>
    </row>
    <row r="26" spans="1:43" ht="15.75" customHeight="1" x14ac:dyDescent="0.2">
      <c r="A26" s="1018" t="s">
        <v>883</v>
      </c>
      <c r="B26" s="1019" t="s">
        <v>707</v>
      </c>
      <c r="C26" s="1020">
        <v>0.49</v>
      </c>
      <c r="D26" s="597" t="s">
        <v>600</v>
      </c>
      <c r="E26" s="597" t="s">
        <v>601</v>
      </c>
      <c r="F26" s="1020">
        <v>0</v>
      </c>
      <c r="G26" s="597" t="s">
        <v>708</v>
      </c>
      <c r="H26" s="597" t="s">
        <v>709</v>
      </c>
      <c r="I26" s="1020">
        <v>0.01</v>
      </c>
      <c r="J26" s="1020">
        <f t="shared" si="0"/>
        <v>0.5</v>
      </c>
      <c r="K26" s="1020"/>
      <c r="L26" s="1020">
        <v>0.49</v>
      </c>
      <c r="M26" s="597" t="s">
        <v>600</v>
      </c>
      <c r="N26" s="597" t="s">
        <v>601</v>
      </c>
      <c r="O26" s="1020">
        <v>0</v>
      </c>
      <c r="P26" s="597" t="s">
        <v>708</v>
      </c>
      <c r="Q26" s="597" t="s">
        <v>709</v>
      </c>
      <c r="R26" s="1020">
        <v>0.01</v>
      </c>
      <c r="S26" s="1020">
        <f t="shared" si="1"/>
        <v>0.5</v>
      </c>
      <c r="T26" s="947"/>
      <c r="U26" s="877"/>
      <c r="V26" s="877"/>
      <c r="W26" s="877"/>
      <c r="X26" s="937" t="s">
        <v>1005</v>
      </c>
      <c r="Y26" s="924"/>
      <c r="Z26" s="883"/>
      <c r="AA26" s="925"/>
      <c r="AB26" s="914" t="s">
        <v>1005</v>
      </c>
      <c r="AC26" s="1011" t="s">
        <v>1206</v>
      </c>
      <c r="AD26" s="1011" t="s">
        <v>1206</v>
      </c>
      <c r="AE26" s="1011" t="s">
        <v>1206</v>
      </c>
      <c r="AF26" s="1011" t="s">
        <v>1206</v>
      </c>
      <c r="AH26" s="1011" t="b">
        <f t="shared" si="2"/>
        <v>1</v>
      </c>
      <c r="AI26" s="1011" t="s">
        <v>883</v>
      </c>
      <c r="AJ26" s="1011" t="s">
        <v>882</v>
      </c>
      <c r="AK26" s="1011" t="s">
        <v>1270</v>
      </c>
      <c r="AL26" s="1011" t="s">
        <v>1271</v>
      </c>
      <c r="AM26" s="1011" t="s">
        <v>1272</v>
      </c>
      <c r="AN26" s="1011" t="s">
        <v>1273</v>
      </c>
      <c r="AO26" s="1011" t="s">
        <v>1274</v>
      </c>
      <c r="AQ26" s="1011" t="s">
        <v>1275</v>
      </c>
    </row>
    <row r="27" spans="1:43" ht="15.75" customHeight="1" x14ac:dyDescent="0.2">
      <c r="A27" s="1018" t="s">
        <v>885</v>
      </c>
      <c r="B27" s="1019" t="s">
        <v>710</v>
      </c>
      <c r="C27" s="1020">
        <v>0.49</v>
      </c>
      <c r="D27" s="597" t="s">
        <v>600</v>
      </c>
      <c r="E27" s="597" t="s">
        <v>601</v>
      </c>
      <c r="F27" s="1020">
        <v>0</v>
      </c>
      <c r="G27" s="597" t="s">
        <v>708</v>
      </c>
      <c r="H27" s="597" t="s">
        <v>709</v>
      </c>
      <c r="I27" s="1020">
        <v>0.01</v>
      </c>
      <c r="J27" s="1020">
        <f t="shared" si="0"/>
        <v>0.5</v>
      </c>
      <c r="K27" s="1020"/>
      <c r="L27" s="1020">
        <v>0.49</v>
      </c>
      <c r="M27" s="597" t="s">
        <v>600</v>
      </c>
      <c r="N27" s="597" t="s">
        <v>601</v>
      </c>
      <c r="O27" s="1020">
        <v>0</v>
      </c>
      <c r="P27" s="597" t="s">
        <v>708</v>
      </c>
      <c r="Q27" s="597" t="s">
        <v>709</v>
      </c>
      <c r="R27" s="1020">
        <v>0.01</v>
      </c>
      <c r="S27" s="1020">
        <f t="shared" si="1"/>
        <v>0.5</v>
      </c>
      <c r="T27" s="947" t="s">
        <v>1005</v>
      </c>
      <c r="U27" s="877" t="s">
        <v>2922</v>
      </c>
      <c r="V27" s="877"/>
      <c r="W27" s="877"/>
      <c r="X27" s="937" t="s">
        <v>1005</v>
      </c>
      <c r="Y27" s="924"/>
      <c r="Z27" s="883"/>
      <c r="AA27" s="925"/>
      <c r="AB27" s="914" t="s">
        <v>1005</v>
      </c>
      <c r="AC27" s="1011" t="s">
        <v>1206</v>
      </c>
      <c r="AD27" s="1011" t="s">
        <v>1206</v>
      </c>
      <c r="AE27" s="1011" t="s">
        <v>1206</v>
      </c>
      <c r="AF27" s="1011" t="s">
        <v>1206</v>
      </c>
      <c r="AH27" s="1011" t="b">
        <f t="shared" si="2"/>
        <v>1</v>
      </c>
      <c r="AI27" s="1011" t="s">
        <v>885</v>
      </c>
      <c r="AJ27" s="1011" t="s">
        <v>884</v>
      </c>
      <c r="AK27" s="1011" t="s">
        <v>1276</v>
      </c>
      <c r="AL27" s="1011" t="s">
        <v>1277</v>
      </c>
      <c r="AM27" s="1011" t="s">
        <v>1278</v>
      </c>
      <c r="AN27" s="1011" t="s">
        <v>1279</v>
      </c>
    </row>
    <row r="28" spans="1:43" ht="15.75" customHeight="1" x14ac:dyDescent="0.2">
      <c r="A28" s="1018" t="s">
        <v>887</v>
      </c>
      <c r="B28" s="1019" t="s">
        <v>886</v>
      </c>
      <c r="C28" s="1020">
        <v>0.4</v>
      </c>
      <c r="D28" s="597" t="s">
        <v>645</v>
      </c>
      <c r="E28" s="597" t="s">
        <v>646</v>
      </c>
      <c r="F28" s="1020">
        <v>0.09</v>
      </c>
      <c r="G28" s="597" t="s">
        <v>643</v>
      </c>
      <c r="H28" s="597" t="s">
        <v>644</v>
      </c>
      <c r="I28" s="1020">
        <v>0.01</v>
      </c>
      <c r="J28" s="1020">
        <f t="shared" si="0"/>
        <v>0.5</v>
      </c>
      <c r="K28" s="1020"/>
      <c r="L28" s="1020">
        <v>0.4</v>
      </c>
      <c r="M28" s="597" t="s">
        <v>645</v>
      </c>
      <c r="N28" s="597" t="s">
        <v>646</v>
      </c>
      <c r="O28" s="1020">
        <v>0.09</v>
      </c>
      <c r="P28" s="597" t="s">
        <v>643</v>
      </c>
      <c r="Q28" s="597" t="s">
        <v>644</v>
      </c>
      <c r="R28" s="1020">
        <v>0.01</v>
      </c>
      <c r="S28" s="1020">
        <f t="shared" si="1"/>
        <v>0.5</v>
      </c>
      <c r="T28" s="947"/>
      <c r="U28" s="877"/>
      <c r="V28" s="877"/>
      <c r="W28" s="877"/>
      <c r="X28" s="1015"/>
      <c r="Y28" s="924"/>
      <c r="Z28" s="883"/>
      <c r="AA28" s="925"/>
      <c r="AB28" s="912"/>
      <c r="AC28" s="1011" t="s">
        <v>1206</v>
      </c>
      <c r="AD28" s="1011" t="s">
        <v>1206</v>
      </c>
      <c r="AE28" s="1011" t="s">
        <v>1206</v>
      </c>
      <c r="AF28" s="1011" t="s">
        <v>1206</v>
      </c>
      <c r="AH28" s="1011" t="b">
        <f t="shared" si="2"/>
        <v>1</v>
      </c>
      <c r="AI28" s="1011" t="s">
        <v>887</v>
      </c>
      <c r="AJ28" s="1011" t="s">
        <v>886</v>
      </c>
      <c r="AK28" s="1011" t="s">
        <v>1280</v>
      </c>
      <c r="AL28" s="1011" t="s">
        <v>1281</v>
      </c>
    </row>
    <row r="29" spans="1:43" ht="15.75" customHeight="1" x14ac:dyDescent="0.2">
      <c r="A29" s="1018" t="s">
        <v>889</v>
      </c>
      <c r="B29" s="1019" t="s">
        <v>888</v>
      </c>
      <c r="C29" s="1020">
        <v>0.99</v>
      </c>
      <c r="D29" s="597" t="s">
        <v>600</v>
      </c>
      <c r="E29" s="597" t="s">
        <v>765</v>
      </c>
      <c r="F29" s="1020">
        <v>0</v>
      </c>
      <c r="G29" s="597" t="s">
        <v>766</v>
      </c>
      <c r="H29" s="597" t="s">
        <v>767</v>
      </c>
      <c r="I29" s="1020">
        <v>0.01</v>
      </c>
      <c r="J29" s="1020">
        <f t="shared" si="0"/>
        <v>1</v>
      </c>
      <c r="K29" s="1020"/>
      <c r="L29" s="1020">
        <v>0.49</v>
      </c>
      <c r="M29" s="597" t="s">
        <v>600</v>
      </c>
      <c r="N29" s="597" t="s">
        <v>765</v>
      </c>
      <c r="O29" s="1020">
        <v>0</v>
      </c>
      <c r="P29" s="597" t="s">
        <v>766</v>
      </c>
      <c r="Q29" s="597" t="s">
        <v>767</v>
      </c>
      <c r="R29" s="1020">
        <v>0.01</v>
      </c>
      <c r="S29" s="1020">
        <f t="shared" si="1"/>
        <v>0.5</v>
      </c>
      <c r="T29" s="947"/>
      <c r="U29" s="877"/>
      <c r="V29" s="877"/>
      <c r="W29" s="877"/>
      <c r="X29" s="937" t="s">
        <v>1005</v>
      </c>
      <c r="Y29" s="924"/>
      <c r="Z29" s="883"/>
      <c r="AA29" s="925"/>
      <c r="AB29" s="914" t="s">
        <v>1005</v>
      </c>
      <c r="AC29" s="1011" t="s">
        <v>1206</v>
      </c>
      <c r="AD29" s="1011" t="s">
        <v>1206</v>
      </c>
      <c r="AE29" s="1011" t="s">
        <v>1206</v>
      </c>
      <c r="AF29" s="1011" t="s">
        <v>1206</v>
      </c>
      <c r="AG29" s="1112"/>
      <c r="AH29" s="1011" t="b">
        <f t="shared" si="2"/>
        <v>1</v>
      </c>
      <c r="AI29" s="1011" t="s">
        <v>889</v>
      </c>
      <c r="AJ29" s="1011" t="s">
        <v>888</v>
      </c>
      <c r="AK29" s="1011" t="s">
        <v>1282</v>
      </c>
      <c r="AL29" s="1011" t="s">
        <v>1283</v>
      </c>
      <c r="AM29" s="1011" t="s">
        <v>1284</v>
      </c>
      <c r="AN29" s="1011" t="s">
        <v>1285</v>
      </c>
    </row>
    <row r="30" spans="1:43" ht="15.75" customHeight="1" x14ac:dyDescent="0.2">
      <c r="A30" s="1018" t="s">
        <v>891</v>
      </c>
      <c r="B30" s="1019" t="s">
        <v>890</v>
      </c>
      <c r="C30" s="1020">
        <v>0.4</v>
      </c>
      <c r="D30" s="597" t="s">
        <v>721</v>
      </c>
      <c r="E30" s="597" t="s">
        <v>722</v>
      </c>
      <c r="F30" s="1020">
        <v>0.1</v>
      </c>
      <c r="G30" s="597" t="s">
        <v>600</v>
      </c>
      <c r="H30" s="597" t="s">
        <v>639</v>
      </c>
      <c r="I30" s="1020">
        <v>0</v>
      </c>
      <c r="J30" s="1020">
        <f t="shared" si="0"/>
        <v>0.5</v>
      </c>
      <c r="K30" s="1020"/>
      <c r="L30" s="1020">
        <v>0.4</v>
      </c>
      <c r="M30" s="597" t="s">
        <v>721</v>
      </c>
      <c r="N30" s="597" t="s">
        <v>722</v>
      </c>
      <c r="O30" s="1020">
        <v>0.1</v>
      </c>
      <c r="P30" s="597" t="s">
        <v>600</v>
      </c>
      <c r="Q30" s="597" t="s">
        <v>639</v>
      </c>
      <c r="R30" s="1020">
        <v>0</v>
      </c>
      <c r="S30" s="1020">
        <f t="shared" si="1"/>
        <v>0.5</v>
      </c>
      <c r="T30" s="947"/>
      <c r="U30" s="877"/>
      <c r="V30" s="877"/>
      <c r="W30" s="877"/>
      <c r="X30" s="1015"/>
      <c r="Y30" s="924"/>
      <c r="Z30" s="883"/>
      <c r="AA30" s="925"/>
      <c r="AB30" s="912"/>
      <c r="AC30" s="1011" t="s">
        <v>1206</v>
      </c>
      <c r="AD30" s="1011" t="s">
        <v>1206</v>
      </c>
      <c r="AE30" s="1011" t="s">
        <v>1206</v>
      </c>
      <c r="AF30" s="1011" t="s">
        <v>1206</v>
      </c>
      <c r="AH30" s="1011" t="b">
        <f t="shared" si="2"/>
        <v>1</v>
      </c>
      <c r="AI30" s="1011" t="s">
        <v>891</v>
      </c>
      <c r="AJ30" s="1011" t="s">
        <v>890</v>
      </c>
      <c r="AK30" s="1011" t="s">
        <v>1286</v>
      </c>
      <c r="AL30" s="1011" t="s">
        <v>1287</v>
      </c>
      <c r="AM30" s="1011" t="s">
        <v>1288</v>
      </c>
      <c r="AN30" s="1011" t="s">
        <v>1289</v>
      </c>
      <c r="AO30" s="1011" t="s">
        <v>1289</v>
      </c>
      <c r="AP30" s="1011" t="s">
        <v>1290</v>
      </c>
      <c r="AQ30" s="1011" t="s">
        <v>1291</v>
      </c>
    </row>
    <row r="31" spans="1:43" ht="15.75" customHeight="1" x14ac:dyDescent="0.2">
      <c r="A31" s="1018" t="s">
        <v>893</v>
      </c>
      <c r="B31" s="1019" t="s">
        <v>657</v>
      </c>
      <c r="C31" s="1020">
        <v>0.49</v>
      </c>
      <c r="D31" s="597" t="s">
        <v>600</v>
      </c>
      <c r="E31" s="597" t="s">
        <v>601</v>
      </c>
      <c r="F31" s="1020">
        <v>0</v>
      </c>
      <c r="G31" s="597" t="s">
        <v>655</v>
      </c>
      <c r="H31" s="597" t="s">
        <v>656</v>
      </c>
      <c r="I31" s="1020">
        <v>0.01</v>
      </c>
      <c r="J31" s="1020">
        <f t="shared" si="0"/>
        <v>0.5</v>
      </c>
      <c r="K31" s="1020"/>
      <c r="L31" s="1020">
        <v>0.49</v>
      </c>
      <c r="M31" s="597" t="s">
        <v>600</v>
      </c>
      <c r="N31" s="597" t="s">
        <v>601</v>
      </c>
      <c r="O31" s="1020">
        <v>0</v>
      </c>
      <c r="P31" s="597" t="s">
        <v>655</v>
      </c>
      <c r="Q31" s="597" t="s">
        <v>656</v>
      </c>
      <c r="R31" s="1020">
        <v>0.01</v>
      </c>
      <c r="S31" s="1020">
        <f t="shared" si="1"/>
        <v>0.5</v>
      </c>
      <c r="T31" s="947"/>
      <c r="U31" s="877"/>
      <c r="V31" s="877"/>
      <c r="W31" s="877"/>
      <c r="X31" s="937" t="s">
        <v>1005</v>
      </c>
      <c r="Y31" s="924"/>
      <c r="Z31" s="883"/>
      <c r="AA31" s="925"/>
      <c r="AB31" s="914" t="s">
        <v>1005</v>
      </c>
      <c r="AC31" s="1011" t="s">
        <v>1206</v>
      </c>
      <c r="AD31" s="1011" t="s">
        <v>1206</v>
      </c>
      <c r="AE31" s="1011" t="s">
        <v>1206</v>
      </c>
      <c r="AF31" s="1011" t="s">
        <v>1206</v>
      </c>
      <c r="AH31" s="1011" t="b">
        <f t="shared" si="2"/>
        <v>1</v>
      </c>
      <c r="AI31" s="1011" t="s">
        <v>893</v>
      </c>
      <c r="AJ31" s="1011" t="s">
        <v>892</v>
      </c>
      <c r="AK31" s="1011" t="s">
        <v>1292</v>
      </c>
      <c r="AL31" s="1011" t="s">
        <v>1293</v>
      </c>
    </row>
    <row r="32" spans="1:43" ht="15.75" customHeight="1" x14ac:dyDescent="0.2">
      <c r="A32" s="1018" t="s">
        <v>895</v>
      </c>
      <c r="B32" s="1019" t="s">
        <v>610</v>
      </c>
      <c r="C32" s="1020">
        <v>0.49</v>
      </c>
      <c r="D32" s="597" t="s">
        <v>600</v>
      </c>
      <c r="E32" s="597" t="s">
        <v>601</v>
      </c>
      <c r="F32" s="1020">
        <v>0</v>
      </c>
      <c r="G32" s="597" t="s">
        <v>611</v>
      </c>
      <c r="H32" s="597" t="s">
        <v>612</v>
      </c>
      <c r="I32" s="1020">
        <v>0.01</v>
      </c>
      <c r="J32" s="1020">
        <f t="shared" si="0"/>
        <v>0.5</v>
      </c>
      <c r="K32" s="1020"/>
      <c r="L32" s="1020">
        <v>0.49</v>
      </c>
      <c r="M32" s="597" t="s">
        <v>600</v>
      </c>
      <c r="N32" s="597" t="s">
        <v>601</v>
      </c>
      <c r="O32" s="1020">
        <v>0</v>
      </c>
      <c r="P32" s="597" t="s">
        <v>611</v>
      </c>
      <c r="Q32" s="597" t="s">
        <v>612</v>
      </c>
      <c r="R32" s="1020">
        <v>0.01</v>
      </c>
      <c r="S32" s="1020">
        <f t="shared" si="1"/>
        <v>0.5</v>
      </c>
      <c r="T32" s="947"/>
      <c r="U32" s="877"/>
      <c r="V32" s="877"/>
      <c r="W32" s="877"/>
      <c r="X32" s="937" t="s">
        <v>1005</v>
      </c>
      <c r="Y32" s="918"/>
      <c r="Z32" s="878"/>
      <c r="AA32" s="919"/>
      <c r="AB32" s="914" t="s">
        <v>1005</v>
      </c>
      <c r="AC32" s="1011" t="s">
        <v>1206</v>
      </c>
      <c r="AD32" s="1011" t="s">
        <v>1206</v>
      </c>
      <c r="AE32" s="1011" t="s">
        <v>1206</v>
      </c>
      <c r="AF32" s="1011" t="s">
        <v>1206</v>
      </c>
      <c r="AH32" s="1011" t="b">
        <f t="shared" si="2"/>
        <v>1</v>
      </c>
      <c r="AI32" s="1011" t="s">
        <v>895</v>
      </c>
      <c r="AJ32" s="1011" t="s">
        <v>894</v>
      </c>
      <c r="AK32" s="1011" t="s">
        <v>1294</v>
      </c>
      <c r="AL32" s="1011" t="s">
        <v>1295</v>
      </c>
    </row>
    <row r="33" spans="1:43" ht="15.75" customHeight="1" x14ac:dyDescent="0.2">
      <c r="A33" s="1018" t="s">
        <v>897</v>
      </c>
      <c r="B33" s="1019" t="s">
        <v>896</v>
      </c>
      <c r="C33" s="1020">
        <v>0.49</v>
      </c>
      <c r="D33" s="597" t="s">
        <v>600</v>
      </c>
      <c r="E33" s="597" t="s">
        <v>765</v>
      </c>
      <c r="F33" s="1020">
        <v>0</v>
      </c>
      <c r="G33" s="597" t="s">
        <v>776</v>
      </c>
      <c r="H33" s="597" t="s">
        <v>777</v>
      </c>
      <c r="I33" s="1020">
        <v>0.01</v>
      </c>
      <c r="J33" s="1020">
        <f t="shared" si="0"/>
        <v>0.5</v>
      </c>
      <c r="K33" s="1020"/>
      <c r="L33" s="1020">
        <v>0.49</v>
      </c>
      <c r="M33" s="597" t="s">
        <v>600</v>
      </c>
      <c r="N33" s="597" t="s">
        <v>765</v>
      </c>
      <c r="O33" s="1020">
        <v>0</v>
      </c>
      <c r="P33" s="597" t="s">
        <v>776</v>
      </c>
      <c r="Q33" s="597" t="s">
        <v>777</v>
      </c>
      <c r="R33" s="1020">
        <v>0.01</v>
      </c>
      <c r="S33" s="1020">
        <f t="shared" si="1"/>
        <v>0.5</v>
      </c>
      <c r="T33" s="1106" t="s">
        <v>1005</v>
      </c>
      <c r="U33" s="1107" t="s">
        <v>2248</v>
      </c>
      <c r="V33" s="885"/>
      <c r="W33" s="885"/>
      <c r="X33" s="937" t="s">
        <v>1005</v>
      </c>
      <c r="Y33" s="924"/>
      <c r="Z33" s="883"/>
      <c r="AA33" s="925"/>
      <c r="AB33" s="914" t="s">
        <v>1005</v>
      </c>
      <c r="AC33" s="1011" t="s">
        <v>1005</v>
      </c>
      <c r="AD33" s="1011" t="s">
        <v>1206</v>
      </c>
      <c r="AE33" s="1011" t="s">
        <v>1206</v>
      </c>
      <c r="AF33" s="1011" t="s">
        <v>1206</v>
      </c>
      <c r="AH33" s="1011" t="b">
        <f t="shared" si="2"/>
        <v>1</v>
      </c>
      <c r="AI33" s="1011" t="s">
        <v>897</v>
      </c>
      <c r="AJ33" s="1011" t="s">
        <v>896</v>
      </c>
      <c r="AK33" s="1011" t="s">
        <v>1296</v>
      </c>
      <c r="AL33" s="1011" t="s">
        <v>1297</v>
      </c>
    </row>
    <row r="34" spans="1:43" ht="15.75" customHeight="1" x14ac:dyDescent="0.2">
      <c r="A34" s="1018" t="s">
        <v>899</v>
      </c>
      <c r="B34" s="1019" t="s">
        <v>898</v>
      </c>
      <c r="C34" s="1020">
        <v>0.4</v>
      </c>
      <c r="D34" s="597" t="s">
        <v>673</v>
      </c>
      <c r="E34" s="597" t="s">
        <v>674</v>
      </c>
      <c r="F34" s="1020">
        <v>0.09</v>
      </c>
      <c r="G34" s="597" t="s">
        <v>670</v>
      </c>
      <c r="H34" s="597" t="s">
        <v>671</v>
      </c>
      <c r="I34" s="1020">
        <v>0.01</v>
      </c>
      <c r="J34" s="1020">
        <f t="shared" si="0"/>
        <v>0.5</v>
      </c>
      <c r="K34" s="1020"/>
      <c r="L34" s="1020">
        <v>0.4</v>
      </c>
      <c r="M34" s="597" t="s">
        <v>673</v>
      </c>
      <c r="N34" s="597" t="s">
        <v>674</v>
      </c>
      <c r="O34" s="1020">
        <v>0.09</v>
      </c>
      <c r="P34" s="597" t="s">
        <v>670</v>
      </c>
      <c r="Q34" s="597" t="s">
        <v>671</v>
      </c>
      <c r="R34" s="1020">
        <v>0.01</v>
      </c>
      <c r="S34" s="1020">
        <f t="shared" si="1"/>
        <v>0.5</v>
      </c>
      <c r="T34" s="947"/>
      <c r="U34" s="877"/>
      <c r="V34" s="877"/>
      <c r="W34" s="877"/>
      <c r="X34" s="1015"/>
      <c r="Y34" s="924"/>
      <c r="Z34" s="883"/>
      <c r="AA34" s="925"/>
      <c r="AB34" s="912"/>
      <c r="AC34" s="1011" t="s">
        <v>1206</v>
      </c>
      <c r="AD34" s="1011" t="s">
        <v>1206</v>
      </c>
      <c r="AE34" s="1011" t="s">
        <v>1206</v>
      </c>
      <c r="AF34" s="1011" t="s">
        <v>1206</v>
      </c>
      <c r="AH34" s="1011" t="b">
        <f t="shared" si="2"/>
        <v>1</v>
      </c>
      <c r="AI34" s="1011" t="s">
        <v>899</v>
      </c>
      <c r="AJ34" s="1011" t="s">
        <v>898</v>
      </c>
      <c r="AK34" s="1011" t="s">
        <v>1298</v>
      </c>
      <c r="AL34" s="1011" t="s">
        <v>1299</v>
      </c>
      <c r="AO34" s="1011" t="s">
        <v>1299</v>
      </c>
      <c r="AP34" s="1011" t="s">
        <v>1300</v>
      </c>
      <c r="AQ34" s="1011" t="s">
        <v>1298</v>
      </c>
    </row>
    <row r="35" spans="1:43" ht="15.75" customHeight="1" x14ac:dyDescent="0.2">
      <c r="A35" s="1018" t="s">
        <v>901</v>
      </c>
      <c r="B35" s="1019" t="s">
        <v>900</v>
      </c>
      <c r="C35" s="1020">
        <v>0.4</v>
      </c>
      <c r="D35" s="597" t="s">
        <v>723</v>
      </c>
      <c r="E35" s="597" t="s">
        <v>724</v>
      </c>
      <c r="F35" s="1020">
        <v>0.1</v>
      </c>
      <c r="G35" s="597" t="s">
        <v>600</v>
      </c>
      <c r="H35" s="597" t="s">
        <v>639</v>
      </c>
      <c r="I35" s="1020">
        <v>0</v>
      </c>
      <c r="J35" s="1020">
        <f t="shared" si="0"/>
        <v>0.5</v>
      </c>
      <c r="K35" s="1020"/>
      <c r="L35" s="1020">
        <v>0.4</v>
      </c>
      <c r="M35" s="597" t="s">
        <v>723</v>
      </c>
      <c r="N35" s="597" t="s">
        <v>724</v>
      </c>
      <c r="O35" s="1020">
        <v>0.1</v>
      </c>
      <c r="P35" s="597" t="s">
        <v>600</v>
      </c>
      <c r="Q35" s="597" t="s">
        <v>639</v>
      </c>
      <c r="R35" s="1020">
        <v>0</v>
      </c>
      <c r="S35" s="1020">
        <f t="shared" si="1"/>
        <v>0.5</v>
      </c>
      <c r="T35" s="947"/>
      <c r="U35" s="877"/>
      <c r="V35" s="877"/>
      <c r="W35" s="877"/>
      <c r="X35" s="1015"/>
      <c r="Y35" s="924"/>
      <c r="Z35" s="883"/>
      <c r="AA35" s="925"/>
      <c r="AB35" s="912"/>
      <c r="AC35" s="1011" t="s">
        <v>1206</v>
      </c>
      <c r="AD35" s="1011" t="s">
        <v>1206</v>
      </c>
      <c r="AE35" s="1011" t="s">
        <v>1206</v>
      </c>
      <c r="AF35" s="1011" t="s">
        <v>1206</v>
      </c>
      <c r="AH35" s="1011" t="b">
        <f t="shared" si="2"/>
        <v>1</v>
      </c>
      <c r="AI35" s="1011" t="s">
        <v>901</v>
      </c>
      <c r="AJ35" s="1011" t="s">
        <v>900</v>
      </c>
      <c r="AK35" s="1011" t="s">
        <v>1301</v>
      </c>
      <c r="AL35" s="1011" t="s">
        <v>1302</v>
      </c>
    </row>
    <row r="36" spans="1:43" ht="15.75" customHeight="1" x14ac:dyDescent="0.2">
      <c r="A36" s="1018" t="s">
        <v>903</v>
      </c>
      <c r="B36" s="1019" t="s">
        <v>902</v>
      </c>
      <c r="C36" s="1020">
        <v>0.3</v>
      </c>
      <c r="D36" s="597" t="s">
        <v>779</v>
      </c>
      <c r="E36" s="597" t="s">
        <v>780</v>
      </c>
      <c r="F36" s="1020">
        <v>0.37</v>
      </c>
      <c r="G36" s="597" t="s">
        <v>600</v>
      </c>
      <c r="H36" s="597" t="s">
        <v>600</v>
      </c>
      <c r="I36" s="1020">
        <v>0</v>
      </c>
      <c r="J36" s="1020">
        <f t="shared" si="0"/>
        <v>0.66999999999999993</v>
      </c>
      <c r="K36" s="1020"/>
      <c r="L36" s="1020">
        <v>0.3</v>
      </c>
      <c r="M36" s="597" t="s">
        <v>779</v>
      </c>
      <c r="N36" s="597" t="s">
        <v>780</v>
      </c>
      <c r="O36" s="1020">
        <v>0.2</v>
      </c>
      <c r="P36" s="597" t="s">
        <v>600</v>
      </c>
      <c r="Q36" s="597" t="s">
        <v>600</v>
      </c>
      <c r="R36" s="1020">
        <v>0</v>
      </c>
      <c r="S36" s="1020">
        <f t="shared" si="1"/>
        <v>0.5</v>
      </c>
      <c r="T36" s="947"/>
      <c r="U36" s="877"/>
      <c r="V36" s="877"/>
      <c r="W36" s="877"/>
      <c r="X36" s="937" t="s">
        <v>1005</v>
      </c>
      <c r="Y36" s="924"/>
      <c r="Z36" s="883"/>
      <c r="AA36" s="925"/>
      <c r="AB36" s="914" t="s">
        <v>1005</v>
      </c>
      <c r="AC36" s="1011" t="s">
        <v>1206</v>
      </c>
      <c r="AD36" s="1011" t="s">
        <v>1206</v>
      </c>
      <c r="AE36" s="1011" t="s">
        <v>1206</v>
      </c>
      <c r="AF36" s="1011" t="s">
        <v>1206</v>
      </c>
      <c r="AH36" s="1011" t="b">
        <f t="shared" si="2"/>
        <v>1</v>
      </c>
      <c r="AI36" s="1011" t="s">
        <v>903</v>
      </c>
      <c r="AJ36" s="1011" t="s">
        <v>902</v>
      </c>
      <c r="AK36" s="1011" t="s">
        <v>1303</v>
      </c>
      <c r="AL36" s="1011" t="s">
        <v>1304</v>
      </c>
    </row>
    <row r="37" spans="1:43" ht="15.75" customHeight="1" x14ac:dyDescent="0.2">
      <c r="A37" s="1018" t="s">
        <v>905</v>
      </c>
      <c r="B37" s="1019" t="s">
        <v>904</v>
      </c>
      <c r="C37" s="1020">
        <v>0.4</v>
      </c>
      <c r="D37" s="597" t="s">
        <v>673</v>
      </c>
      <c r="E37" s="597" t="s">
        <v>674</v>
      </c>
      <c r="F37" s="1020">
        <v>0.09</v>
      </c>
      <c r="G37" s="597" t="s">
        <v>670</v>
      </c>
      <c r="H37" s="597" t="s">
        <v>671</v>
      </c>
      <c r="I37" s="1020">
        <v>0.01</v>
      </c>
      <c r="J37" s="1020">
        <f t="shared" si="0"/>
        <v>0.5</v>
      </c>
      <c r="K37" s="1020"/>
      <c r="L37" s="1020">
        <v>0.4</v>
      </c>
      <c r="M37" s="597" t="s">
        <v>673</v>
      </c>
      <c r="N37" s="597" t="s">
        <v>674</v>
      </c>
      <c r="O37" s="1020">
        <v>0.09</v>
      </c>
      <c r="P37" s="597" t="s">
        <v>670</v>
      </c>
      <c r="Q37" s="597" t="s">
        <v>671</v>
      </c>
      <c r="R37" s="1020">
        <v>0.01</v>
      </c>
      <c r="S37" s="1020">
        <f t="shared" si="1"/>
        <v>0.5</v>
      </c>
      <c r="T37" s="947"/>
      <c r="U37" s="877"/>
      <c r="V37" s="877"/>
      <c r="W37" s="877"/>
      <c r="X37" s="1015"/>
      <c r="Y37" s="924"/>
      <c r="Z37" s="883"/>
      <c r="AA37" s="925"/>
      <c r="AB37" s="912"/>
      <c r="AC37" s="1011" t="s">
        <v>1206</v>
      </c>
      <c r="AD37" s="1011" t="s">
        <v>1206</v>
      </c>
      <c r="AE37" s="1011" t="s">
        <v>1206</v>
      </c>
      <c r="AF37" s="1011" t="s">
        <v>1206</v>
      </c>
      <c r="AH37" s="1011" t="b">
        <f t="shared" si="2"/>
        <v>1</v>
      </c>
      <c r="AI37" s="1011" t="s">
        <v>905</v>
      </c>
      <c r="AJ37" s="1011" t="s">
        <v>904</v>
      </c>
      <c r="AK37" s="1011" t="s">
        <v>1305</v>
      </c>
      <c r="AL37" s="1011" t="s">
        <v>1306</v>
      </c>
      <c r="AM37" s="1011" t="s">
        <v>1307</v>
      </c>
      <c r="AN37" s="1011" t="s">
        <v>1308</v>
      </c>
      <c r="AO37" s="1011" t="s">
        <v>1309</v>
      </c>
      <c r="AQ37" s="1011" t="s">
        <v>1310</v>
      </c>
    </row>
    <row r="38" spans="1:43" ht="15.75" customHeight="1" x14ac:dyDescent="0.2">
      <c r="A38" s="1018" t="s">
        <v>907</v>
      </c>
      <c r="B38" s="1019" t="s">
        <v>664</v>
      </c>
      <c r="C38" s="1020">
        <v>0.49</v>
      </c>
      <c r="D38" s="597" t="s">
        <v>600</v>
      </c>
      <c r="E38" s="597" t="s">
        <v>601</v>
      </c>
      <c r="F38" s="1020">
        <v>0</v>
      </c>
      <c r="G38" s="597" t="s">
        <v>665</v>
      </c>
      <c r="H38" s="597" t="s">
        <v>666</v>
      </c>
      <c r="I38" s="1020">
        <v>0.01</v>
      </c>
      <c r="J38" s="1020">
        <f t="shared" si="0"/>
        <v>0.5</v>
      </c>
      <c r="K38" s="1020"/>
      <c r="L38" s="1020">
        <v>0.49</v>
      </c>
      <c r="M38" s="597" t="s">
        <v>600</v>
      </c>
      <c r="N38" s="597" t="s">
        <v>601</v>
      </c>
      <c r="O38" s="1020">
        <v>0</v>
      </c>
      <c r="P38" s="597" t="s">
        <v>665</v>
      </c>
      <c r="Q38" s="597" t="s">
        <v>666</v>
      </c>
      <c r="R38" s="1020">
        <v>0.01</v>
      </c>
      <c r="S38" s="1020">
        <f t="shared" si="1"/>
        <v>0.5</v>
      </c>
      <c r="T38" s="947"/>
      <c r="U38" s="877"/>
      <c r="V38" s="877"/>
      <c r="W38" s="877"/>
      <c r="X38" s="937" t="s">
        <v>1005</v>
      </c>
      <c r="Y38" s="924"/>
      <c r="Z38" s="883"/>
      <c r="AA38" s="925"/>
      <c r="AB38" s="914" t="s">
        <v>1005</v>
      </c>
      <c r="AC38" s="1011" t="s">
        <v>1206</v>
      </c>
      <c r="AD38" s="1011" t="s">
        <v>1206</v>
      </c>
      <c r="AE38" s="1011" t="s">
        <v>1206</v>
      </c>
      <c r="AF38" s="1011" t="s">
        <v>1206</v>
      </c>
      <c r="AH38" s="1011" t="b">
        <f t="shared" si="2"/>
        <v>1</v>
      </c>
      <c r="AI38" s="1011" t="s">
        <v>907</v>
      </c>
      <c r="AJ38" s="1011" t="s">
        <v>906</v>
      </c>
      <c r="AK38" s="1011" t="s">
        <v>1311</v>
      </c>
      <c r="AL38" s="1011" t="s">
        <v>1312</v>
      </c>
      <c r="AO38" s="1011" t="s">
        <v>1312</v>
      </c>
      <c r="AP38" s="1011" t="s">
        <v>1313</v>
      </c>
      <c r="AQ38" s="1011" t="s">
        <v>1311</v>
      </c>
    </row>
    <row r="39" spans="1:43" ht="15" x14ac:dyDescent="0.2">
      <c r="A39" s="1018" t="s">
        <v>909</v>
      </c>
      <c r="B39" s="1019" t="s">
        <v>604</v>
      </c>
      <c r="C39" s="1020">
        <v>0.94</v>
      </c>
      <c r="D39" s="597" t="s">
        <v>3091</v>
      </c>
      <c r="E39" s="597" t="s">
        <v>3092</v>
      </c>
      <c r="F39" s="1020">
        <v>0.05</v>
      </c>
      <c r="G39" s="597" t="s">
        <v>602</v>
      </c>
      <c r="H39" s="597" t="s">
        <v>603</v>
      </c>
      <c r="I39" s="1020">
        <v>0.01</v>
      </c>
      <c r="J39" s="1020">
        <f t="shared" si="0"/>
        <v>1</v>
      </c>
      <c r="K39" s="1020"/>
      <c r="L39" s="1020">
        <v>0.49</v>
      </c>
      <c r="M39" s="597" t="s">
        <v>600</v>
      </c>
      <c r="N39" s="597" t="s">
        <v>601</v>
      </c>
      <c r="O39" s="1020">
        <v>0</v>
      </c>
      <c r="P39" s="597" t="s">
        <v>602</v>
      </c>
      <c r="Q39" s="597" t="s">
        <v>603</v>
      </c>
      <c r="R39" s="1020">
        <v>0.01</v>
      </c>
      <c r="S39" s="1020">
        <f t="shared" si="1"/>
        <v>0.5</v>
      </c>
      <c r="T39" s="947" t="s">
        <v>1005</v>
      </c>
      <c r="U39" s="889" t="s">
        <v>974</v>
      </c>
      <c r="V39" s="889" t="s">
        <v>973</v>
      </c>
      <c r="W39" s="1109" t="s">
        <v>2252</v>
      </c>
      <c r="X39" s="937" t="s">
        <v>1005</v>
      </c>
      <c r="Y39" s="926">
        <v>13351283</v>
      </c>
      <c r="Z39" s="1056">
        <v>6638996</v>
      </c>
      <c r="AA39" s="964"/>
      <c r="AB39" s="914" t="s">
        <v>1005</v>
      </c>
      <c r="AC39" s="1011" t="s">
        <v>1206</v>
      </c>
      <c r="AD39" s="1011" t="s">
        <v>1206</v>
      </c>
      <c r="AE39" s="1011" t="s">
        <v>1005</v>
      </c>
      <c r="AF39" s="1011" t="s">
        <v>1206</v>
      </c>
      <c r="AH39" s="1011" t="b">
        <f t="shared" si="2"/>
        <v>1</v>
      </c>
      <c r="AI39" s="1011" t="s">
        <v>909</v>
      </c>
      <c r="AJ39" s="1011" t="s">
        <v>908</v>
      </c>
      <c r="AK39" s="1011" t="s">
        <v>1314</v>
      </c>
      <c r="AL39" s="1011" t="s">
        <v>1315</v>
      </c>
    </row>
    <row r="40" spans="1:43" ht="15.75" customHeight="1" x14ac:dyDescent="0.2">
      <c r="A40" s="1018" t="s">
        <v>911</v>
      </c>
      <c r="B40" s="1019" t="s">
        <v>910</v>
      </c>
      <c r="C40" s="1020">
        <v>0.4</v>
      </c>
      <c r="D40" s="597" t="s">
        <v>723</v>
      </c>
      <c r="E40" s="597" t="s">
        <v>724</v>
      </c>
      <c r="F40" s="1020">
        <v>0.1</v>
      </c>
      <c r="G40" s="597" t="s">
        <v>600</v>
      </c>
      <c r="H40" s="597" t="s">
        <v>639</v>
      </c>
      <c r="I40" s="1020">
        <v>0</v>
      </c>
      <c r="J40" s="1020">
        <f t="shared" si="0"/>
        <v>0.5</v>
      </c>
      <c r="K40" s="1020"/>
      <c r="L40" s="1020">
        <v>0.4</v>
      </c>
      <c r="M40" s="597" t="s">
        <v>723</v>
      </c>
      <c r="N40" s="597" t="s">
        <v>724</v>
      </c>
      <c r="O40" s="1020">
        <v>0.1</v>
      </c>
      <c r="P40" s="597" t="s">
        <v>600</v>
      </c>
      <c r="Q40" s="597" t="s">
        <v>639</v>
      </c>
      <c r="R40" s="1020">
        <v>0</v>
      </c>
      <c r="S40" s="1020">
        <f t="shared" si="1"/>
        <v>0.5</v>
      </c>
      <c r="T40" s="947"/>
      <c r="U40" s="877"/>
      <c r="V40" s="877"/>
      <c r="W40" s="877"/>
      <c r="X40" s="1015"/>
      <c r="Y40" s="924"/>
      <c r="Z40" s="883"/>
      <c r="AA40" s="925"/>
      <c r="AB40" s="912"/>
      <c r="AC40" s="1011" t="s">
        <v>1206</v>
      </c>
      <c r="AD40" s="1011" t="s">
        <v>1206</v>
      </c>
      <c r="AE40" s="1011" t="s">
        <v>1206</v>
      </c>
      <c r="AF40" s="1011" t="s">
        <v>1206</v>
      </c>
      <c r="AH40" s="1011" t="b">
        <f t="shared" si="2"/>
        <v>1</v>
      </c>
      <c r="AI40" s="1011" t="s">
        <v>911</v>
      </c>
      <c r="AJ40" s="1011" t="s">
        <v>910</v>
      </c>
      <c r="AK40" s="1011" t="s">
        <v>1316</v>
      </c>
      <c r="AL40" s="1011" t="s">
        <v>1317</v>
      </c>
      <c r="AO40" s="1011" t="s">
        <v>1317</v>
      </c>
      <c r="AP40" s="1011" t="s">
        <v>1318</v>
      </c>
      <c r="AQ40" s="1011" t="s">
        <v>1316</v>
      </c>
    </row>
    <row r="41" spans="1:43" ht="15.75" customHeight="1" x14ac:dyDescent="0.2">
      <c r="A41" s="1018" t="s">
        <v>913</v>
      </c>
      <c r="B41" s="1019" t="s">
        <v>912</v>
      </c>
      <c r="C41" s="1020">
        <v>0.3</v>
      </c>
      <c r="D41" s="597" t="s">
        <v>779</v>
      </c>
      <c r="E41" s="597" t="s">
        <v>780</v>
      </c>
      <c r="F41" s="1020">
        <v>0.37</v>
      </c>
      <c r="G41" s="597" t="s">
        <v>600</v>
      </c>
      <c r="H41" s="597" t="s">
        <v>600</v>
      </c>
      <c r="I41" s="1020">
        <v>0</v>
      </c>
      <c r="J41" s="1020">
        <f t="shared" si="0"/>
        <v>0.66999999999999993</v>
      </c>
      <c r="K41" s="1020"/>
      <c r="L41" s="1020">
        <v>0.3</v>
      </c>
      <c r="M41" s="597" t="s">
        <v>779</v>
      </c>
      <c r="N41" s="597" t="s">
        <v>780</v>
      </c>
      <c r="O41" s="1020">
        <v>0.2</v>
      </c>
      <c r="P41" s="597" t="s">
        <v>600</v>
      </c>
      <c r="Q41" s="597" t="s">
        <v>600</v>
      </c>
      <c r="R41" s="1020">
        <v>0</v>
      </c>
      <c r="S41" s="1020">
        <f t="shared" si="1"/>
        <v>0.5</v>
      </c>
      <c r="T41" s="947"/>
      <c r="U41" s="877"/>
      <c r="V41" s="877"/>
      <c r="W41" s="877"/>
      <c r="X41" s="937" t="s">
        <v>1005</v>
      </c>
      <c r="Y41" s="924"/>
      <c r="Z41" s="883"/>
      <c r="AA41" s="925"/>
      <c r="AB41" s="914" t="s">
        <v>1005</v>
      </c>
      <c r="AC41" s="1011" t="s">
        <v>1206</v>
      </c>
      <c r="AD41" s="1011" t="s">
        <v>1206</v>
      </c>
      <c r="AE41" s="1011" t="s">
        <v>1206</v>
      </c>
      <c r="AF41" s="1011" t="s">
        <v>1206</v>
      </c>
      <c r="AH41" s="1011" t="b">
        <f t="shared" si="2"/>
        <v>1</v>
      </c>
      <c r="AI41" s="1011" t="s">
        <v>913</v>
      </c>
      <c r="AJ41" s="1011" t="s">
        <v>912</v>
      </c>
      <c r="AK41" s="1011" t="s">
        <v>1319</v>
      </c>
      <c r="AL41" s="1011" t="s">
        <v>1320</v>
      </c>
    </row>
    <row r="42" spans="1:43" ht="15.75" customHeight="1" x14ac:dyDescent="0.2">
      <c r="A42" s="1018" t="s">
        <v>915</v>
      </c>
      <c r="B42" s="1019" t="s">
        <v>914</v>
      </c>
      <c r="C42" s="1020">
        <v>0.4</v>
      </c>
      <c r="D42" s="597" t="s">
        <v>690</v>
      </c>
      <c r="E42" s="597" t="s">
        <v>691</v>
      </c>
      <c r="F42" s="1020">
        <v>0.09</v>
      </c>
      <c r="G42" s="597" t="s">
        <v>688</v>
      </c>
      <c r="H42" s="597" t="s">
        <v>689</v>
      </c>
      <c r="I42" s="1020">
        <v>0.01</v>
      </c>
      <c r="J42" s="1020">
        <f t="shared" si="0"/>
        <v>0.5</v>
      </c>
      <c r="K42" s="1020"/>
      <c r="L42" s="1020">
        <v>0.4</v>
      </c>
      <c r="M42" s="597" t="s">
        <v>690</v>
      </c>
      <c r="N42" s="597" t="s">
        <v>691</v>
      </c>
      <c r="O42" s="1020">
        <v>0.09</v>
      </c>
      <c r="P42" s="597" t="s">
        <v>688</v>
      </c>
      <c r="Q42" s="597" t="s">
        <v>689</v>
      </c>
      <c r="R42" s="1020">
        <v>0.01</v>
      </c>
      <c r="S42" s="1020">
        <f t="shared" si="1"/>
        <v>0.5</v>
      </c>
      <c r="T42" s="947"/>
      <c r="U42" s="877"/>
      <c r="V42" s="877"/>
      <c r="W42" s="877"/>
      <c r="X42" s="1015"/>
      <c r="Y42" s="924"/>
      <c r="Z42" s="883"/>
      <c r="AA42" s="925"/>
      <c r="AB42" s="912"/>
      <c r="AC42" s="1011" t="s">
        <v>1206</v>
      </c>
      <c r="AD42" s="1011" t="s">
        <v>1206</v>
      </c>
      <c r="AE42" s="1011" t="s">
        <v>1206</v>
      </c>
      <c r="AF42" s="1011" t="s">
        <v>1206</v>
      </c>
      <c r="AH42" s="1011" t="b">
        <f t="shared" si="2"/>
        <v>1</v>
      </c>
      <c r="AI42" s="1011" t="s">
        <v>915</v>
      </c>
      <c r="AJ42" s="1011" t="s">
        <v>914</v>
      </c>
      <c r="AK42" s="1011" t="s">
        <v>1321</v>
      </c>
      <c r="AL42" s="1011" t="s">
        <v>1322</v>
      </c>
    </row>
    <row r="43" spans="1:43" ht="15.75" customHeight="1" x14ac:dyDescent="0.2">
      <c r="A43" s="1018" t="s">
        <v>917</v>
      </c>
      <c r="B43" s="1019" t="s">
        <v>916</v>
      </c>
      <c r="C43" s="1020">
        <v>0.4</v>
      </c>
      <c r="D43" s="597" t="s">
        <v>692</v>
      </c>
      <c r="E43" s="597" t="s">
        <v>693</v>
      </c>
      <c r="F43" s="1020">
        <v>0.1</v>
      </c>
      <c r="G43" s="597" t="s">
        <v>600</v>
      </c>
      <c r="H43" s="597" t="s">
        <v>639</v>
      </c>
      <c r="I43" s="1020">
        <v>0</v>
      </c>
      <c r="J43" s="1020">
        <f t="shared" si="0"/>
        <v>0.5</v>
      </c>
      <c r="K43" s="1020"/>
      <c r="L43" s="1020">
        <v>0.4</v>
      </c>
      <c r="M43" s="597" t="s">
        <v>692</v>
      </c>
      <c r="N43" s="597" t="s">
        <v>693</v>
      </c>
      <c r="O43" s="1020">
        <v>0.1</v>
      </c>
      <c r="P43" s="597" t="s">
        <v>600</v>
      </c>
      <c r="Q43" s="597" t="s">
        <v>639</v>
      </c>
      <c r="R43" s="1020">
        <v>0</v>
      </c>
      <c r="S43" s="1020">
        <f t="shared" si="1"/>
        <v>0.5</v>
      </c>
      <c r="T43" s="947"/>
      <c r="U43" s="877"/>
      <c r="V43" s="877"/>
      <c r="W43" s="877"/>
      <c r="X43" s="1015"/>
      <c r="Y43" s="924"/>
      <c r="Z43" s="883"/>
      <c r="AA43" s="925"/>
      <c r="AB43" s="912"/>
      <c r="AC43" s="1011" t="s">
        <v>1206</v>
      </c>
      <c r="AD43" s="1011" t="s">
        <v>1206</v>
      </c>
      <c r="AE43" s="1011" t="s">
        <v>1206</v>
      </c>
      <c r="AF43" s="1011" t="s">
        <v>1206</v>
      </c>
      <c r="AH43" s="1011" t="b">
        <f t="shared" si="2"/>
        <v>1</v>
      </c>
      <c r="AI43" s="1011" t="s">
        <v>917</v>
      </c>
      <c r="AJ43" s="1011" t="s">
        <v>916</v>
      </c>
      <c r="AK43" s="1011" t="s">
        <v>1323</v>
      </c>
      <c r="AL43" s="1011" t="s">
        <v>1324</v>
      </c>
    </row>
    <row r="44" spans="1:43" ht="15" x14ac:dyDescent="0.2">
      <c r="A44" s="1018" t="s">
        <v>919</v>
      </c>
      <c r="B44" s="1019" t="s">
        <v>918</v>
      </c>
      <c r="C44" s="1020">
        <v>0.4</v>
      </c>
      <c r="D44" s="597" t="s">
        <v>736</v>
      </c>
      <c r="E44" s="597" t="s">
        <v>737</v>
      </c>
      <c r="F44" s="1020">
        <v>0.09</v>
      </c>
      <c r="G44" s="597" t="s">
        <v>734</v>
      </c>
      <c r="H44" s="597" t="s">
        <v>735</v>
      </c>
      <c r="I44" s="1020">
        <v>0.01</v>
      </c>
      <c r="J44" s="1020">
        <f t="shared" si="0"/>
        <v>0.5</v>
      </c>
      <c r="K44" s="1020"/>
      <c r="L44" s="1020">
        <v>0.4</v>
      </c>
      <c r="M44" s="597" t="s">
        <v>736</v>
      </c>
      <c r="N44" s="597" t="s">
        <v>737</v>
      </c>
      <c r="O44" s="1020">
        <v>0.09</v>
      </c>
      <c r="P44" s="597" t="s">
        <v>734</v>
      </c>
      <c r="Q44" s="597" t="s">
        <v>735</v>
      </c>
      <c r="R44" s="1020">
        <v>0.01</v>
      </c>
      <c r="S44" s="1020">
        <f t="shared" si="1"/>
        <v>0.5</v>
      </c>
      <c r="T44" s="947" t="s">
        <v>1005</v>
      </c>
      <c r="U44" s="877" t="s">
        <v>975</v>
      </c>
      <c r="V44" s="877"/>
      <c r="W44" s="877"/>
      <c r="X44" s="1015"/>
      <c r="Y44" s="926">
        <v>1130039</v>
      </c>
      <c r="Z44" s="888"/>
      <c r="AA44" s="927"/>
      <c r="AB44" s="912"/>
      <c r="AC44" s="1011" t="s">
        <v>1206</v>
      </c>
      <c r="AD44" s="1011" t="s">
        <v>1206</v>
      </c>
      <c r="AE44" s="1011" t="s">
        <v>1206</v>
      </c>
      <c r="AF44" s="1011" t="s">
        <v>1206</v>
      </c>
      <c r="AH44" s="1011" t="b">
        <f t="shared" si="2"/>
        <v>1</v>
      </c>
      <c r="AI44" s="1011" t="s">
        <v>919</v>
      </c>
      <c r="AJ44" s="1011" t="s">
        <v>918</v>
      </c>
      <c r="AK44" s="1011" t="s">
        <v>1325</v>
      </c>
      <c r="AL44" s="1011" t="s">
        <v>1326</v>
      </c>
      <c r="AM44" s="1011" t="s">
        <v>1327</v>
      </c>
      <c r="AN44" s="1011" t="s">
        <v>1328</v>
      </c>
      <c r="AO44" s="1011" t="s">
        <v>1326</v>
      </c>
      <c r="AP44" s="1011" t="s">
        <v>1329</v>
      </c>
      <c r="AQ44" s="1011" t="s">
        <v>1325</v>
      </c>
    </row>
    <row r="45" spans="1:43" ht="15.75" customHeight="1" x14ac:dyDescent="0.2">
      <c r="A45" s="1018" t="s">
        <v>921</v>
      </c>
      <c r="B45" s="1019" t="s">
        <v>920</v>
      </c>
      <c r="C45" s="1020">
        <v>0.4</v>
      </c>
      <c r="D45" s="597" t="s">
        <v>711</v>
      </c>
      <c r="E45" s="597" t="s">
        <v>712</v>
      </c>
      <c r="F45" s="1020">
        <v>0.09</v>
      </c>
      <c r="G45" s="597" t="s">
        <v>708</v>
      </c>
      <c r="H45" s="597" t="s">
        <v>709</v>
      </c>
      <c r="I45" s="1020">
        <v>0.01</v>
      </c>
      <c r="J45" s="1020">
        <f t="shared" si="0"/>
        <v>0.5</v>
      </c>
      <c r="K45" s="1020"/>
      <c r="L45" s="1020">
        <v>0.4</v>
      </c>
      <c r="M45" s="597" t="s">
        <v>711</v>
      </c>
      <c r="N45" s="597" t="s">
        <v>712</v>
      </c>
      <c r="O45" s="1020">
        <v>0.09</v>
      </c>
      <c r="P45" s="597" t="s">
        <v>708</v>
      </c>
      <c r="Q45" s="597" t="s">
        <v>709</v>
      </c>
      <c r="R45" s="1020">
        <v>0.01</v>
      </c>
      <c r="S45" s="1020">
        <f t="shared" si="1"/>
        <v>0.5</v>
      </c>
      <c r="T45" s="947"/>
      <c r="U45" s="877"/>
      <c r="V45" s="877"/>
      <c r="W45" s="877"/>
      <c r="X45" s="1015"/>
      <c r="Y45" s="924"/>
      <c r="Z45" s="883"/>
      <c r="AA45" s="925"/>
      <c r="AB45" s="912"/>
      <c r="AC45" s="1011" t="s">
        <v>1206</v>
      </c>
      <c r="AD45" s="1011" t="s">
        <v>1206</v>
      </c>
      <c r="AE45" s="1011" t="s">
        <v>1206</v>
      </c>
      <c r="AF45" s="1011" t="s">
        <v>1206</v>
      </c>
      <c r="AH45" s="1011" t="b">
        <f t="shared" si="2"/>
        <v>1</v>
      </c>
      <c r="AI45" s="1011" t="s">
        <v>921</v>
      </c>
      <c r="AJ45" s="1011" t="s">
        <v>920</v>
      </c>
      <c r="AK45" s="1011" t="s">
        <v>1330</v>
      </c>
      <c r="AL45" s="1011" t="s">
        <v>1331</v>
      </c>
      <c r="AO45" s="1011" t="s">
        <v>1332</v>
      </c>
      <c r="AP45" s="1011" t="s">
        <v>1333</v>
      </c>
      <c r="AQ45" s="1011" t="s">
        <v>1334</v>
      </c>
    </row>
    <row r="46" spans="1:43" ht="15.75" customHeight="1" x14ac:dyDescent="0.2">
      <c r="A46" s="1018" t="s">
        <v>923</v>
      </c>
      <c r="B46" s="1019" t="s">
        <v>922</v>
      </c>
      <c r="C46" s="1020">
        <v>0.99</v>
      </c>
      <c r="D46" s="597" t="s">
        <v>600</v>
      </c>
      <c r="E46" s="597" t="s">
        <v>765</v>
      </c>
      <c r="F46" s="1020">
        <v>0</v>
      </c>
      <c r="G46" s="597" t="s">
        <v>766</v>
      </c>
      <c r="H46" s="597" t="s">
        <v>767</v>
      </c>
      <c r="I46" s="1020">
        <v>0.01</v>
      </c>
      <c r="J46" s="1020">
        <f t="shared" si="0"/>
        <v>1</v>
      </c>
      <c r="K46" s="1020"/>
      <c r="L46" s="1020">
        <v>0.49</v>
      </c>
      <c r="M46" s="597" t="s">
        <v>600</v>
      </c>
      <c r="N46" s="597" t="s">
        <v>765</v>
      </c>
      <c r="O46" s="1020">
        <v>0</v>
      </c>
      <c r="P46" s="597" t="s">
        <v>766</v>
      </c>
      <c r="Q46" s="597" t="s">
        <v>767</v>
      </c>
      <c r="R46" s="1020">
        <v>0.01</v>
      </c>
      <c r="S46" s="1020">
        <f t="shared" si="1"/>
        <v>0.5</v>
      </c>
      <c r="T46" s="947"/>
      <c r="U46" s="877"/>
      <c r="V46" s="877"/>
      <c r="W46" s="877"/>
      <c r="X46" s="937" t="s">
        <v>1005</v>
      </c>
      <c r="Y46" s="924"/>
      <c r="Z46" s="883"/>
      <c r="AA46" s="925"/>
      <c r="AB46" s="914" t="s">
        <v>1005</v>
      </c>
      <c r="AC46" s="1011" t="s">
        <v>1206</v>
      </c>
      <c r="AD46" s="1011" t="s">
        <v>1206</v>
      </c>
      <c r="AE46" s="1011" t="s">
        <v>1206</v>
      </c>
      <c r="AF46" s="1011" t="s">
        <v>1206</v>
      </c>
      <c r="AG46" s="1112"/>
      <c r="AH46" s="1011" t="b">
        <f t="shared" si="2"/>
        <v>1</v>
      </c>
      <c r="AI46" s="1011" t="s">
        <v>923</v>
      </c>
      <c r="AJ46" s="1011" t="s">
        <v>922</v>
      </c>
      <c r="AK46" s="1011" t="s">
        <v>1335</v>
      </c>
      <c r="AL46" s="1011" t="s">
        <v>1336</v>
      </c>
      <c r="AM46" s="1011" t="s">
        <v>1337</v>
      </c>
      <c r="AN46" s="1011" t="s">
        <v>1338</v>
      </c>
    </row>
    <row r="47" spans="1:43" ht="15.75" customHeight="1" x14ac:dyDescent="0.2">
      <c r="A47" s="1018" t="s">
        <v>925</v>
      </c>
      <c r="B47" s="1019" t="s">
        <v>924</v>
      </c>
      <c r="C47" s="1020">
        <v>0.49</v>
      </c>
      <c r="D47" s="597" t="s">
        <v>600</v>
      </c>
      <c r="E47" s="597" t="s">
        <v>765</v>
      </c>
      <c r="F47" s="1020">
        <v>0</v>
      </c>
      <c r="G47" s="597" t="s">
        <v>776</v>
      </c>
      <c r="H47" s="597" t="s">
        <v>777</v>
      </c>
      <c r="I47" s="1020">
        <v>0.01</v>
      </c>
      <c r="J47" s="1020">
        <f t="shared" si="0"/>
        <v>0.5</v>
      </c>
      <c r="K47" s="1020"/>
      <c r="L47" s="1020">
        <v>0.49</v>
      </c>
      <c r="M47" s="597" t="s">
        <v>600</v>
      </c>
      <c r="N47" s="597" t="s">
        <v>765</v>
      </c>
      <c r="O47" s="1020">
        <v>0</v>
      </c>
      <c r="P47" s="597" t="s">
        <v>776</v>
      </c>
      <c r="Q47" s="597" t="s">
        <v>777</v>
      </c>
      <c r="R47" s="1020">
        <v>0.01</v>
      </c>
      <c r="S47" s="1020">
        <f t="shared" si="1"/>
        <v>0.5</v>
      </c>
      <c r="T47" s="1106" t="s">
        <v>1005</v>
      </c>
      <c r="U47" s="1107" t="s">
        <v>2248</v>
      </c>
      <c r="V47" s="877"/>
      <c r="W47" s="877"/>
      <c r="X47" s="937" t="s">
        <v>1005</v>
      </c>
      <c r="Y47" s="924"/>
      <c r="Z47" s="883"/>
      <c r="AA47" s="925"/>
      <c r="AB47" s="914" t="s">
        <v>1005</v>
      </c>
      <c r="AC47" s="1011" t="s">
        <v>1005</v>
      </c>
      <c r="AD47" s="1011" t="s">
        <v>1206</v>
      </c>
      <c r="AE47" s="1011" t="s">
        <v>1206</v>
      </c>
      <c r="AF47" s="1011" t="s">
        <v>1206</v>
      </c>
      <c r="AH47" s="1011" t="b">
        <f t="shared" si="2"/>
        <v>1</v>
      </c>
      <c r="AI47" s="1011" t="s">
        <v>925</v>
      </c>
      <c r="AJ47" s="1011" t="s">
        <v>924</v>
      </c>
      <c r="AK47" s="1011" t="s">
        <v>1339</v>
      </c>
      <c r="AL47" s="1011" t="s">
        <v>1340</v>
      </c>
    </row>
    <row r="48" spans="1:43" ht="15.75" customHeight="1" x14ac:dyDescent="0.2">
      <c r="A48" s="1018" t="s">
        <v>927</v>
      </c>
      <c r="B48" s="1019" t="s">
        <v>926</v>
      </c>
      <c r="C48" s="1020">
        <v>0.4</v>
      </c>
      <c r="D48" s="597" t="s">
        <v>626</v>
      </c>
      <c r="E48" s="597" t="s">
        <v>627</v>
      </c>
      <c r="F48" s="1020">
        <v>0.09</v>
      </c>
      <c r="G48" s="597" t="s">
        <v>624</v>
      </c>
      <c r="H48" s="597" t="s">
        <v>625</v>
      </c>
      <c r="I48" s="1020">
        <v>0.01</v>
      </c>
      <c r="J48" s="1020">
        <f t="shared" si="0"/>
        <v>0.5</v>
      </c>
      <c r="K48" s="1020"/>
      <c r="L48" s="1020">
        <v>0.4</v>
      </c>
      <c r="M48" s="597" t="s">
        <v>626</v>
      </c>
      <c r="N48" s="597" t="s">
        <v>627</v>
      </c>
      <c r="O48" s="1020">
        <v>0.09</v>
      </c>
      <c r="P48" s="597" t="s">
        <v>624</v>
      </c>
      <c r="Q48" s="597" t="s">
        <v>625</v>
      </c>
      <c r="R48" s="1020">
        <v>0.01</v>
      </c>
      <c r="S48" s="1020">
        <f t="shared" si="1"/>
        <v>0.5</v>
      </c>
      <c r="T48" s="947"/>
      <c r="U48" s="877"/>
      <c r="V48" s="877"/>
      <c r="W48" s="877"/>
      <c r="X48" s="1015"/>
      <c r="Y48" s="924"/>
      <c r="Z48" s="883"/>
      <c r="AA48" s="925"/>
      <c r="AB48" s="912"/>
      <c r="AC48" s="1011" t="s">
        <v>1206</v>
      </c>
      <c r="AD48" s="1011" t="s">
        <v>1206</v>
      </c>
      <c r="AE48" s="1011" t="s">
        <v>1206</v>
      </c>
      <c r="AF48" s="1011" t="s">
        <v>1005</v>
      </c>
      <c r="AG48" s="1112">
        <v>108958998.59472252</v>
      </c>
      <c r="AH48" s="1011" t="b">
        <f t="shared" si="2"/>
        <v>1</v>
      </c>
      <c r="AI48" s="1011" t="s">
        <v>927</v>
      </c>
      <c r="AJ48" s="1011" t="s">
        <v>926</v>
      </c>
      <c r="AK48" s="1011" t="s">
        <v>1341</v>
      </c>
      <c r="AL48" s="1011" t="s">
        <v>1342</v>
      </c>
      <c r="AM48" s="1011" t="s">
        <v>1343</v>
      </c>
      <c r="AN48" s="1011" t="s">
        <v>1344</v>
      </c>
    </row>
    <row r="49" spans="1:43" ht="15.75" customHeight="1" x14ac:dyDescent="0.2">
      <c r="A49" s="1018" t="s">
        <v>929</v>
      </c>
      <c r="B49" s="1019" t="s">
        <v>928</v>
      </c>
      <c r="C49" s="1020">
        <v>0.3</v>
      </c>
      <c r="D49" s="597" t="s">
        <v>779</v>
      </c>
      <c r="E49" s="597" t="s">
        <v>780</v>
      </c>
      <c r="F49" s="1020">
        <v>0.37</v>
      </c>
      <c r="G49" s="597" t="s">
        <v>600</v>
      </c>
      <c r="H49" s="597" t="s">
        <v>600</v>
      </c>
      <c r="I49" s="1020">
        <v>0</v>
      </c>
      <c r="J49" s="1020">
        <f t="shared" si="0"/>
        <v>0.66999999999999993</v>
      </c>
      <c r="K49" s="1020"/>
      <c r="L49" s="1020">
        <v>0.3</v>
      </c>
      <c r="M49" s="597" t="s">
        <v>779</v>
      </c>
      <c r="N49" s="597" t="s">
        <v>780</v>
      </c>
      <c r="O49" s="1020">
        <v>0.2</v>
      </c>
      <c r="P49" s="597" t="s">
        <v>600</v>
      </c>
      <c r="Q49" s="597" t="s">
        <v>600</v>
      </c>
      <c r="R49" s="1020">
        <v>0</v>
      </c>
      <c r="S49" s="1020">
        <f t="shared" si="1"/>
        <v>0.5</v>
      </c>
      <c r="T49" s="947"/>
      <c r="U49" s="877"/>
      <c r="V49" s="877"/>
      <c r="W49" s="877"/>
      <c r="X49" s="937" t="s">
        <v>1005</v>
      </c>
      <c r="Y49" s="924"/>
      <c r="Z49" s="883"/>
      <c r="AA49" s="925"/>
      <c r="AB49" s="914" t="s">
        <v>1005</v>
      </c>
      <c r="AC49" s="1011" t="s">
        <v>1206</v>
      </c>
      <c r="AD49" s="1011" t="s">
        <v>1206</v>
      </c>
      <c r="AE49" s="1011" t="s">
        <v>1206</v>
      </c>
      <c r="AF49" s="1011" t="s">
        <v>1206</v>
      </c>
      <c r="AH49" s="1011" t="b">
        <f t="shared" si="2"/>
        <v>1</v>
      </c>
      <c r="AI49" s="1011" t="s">
        <v>929</v>
      </c>
      <c r="AJ49" s="1011" t="s">
        <v>928</v>
      </c>
      <c r="AK49" s="1011" t="s">
        <v>1345</v>
      </c>
      <c r="AL49" s="1011" t="s">
        <v>1346</v>
      </c>
    </row>
    <row r="50" spans="1:43" ht="15.75" customHeight="1" x14ac:dyDescent="0.2">
      <c r="A50" s="1018" t="s">
        <v>931</v>
      </c>
      <c r="B50" s="1019" t="s">
        <v>930</v>
      </c>
      <c r="C50" s="1020">
        <v>0.4</v>
      </c>
      <c r="D50" s="597" t="s">
        <v>749</v>
      </c>
      <c r="E50" s="597" t="s">
        <v>750</v>
      </c>
      <c r="F50" s="1020">
        <v>0.09</v>
      </c>
      <c r="G50" s="597" t="s">
        <v>747</v>
      </c>
      <c r="H50" s="597" t="s">
        <v>748</v>
      </c>
      <c r="I50" s="1020">
        <v>0.01</v>
      </c>
      <c r="J50" s="1020">
        <f t="shared" si="0"/>
        <v>0.5</v>
      </c>
      <c r="K50" s="1020"/>
      <c r="L50" s="1020">
        <v>0.4</v>
      </c>
      <c r="M50" s="597" t="s">
        <v>749</v>
      </c>
      <c r="N50" s="597" t="s">
        <v>750</v>
      </c>
      <c r="O50" s="1020">
        <v>0.09</v>
      </c>
      <c r="P50" s="597" t="s">
        <v>747</v>
      </c>
      <c r="Q50" s="597" t="s">
        <v>748</v>
      </c>
      <c r="R50" s="1020">
        <v>0.01</v>
      </c>
      <c r="S50" s="1020">
        <f t="shared" si="1"/>
        <v>0.5</v>
      </c>
      <c r="T50" s="947"/>
      <c r="U50" s="877"/>
      <c r="V50" s="877"/>
      <c r="W50" s="877"/>
      <c r="X50" s="1015"/>
      <c r="Y50" s="924"/>
      <c r="Z50" s="883"/>
      <c r="AA50" s="925"/>
      <c r="AB50" s="912"/>
      <c r="AC50" s="1011" t="s">
        <v>1206</v>
      </c>
      <c r="AD50" s="1011" t="s">
        <v>1206</v>
      </c>
      <c r="AE50" s="1011" t="s">
        <v>1206</v>
      </c>
      <c r="AF50" s="1011" t="s">
        <v>1206</v>
      </c>
      <c r="AH50" s="1011" t="b">
        <f t="shared" si="2"/>
        <v>1</v>
      </c>
      <c r="AI50" s="1011" t="s">
        <v>931</v>
      </c>
      <c r="AJ50" s="1011" t="s">
        <v>930</v>
      </c>
      <c r="AK50" s="1011" t="s">
        <v>1347</v>
      </c>
      <c r="AL50" s="1011" t="s">
        <v>1348</v>
      </c>
    </row>
    <row r="51" spans="1:43" ht="15.75" customHeight="1" x14ac:dyDescent="0.2">
      <c r="A51" s="1018" t="s">
        <v>933</v>
      </c>
      <c r="B51" s="1019" t="s">
        <v>932</v>
      </c>
      <c r="C51" s="1020">
        <v>0.4</v>
      </c>
      <c r="D51" s="597" t="s">
        <v>704</v>
      </c>
      <c r="E51" s="597" t="s">
        <v>705</v>
      </c>
      <c r="F51" s="1020">
        <v>0.09</v>
      </c>
      <c r="G51" s="597" t="s">
        <v>702</v>
      </c>
      <c r="H51" s="597" t="s">
        <v>703</v>
      </c>
      <c r="I51" s="1020">
        <v>0.01</v>
      </c>
      <c r="J51" s="1020">
        <f t="shared" si="0"/>
        <v>0.5</v>
      </c>
      <c r="K51" s="1020"/>
      <c r="L51" s="1020">
        <v>0.4</v>
      </c>
      <c r="M51" s="597" t="s">
        <v>704</v>
      </c>
      <c r="N51" s="597" t="s">
        <v>705</v>
      </c>
      <c r="O51" s="1020">
        <v>0.09</v>
      </c>
      <c r="P51" s="597" t="s">
        <v>702</v>
      </c>
      <c r="Q51" s="597" t="s">
        <v>703</v>
      </c>
      <c r="R51" s="1020">
        <v>0.01</v>
      </c>
      <c r="S51" s="1020">
        <f t="shared" si="1"/>
        <v>0.5</v>
      </c>
      <c r="T51" s="947"/>
      <c r="U51" s="877"/>
      <c r="V51" s="877"/>
      <c r="W51" s="877"/>
      <c r="X51" s="1015"/>
      <c r="Y51" s="924"/>
      <c r="Z51" s="883"/>
      <c r="AA51" s="925"/>
      <c r="AB51" s="912"/>
      <c r="AC51" s="1011" t="s">
        <v>1206</v>
      </c>
      <c r="AD51" s="1011" t="s">
        <v>1206</v>
      </c>
      <c r="AE51" s="1011" t="s">
        <v>1206</v>
      </c>
      <c r="AF51" s="1011" t="s">
        <v>1206</v>
      </c>
      <c r="AH51" s="1011" t="b">
        <f t="shared" si="2"/>
        <v>1</v>
      </c>
      <c r="AI51" s="1011" t="s">
        <v>933</v>
      </c>
      <c r="AJ51" s="1011" t="s">
        <v>932</v>
      </c>
      <c r="AK51" s="1011" t="s">
        <v>1349</v>
      </c>
      <c r="AL51" s="1011" t="s">
        <v>1350</v>
      </c>
    </row>
    <row r="52" spans="1:43" ht="15" x14ac:dyDescent="0.2">
      <c r="A52" s="1018" t="s">
        <v>935</v>
      </c>
      <c r="B52" s="1019" t="s">
        <v>934</v>
      </c>
      <c r="C52" s="1020">
        <v>0.4</v>
      </c>
      <c r="D52" s="597" t="s">
        <v>640</v>
      </c>
      <c r="E52" s="597" t="s">
        <v>641</v>
      </c>
      <c r="F52" s="1020">
        <v>0.1</v>
      </c>
      <c r="G52" s="597" t="s">
        <v>600</v>
      </c>
      <c r="H52" s="597" t="s">
        <v>639</v>
      </c>
      <c r="I52" s="1020">
        <v>0</v>
      </c>
      <c r="J52" s="1020">
        <f t="shared" si="0"/>
        <v>0.5</v>
      </c>
      <c r="K52" s="1020"/>
      <c r="L52" s="1020">
        <v>0.4</v>
      </c>
      <c r="M52" s="597" t="s">
        <v>640</v>
      </c>
      <c r="N52" s="597" t="s">
        <v>641</v>
      </c>
      <c r="O52" s="1020">
        <v>0.1</v>
      </c>
      <c r="P52" s="597" t="s">
        <v>600</v>
      </c>
      <c r="Q52" s="597" t="s">
        <v>639</v>
      </c>
      <c r="R52" s="1020">
        <v>0</v>
      </c>
      <c r="S52" s="1020">
        <f t="shared" si="1"/>
        <v>0.5</v>
      </c>
      <c r="T52" s="947" t="s">
        <v>1005</v>
      </c>
      <c r="U52" s="886" t="s">
        <v>1163</v>
      </c>
      <c r="V52" s="877"/>
      <c r="W52" s="877"/>
      <c r="X52" s="1015"/>
      <c r="Y52" s="1057">
        <v>1536785</v>
      </c>
      <c r="Z52" s="964"/>
      <c r="AA52" s="1023"/>
      <c r="AB52" s="912"/>
      <c r="AC52" s="1011" t="s">
        <v>1206</v>
      </c>
      <c r="AD52" s="1011" t="s">
        <v>1206</v>
      </c>
      <c r="AE52" s="1011" t="s">
        <v>1206</v>
      </c>
      <c r="AF52" s="1011" t="s">
        <v>1206</v>
      </c>
      <c r="AH52" s="1011" t="b">
        <f t="shared" si="2"/>
        <v>1</v>
      </c>
      <c r="AI52" s="1011" t="s">
        <v>935</v>
      </c>
      <c r="AJ52" s="1011" t="s">
        <v>934</v>
      </c>
      <c r="AK52" s="1011" t="s">
        <v>1351</v>
      </c>
      <c r="AL52" s="1011" t="s">
        <v>1218</v>
      </c>
    </row>
    <row r="53" spans="1:43" ht="15.75" customHeight="1" x14ac:dyDescent="0.2">
      <c r="A53" s="1018" t="s">
        <v>937</v>
      </c>
      <c r="B53" s="1019" t="s">
        <v>936</v>
      </c>
      <c r="C53" s="1020">
        <v>0.4</v>
      </c>
      <c r="D53" s="597" t="s">
        <v>673</v>
      </c>
      <c r="E53" s="597" t="s">
        <v>674</v>
      </c>
      <c r="F53" s="1020">
        <v>0.09</v>
      </c>
      <c r="G53" s="597" t="s">
        <v>670</v>
      </c>
      <c r="H53" s="597" t="s">
        <v>671</v>
      </c>
      <c r="I53" s="1020">
        <v>0.01</v>
      </c>
      <c r="J53" s="1020">
        <f t="shared" si="0"/>
        <v>0.5</v>
      </c>
      <c r="K53" s="1020"/>
      <c r="L53" s="1020">
        <v>0.4</v>
      </c>
      <c r="M53" s="597" t="s">
        <v>673</v>
      </c>
      <c r="N53" s="597" t="s">
        <v>674</v>
      </c>
      <c r="O53" s="1020">
        <v>0.09</v>
      </c>
      <c r="P53" s="597" t="s">
        <v>670</v>
      </c>
      <c r="Q53" s="597" t="s">
        <v>671</v>
      </c>
      <c r="R53" s="1020">
        <v>0.01</v>
      </c>
      <c r="S53" s="1020">
        <f t="shared" si="1"/>
        <v>0.5</v>
      </c>
      <c r="T53" s="947"/>
      <c r="U53" s="877"/>
      <c r="V53" s="877"/>
      <c r="W53" s="877"/>
      <c r="X53" s="1015"/>
      <c r="Y53" s="924"/>
      <c r="Z53" s="883"/>
      <c r="AA53" s="925"/>
      <c r="AB53" s="912"/>
      <c r="AC53" s="1011" t="s">
        <v>1206</v>
      </c>
      <c r="AD53" s="1011" t="s">
        <v>1206</v>
      </c>
      <c r="AE53" s="1011" t="s">
        <v>1206</v>
      </c>
      <c r="AF53" s="1011" t="s">
        <v>1206</v>
      </c>
      <c r="AH53" s="1011" t="b">
        <f t="shared" si="2"/>
        <v>1</v>
      </c>
      <c r="AI53" s="1011" t="s">
        <v>937</v>
      </c>
      <c r="AJ53" s="1011" t="s">
        <v>936</v>
      </c>
      <c r="AK53" s="1011" t="s">
        <v>1352</v>
      </c>
      <c r="AL53" s="1011" t="s">
        <v>1353</v>
      </c>
      <c r="AO53" s="1011" t="s">
        <v>1353</v>
      </c>
      <c r="AP53" s="1011" t="s">
        <v>1354</v>
      </c>
      <c r="AQ53" s="1011" t="s">
        <v>1352</v>
      </c>
    </row>
    <row r="54" spans="1:43" ht="15.75" customHeight="1" x14ac:dyDescent="0.2">
      <c r="A54" s="1018" t="s">
        <v>939</v>
      </c>
      <c r="B54" s="597" t="s">
        <v>938</v>
      </c>
      <c r="C54" s="1020">
        <v>0.49</v>
      </c>
      <c r="D54" s="597" t="s">
        <v>600</v>
      </c>
      <c r="E54" s="597" t="s">
        <v>601</v>
      </c>
      <c r="F54" s="1020">
        <v>0</v>
      </c>
      <c r="G54" s="597" t="s">
        <v>608</v>
      </c>
      <c r="H54" s="597" t="s">
        <v>609</v>
      </c>
      <c r="I54" s="1020">
        <v>0.01</v>
      </c>
      <c r="J54" s="1020">
        <f t="shared" si="0"/>
        <v>0.5</v>
      </c>
      <c r="K54" s="1020"/>
      <c r="L54" s="1020">
        <v>0.49</v>
      </c>
      <c r="M54" s="597" t="s">
        <v>600</v>
      </c>
      <c r="N54" s="597" t="s">
        <v>601</v>
      </c>
      <c r="O54" s="1020">
        <v>0</v>
      </c>
      <c r="P54" s="597" t="s">
        <v>608</v>
      </c>
      <c r="Q54" s="597" t="s">
        <v>609</v>
      </c>
      <c r="R54" s="1020">
        <v>0.01</v>
      </c>
      <c r="S54" s="1020">
        <f t="shared" si="1"/>
        <v>0.5</v>
      </c>
      <c r="T54" s="947"/>
      <c r="U54" s="877"/>
      <c r="V54" s="877"/>
      <c r="W54" s="877"/>
      <c r="X54" s="937" t="s">
        <v>1005</v>
      </c>
      <c r="Y54" s="918"/>
      <c r="Z54" s="878"/>
      <c r="AA54" s="919"/>
      <c r="AB54" s="914" t="s">
        <v>1005</v>
      </c>
      <c r="AC54" s="1011" t="s">
        <v>1206</v>
      </c>
      <c r="AD54" s="1011" t="s">
        <v>1206</v>
      </c>
      <c r="AE54" s="1011" t="s">
        <v>1206</v>
      </c>
      <c r="AF54" s="1011" t="s">
        <v>1206</v>
      </c>
      <c r="AH54" s="1011" t="b">
        <f t="shared" si="2"/>
        <v>1</v>
      </c>
      <c r="AI54" s="1011" t="s">
        <v>939</v>
      </c>
      <c r="AJ54" s="1011" t="s">
        <v>938</v>
      </c>
      <c r="AK54" s="1011" t="s">
        <v>1355</v>
      </c>
      <c r="AL54" s="1011" t="s">
        <v>1356</v>
      </c>
    </row>
    <row r="55" spans="1:43" ht="15.75" customHeight="1" x14ac:dyDescent="0.2">
      <c r="A55" s="1018" t="s">
        <v>941</v>
      </c>
      <c r="B55" s="1019" t="s">
        <v>940</v>
      </c>
      <c r="C55" s="1020">
        <v>0.4</v>
      </c>
      <c r="D55" s="597" t="s">
        <v>717</v>
      </c>
      <c r="E55" s="597" t="s">
        <v>718</v>
      </c>
      <c r="F55" s="1020">
        <v>0.09</v>
      </c>
      <c r="G55" s="597" t="s">
        <v>714</v>
      </c>
      <c r="H55" s="597" t="s">
        <v>715</v>
      </c>
      <c r="I55" s="1020">
        <v>0.01</v>
      </c>
      <c r="J55" s="1020">
        <f t="shared" si="0"/>
        <v>0.5</v>
      </c>
      <c r="K55" s="1020"/>
      <c r="L55" s="1020">
        <v>0.4</v>
      </c>
      <c r="M55" s="597" t="s">
        <v>717</v>
      </c>
      <c r="N55" s="597" t="s">
        <v>718</v>
      </c>
      <c r="O55" s="1020">
        <v>0.09</v>
      </c>
      <c r="P55" s="597" t="s">
        <v>714</v>
      </c>
      <c r="Q55" s="597" t="s">
        <v>715</v>
      </c>
      <c r="R55" s="1020">
        <v>0.01</v>
      </c>
      <c r="S55" s="1020">
        <f t="shared" si="1"/>
        <v>0.5</v>
      </c>
      <c r="T55" s="947" t="s">
        <v>1005</v>
      </c>
      <c r="U55" s="877" t="s">
        <v>3083</v>
      </c>
      <c r="V55" s="877"/>
      <c r="W55" s="877"/>
      <c r="X55" s="1015"/>
      <c r="Y55" s="924"/>
      <c r="Z55" s="883"/>
      <c r="AA55" s="925"/>
      <c r="AB55" s="912"/>
      <c r="AC55" s="1011" t="s">
        <v>1206</v>
      </c>
      <c r="AD55" s="1011" t="s">
        <v>1206</v>
      </c>
      <c r="AE55" s="1011" t="s">
        <v>1206</v>
      </c>
      <c r="AF55" s="1011" t="s">
        <v>1206</v>
      </c>
      <c r="AH55" s="1011" t="b">
        <f t="shared" si="2"/>
        <v>1</v>
      </c>
      <c r="AI55" s="1011" t="s">
        <v>941</v>
      </c>
      <c r="AJ55" s="1011" t="s">
        <v>940</v>
      </c>
      <c r="AK55" s="1011" t="s">
        <v>1357</v>
      </c>
      <c r="AL55" s="1011" t="s">
        <v>1358</v>
      </c>
    </row>
    <row r="56" spans="1:43" ht="15.75" customHeight="1" x14ac:dyDescent="0.2">
      <c r="A56" s="1018" t="s">
        <v>943</v>
      </c>
      <c r="B56" s="1019" t="s">
        <v>942</v>
      </c>
      <c r="C56" s="1020">
        <v>0.4</v>
      </c>
      <c r="D56" s="597" t="s">
        <v>673</v>
      </c>
      <c r="E56" s="597" t="s">
        <v>674</v>
      </c>
      <c r="F56" s="1020">
        <v>0.09</v>
      </c>
      <c r="G56" s="597" t="s">
        <v>670</v>
      </c>
      <c r="H56" s="597" t="s">
        <v>671</v>
      </c>
      <c r="I56" s="1020">
        <v>0.01</v>
      </c>
      <c r="J56" s="1020">
        <f t="shared" si="0"/>
        <v>0.5</v>
      </c>
      <c r="K56" s="1020"/>
      <c r="L56" s="1020">
        <v>0.4</v>
      </c>
      <c r="M56" s="597" t="s">
        <v>673</v>
      </c>
      <c r="N56" s="597" t="s">
        <v>674</v>
      </c>
      <c r="O56" s="1020">
        <v>0.09</v>
      </c>
      <c r="P56" s="597" t="s">
        <v>670</v>
      </c>
      <c r="Q56" s="597" t="s">
        <v>671</v>
      </c>
      <c r="R56" s="1020">
        <v>0.01</v>
      </c>
      <c r="S56" s="1020">
        <f t="shared" si="1"/>
        <v>0.5</v>
      </c>
      <c r="T56" s="947"/>
      <c r="U56" s="877"/>
      <c r="V56" s="877"/>
      <c r="W56" s="877"/>
      <c r="X56" s="1015"/>
      <c r="Y56" s="924"/>
      <c r="Z56" s="883"/>
      <c r="AA56" s="925"/>
      <c r="AB56" s="912"/>
      <c r="AC56" s="1011" t="s">
        <v>1206</v>
      </c>
      <c r="AD56" s="1011" t="s">
        <v>1206</v>
      </c>
      <c r="AE56" s="1011" t="s">
        <v>1206</v>
      </c>
      <c r="AF56" s="1011" t="s">
        <v>1206</v>
      </c>
      <c r="AH56" s="1011" t="b">
        <f t="shared" si="2"/>
        <v>1</v>
      </c>
      <c r="AI56" s="1011" t="s">
        <v>943</v>
      </c>
      <c r="AJ56" s="1011" t="s">
        <v>942</v>
      </c>
      <c r="AK56" s="1011" t="s">
        <v>1359</v>
      </c>
      <c r="AL56" s="1011" t="s">
        <v>1360</v>
      </c>
      <c r="AM56" s="1011" t="s">
        <v>1361</v>
      </c>
      <c r="AN56" s="1011" t="s">
        <v>1362</v>
      </c>
      <c r="AO56" s="1011" t="s">
        <v>1363</v>
      </c>
      <c r="AP56" s="1011">
        <v>1245606695</v>
      </c>
      <c r="AQ56" s="1011" t="s">
        <v>1364</v>
      </c>
    </row>
    <row r="57" spans="1:43" ht="15.75" customHeight="1" x14ac:dyDescent="0.2">
      <c r="A57" s="1018" t="s">
        <v>945</v>
      </c>
      <c r="B57" s="1019" t="s">
        <v>944</v>
      </c>
      <c r="C57" s="1020">
        <v>0.4</v>
      </c>
      <c r="D57" s="597" t="s">
        <v>675</v>
      </c>
      <c r="E57" s="597" t="s">
        <v>680</v>
      </c>
      <c r="F57" s="1020">
        <v>0.1</v>
      </c>
      <c r="G57" s="597" t="s">
        <v>600</v>
      </c>
      <c r="H57" s="597" t="s">
        <v>639</v>
      </c>
      <c r="I57" s="1020">
        <v>0</v>
      </c>
      <c r="J57" s="1020">
        <f t="shared" si="0"/>
        <v>0.5</v>
      </c>
      <c r="K57" s="1020"/>
      <c r="L57" s="1020">
        <v>0.4</v>
      </c>
      <c r="M57" s="597" t="s">
        <v>675</v>
      </c>
      <c r="N57" s="597" t="s">
        <v>680</v>
      </c>
      <c r="O57" s="1020">
        <v>0.1</v>
      </c>
      <c r="P57" s="597" t="s">
        <v>600</v>
      </c>
      <c r="Q57" s="597" t="s">
        <v>639</v>
      </c>
      <c r="R57" s="1020">
        <v>0</v>
      </c>
      <c r="S57" s="1020">
        <f t="shared" si="1"/>
        <v>0.5</v>
      </c>
      <c r="T57" s="947"/>
      <c r="U57" s="877"/>
      <c r="V57" s="877"/>
      <c r="W57" s="877"/>
      <c r="X57" s="1015"/>
      <c r="Y57" s="924"/>
      <c r="Z57" s="883"/>
      <c r="AA57" s="925"/>
      <c r="AB57" s="912"/>
      <c r="AC57" s="1011" t="s">
        <v>1206</v>
      </c>
      <c r="AD57" s="1011" t="s">
        <v>1206</v>
      </c>
      <c r="AE57" s="1011" t="s">
        <v>1206</v>
      </c>
      <c r="AF57" s="1011" t="s">
        <v>1206</v>
      </c>
      <c r="AH57" s="1011" t="b">
        <f t="shared" si="2"/>
        <v>1</v>
      </c>
      <c r="AI57" s="1011" t="s">
        <v>945</v>
      </c>
      <c r="AJ57" s="1011" t="s">
        <v>944</v>
      </c>
      <c r="AK57" s="1011" t="s">
        <v>1365</v>
      </c>
      <c r="AL57" s="1011" t="s">
        <v>1366</v>
      </c>
    </row>
    <row r="58" spans="1:43" ht="15.75" customHeight="1" x14ac:dyDescent="0.2">
      <c r="A58" s="1018" t="s">
        <v>947</v>
      </c>
      <c r="B58" s="1019" t="s">
        <v>946</v>
      </c>
      <c r="C58" s="1020">
        <v>0.4</v>
      </c>
      <c r="D58" s="597" t="s">
        <v>739</v>
      </c>
      <c r="E58" s="597" t="s">
        <v>740</v>
      </c>
      <c r="F58" s="1020">
        <v>0.1</v>
      </c>
      <c r="G58" s="597" t="s">
        <v>600</v>
      </c>
      <c r="H58" s="597" t="s">
        <v>639</v>
      </c>
      <c r="I58" s="1020">
        <v>0</v>
      </c>
      <c r="J58" s="1020">
        <f t="shared" si="0"/>
        <v>0.5</v>
      </c>
      <c r="K58" s="1020"/>
      <c r="L58" s="1020">
        <v>0.4</v>
      </c>
      <c r="M58" s="597" t="s">
        <v>739</v>
      </c>
      <c r="N58" s="597" t="s">
        <v>740</v>
      </c>
      <c r="O58" s="1020">
        <v>0.1</v>
      </c>
      <c r="P58" s="597" t="s">
        <v>600</v>
      </c>
      <c r="Q58" s="597" t="s">
        <v>639</v>
      </c>
      <c r="R58" s="1020">
        <v>0</v>
      </c>
      <c r="S58" s="1020">
        <f t="shared" si="1"/>
        <v>0.5</v>
      </c>
      <c r="T58" s="947"/>
      <c r="U58" s="877"/>
      <c r="V58" s="877"/>
      <c r="W58" s="877"/>
      <c r="X58" s="1015"/>
      <c r="Y58" s="924"/>
      <c r="Z58" s="883"/>
      <c r="AA58" s="925"/>
      <c r="AB58" s="912"/>
      <c r="AC58" s="1011" t="s">
        <v>1206</v>
      </c>
      <c r="AD58" s="1011" t="s">
        <v>1206</v>
      </c>
      <c r="AE58" s="1011" t="s">
        <v>1206</v>
      </c>
      <c r="AF58" s="1011" t="s">
        <v>1206</v>
      </c>
      <c r="AH58" s="1011" t="b">
        <f t="shared" si="2"/>
        <v>1</v>
      </c>
      <c r="AI58" s="1011" t="s">
        <v>947</v>
      </c>
      <c r="AJ58" s="1011" t="s">
        <v>946</v>
      </c>
      <c r="AK58" s="1011" t="s">
        <v>1367</v>
      </c>
      <c r="AL58" s="1011" t="s">
        <v>1368</v>
      </c>
    </row>
    <row r="59" spans="1:43" ht="15" x14ac:dyDescent="0.2">
      <c r="A59" s="1018" t="s">
        <v>949</v>
      </c>
      <c r="B59" s="597" t="s">
        <v>948</v>
      </c>
      <c r="C59" s="1020">
        <v>0.49</v>
      </c>
      <c r="D59" s="597" t="s">
        <v>600</v>
      </c>
      <c r="E59" s="597" t="s">
        <v>601</v>
      </c>
      <c r="F59" s="1020">
        <v>0</v>
      </c>
      <c r="G59" s="597" t="s">
        <v>629</v>
      </c>
      <c r="H59" s="597" t="s">
        <v>630</v>
      </c>
      <c r="I59" s="1020">
        <v>0.01</v>
      </c>
      <c r="J59" s="1020">
        <f t="shared" si="0"/>
        <v>0.5</v>
      </c>
      <c r="K59" s="1020"/>
      <c r="L59" s="1020">
        <v>0.49</v>
      </c>
      <c r="M59" s="597" t="s">
        <v>600</v>
      </c>
      <c r="N59" s="597" t="s">
        <v>601</v>
      </c>
      <c r="O59" s="1020">
        <v>0</v>
      </c>
      <c r="P59" s="597" t="s">
        <v>629</v>
      </c>
      <c r="Q59" s="597" t="s">
        <v>630</v>
      </c>
      <c r="R59" s="1020">
        <v>0.01</v>
      </c>
      <c r="S59" s="1020">
        <f t="shared" si="1"/>
        <v>0.5</v>
      </c>
      <c r="T59" s="947" t="s">
        <v>1005</v>
      </c>
      <c r="U59" s="886" t="s">
        <v>1164</v>
      </c>
      <c r="V59" s="877"/>
      <c r="W59" s="877"/>
      <c r="X59" s="937" t="s">
        <v>1005</v>
      </c>
      <c r="Y59" s="1057">
        <v>2467698</v>
      </c>
      <c r="Z59" s="964"/>
      <c r="AA59" s="1023"/>
      <c r="AB59" s="914" t="s">
        <v>1005</v>
      </c>
      <c r="AC59" s="1011" t="s">
        <v>1206</v>
      </c>
      <c r="AD59" s="1011" t="s">
        <v>1206</v>
      </c>
      <c r="AE59" s="1011" t="s">
        <v>1206</v>
      </c>
      <c r="AF59" s="1011" t="s">
        <v>1005</v>
      </c>
      <c r="AG59" s="1112">
        <v>139949530.82509685</v>
      </c>
      <c r="AH59" s="1011" t="b">
        <f t="shared" si="2"/>
        <v>1</v>
      </c>
      <c r="AI59" s="1011" t="s">
        <v>949</v>
      </c>
      <c r="AJ59" s="1011" t="s">
        <v>1369</v>
      </c>
      <c r="AK59" s="1011" t="s">
        <v>1370</v>
      </c>
      <c r="AL59" s="1011" t="s">
        <v>1371</v>
      </c>
      <c r="AO59" s="1011" t="s">
        <v>1372</v>
      </c>
      <c r="AQ59" s="1011" t="s">
        <v>1373</v>
      </c>
    </row>
    <row r="60" spans="1:43" ht="15" x14ac:dyDescent="0.2">
      <c r="A60" s="1018" t="s">
        <v>951</v>
      </c>
      <c r="B60" s="597" t="s">
        <v>632</v>
      </c>
      <c r="C60" s="1020">
        <v>0.49</v>
      </c>
      <c r="D60" s="597" t="s">
        <v>600</v>
      </c>
      <c r="E60" s="597" t="s">
        <v>601</v>
      </c>
      <c r="F60" s="1020">
        <v>0</v>
      </c>
      <c r="G60" s="597" t="s">
        <v>629</v>
      </c>
      <c r="H60" s="597" t="s">
        <v>630</v>
      </c>
      <c r="I60" s="1020">
        <v>0.01</v>
      </c>
      <c r="J60" s="1020">
        <f t="shared" si="0"/>
        <v>0.5</v>
      </c>
      <c r="K60" s="1020"/>
      <c r="L60" s="1020">
        <v>0.49</v>
      </c>
      <c r="M60" s="597" t="s">
        <v>600</v>
      </c>
      <c r="N60" s="597" t="s">
        <v>601</v>
      </c>
      <c r="O60" s="1020">
        <v>0</v>
      </c>
      <c r="P60" s="597" t="s">
        <v>629</v>
      </c>
      <c r="Q60" s="597" t="s">
        <v>630</v>
      </c>
      <c r="R60" s="1020">
        <v>0.01</v>
      </c>
      <c r="S60" s="1020">
        <f t="shared" si="1"/>
        <v>0.5</v>
      </c>
      <c r="T60" s="947" t="s">
        <v>1005</v>
      </c>
      <c r="U60" s="886" t="s">
        <v>1164</v>
      </c>
      <c r="V60" s="877"/>
      <c r="W60" s="877"/>
      <c r="X60" s="937" t="s">
        <v>1005</v>
      </c>
      <c r="Y60" s="1057">
        <v>171032</v>
      </c>
      <c r="Z60" s="964"/>
      <c r="AA60" s="1023"/>
      <c r="AB60" s="914" t="s">
        <v>1005</v>
      </c>
      <c r="AC60" s="1011" t="s">
        <v>1206</v>
      </c>
      <c r="AD60" s="1011" t="s">
        <v>1206</v>
      </c>
      <c r="AE60" s="1011" t="s">
        <v>1206</v>
      </c>
      <c r="AF60" s="1011" t="s">
        <v>1206</v>
      </c>
      <c r="AH60" s="1011" t="b">
        <f t="shared" si="2"/>
        <v>1</v>
      </c>
      <c r="AI60" s="1011" t="s">
        <v>951</v>
      </c>
      <c r="AJ60" s="1011" t="s">
        <v>1374</v>
      </c>
      <c r="AK60" s="1011" t="s">
        <v>1375</v>
      </c>
      <c r="AL60" s="1011" t="s">
        <v>1376</v>
      </c>
      <c r="AM60" s="1011" t="s">
        <v>1377</v>
      </c>
      <c r="AN60" s="1011" t="s">
        <v>1378</v>
      </c>
    </row>
    <row r="61" spans="1:43" ht="15" x14ac:dyDescent="0.2">
      <c r="A61" s="1018" t="s">
        <v>953</v>
      </c>
      <c r="B61" s="1019" t="s">
        <v>952</v>
      </c>
      <c r="C61" s="1020">
        <v>0.4</v>
      </c>
      <c r="D61" s="597" t="s">
        <v>645</v>
      </c>
      <c r="E61" s="597" t="s">
        <v>646</v>
      </c>
      <c r="F61" s="1020">
        <v>0.09</v>
      </c>
      <c r="G61" s="597" t="s">
        <v>643</v>
      </c>
      <c r="H61" s="597" t="s">
        <v>644</v>
      </c>
      <c r="I61" s="1020">
        <v>0.01</v>
      </c>
      <c r="J61" s="1020">
        <f t="shared" si="0"/>
        <v>0.5</v>
      </c>
      <c r="K61" s="1020"/>
      <c r="L61" s="1020">
        <v>0.4</v>
      </c>
      <c r="M61" s="597" t="s">
        <v>645</v>
      </c>
      <c r="N61" s="597" t="s">
        <v>646</v>
      </c>
      <c r="O61" s="1020">
        <v>0.09</v>
      </c>
      <c r="P61" s="597" t="s">
        <v>643</v>
      </c>
      <c r="Q61" s="597" t="s">
        <v>644</v>
      </c>
      <c r="R61" s="1020">
        <v>0.01</v>
      </c>
      <c r="S61" s="1020">
        <f t="shared" si="1"/>
        <v>0.5</v>
      </c>
      <c r="T61" s="947" t="s">
        <v>1005</v>
      </c>
      <c r="U61" s="877" t="s">
        <v>976</v>
      </c>
      <c r="V61" s="877"/>
      <c r="W61" s="877"/>
      <c r="X61" s="1015"/>
      <c r="Y61" s="926">
        <v>0</v>
      </c>
      <c r="Z61" s="888"/>
      <c r="AA61" s="927"/>
      <c r="AB61" s="912"/>
      <c r="AC61" s="1011" t="s">
        <v>1206</v>
      </c>
      <c r="AD61" s="1011" t="s">
        <v>1206</v>
      </c>
      <c r="AE61" s="1011" t="s">
        <v>1206</v>
      </c>
      <c r="AF61" s="1011" t="s">
        <v>1206</v>
      </c>
      <c r="AH61" s="1011" t="b">
        <f t="shared" si="2"/>
        <v>1</v>
      </c>
      <c r="AI61" s="1011" t="s">
        <v>953</v>
      </c>
      <c r="AJ61" s="1011" t="s">
        <v>952</v>
      </c>
      <c r="AK61" s="1011" t="s">
        <v>1379</v>
      </c>
      <c r="AL61" s="1011" t="s">
        <v>1380</v>
      </c>
    </row>
    <row r="62" spans="1:43" ht="15.75" customHeight="1" x14ac:dyDescent="0.2">
      <c r="A62" s="1018" t="s">
        <v>955</v>
      </c>
      <c r="B62" s="1019" t="s">
        <v>954</v>
      </c>
      <c r="C62" s="1020">
        <v>0.4</v>
      </c>
      <c r="D62" s="597" t="s">
        <v>760</v>
      </c>
      <c r="E62" s="597" t="s">
        <v>761</v>
      </c>
      <c r="F62" s="1020">
        <v>0.1</v>
      </c>
      <c r="G62" s="597" t="s">
        <v>600</v>
      </c>
      <c r="H62" s="597" t="s">
        <v>639</v>
      </c>
      <c r="I62" s="1020">
        <v>0</v>
      </c>
      <c r="J62" s="1020">
        <f t="shared" si="0"/>
        <v>0.5</v>
      </c>
      <c r="K62" s="1020"/>
      <c r="L62" s="1020">
        <v>0.4</v>
      </c>
      <c r="M62" s="597" t="s">
        <v>760</v>
      </c>
      <c r="N62" s="597" t="s">
        <v>761</v>
      </c>
      <c r="O62" s="1020">
        <v>0.1</v>
      </c>
      <c r="P62" s="597" t="s">
        <v>600</v>
      </c>
      <c r="Q62" s="597" t="s">
        <v>639</v>
      </c>
      <c r="R62" s="1020">
        <v>0</v>
      </c>
      <c r="S62" s="1020">
        <f t="shared" si="1"/>
        <v>0.5</v>
      </c>
      <c r="T62" s="947"/>
      <c r="U62" s="877"/>
      <c r="V62" s="877"/>
      <c r="W62" s="877"/>
      <c r="X62" s="1015"/>
      <c r="Y62" s="924"/>
      <c r="Z62" s="883"/>
      <c r="AA62" s="925"/>
      <c r="AB62" s="912"/>
      <c r="AC62" s="1011" t="s">
        <v>1206</v>
      </c>
      <c r="AD62" s="1011" t="s">
        <v>1206</v>
      </c>
      <c r="AE62" s="1011" t="s">
        <v>1206</v>
      </c>
      <c r="AF62" s="1011" t="s">
        <v>1206</v>
      </c>
      <c r="AH62" s="1011" t="b">
        <f t="shared" si="2"/>
        <v>1</v>
      </c>
      <c r="AI62" s="1011" t="s">
        <v>955</v>
      </c>
      <c r="AJ62" s="1011" t="s">
        <v>954</v>
      </c>
      <c r="AK62" s="1011" t="s">
        <v>1381</v>
      </c>
      <c r="AL62" s="1011" t="s">
        <v>1382</v>
      </c>
    </row>
    <row r="63" spans="1:43" ht="15.75" customHeight="1" x14ac:dyDescent="0.2">
      <c r="A63" s="1018" t="s">
        <v>957</v>
      </c>
      <c r="B63" s="1019" t="s">
        <v>956</v>
      </c>
      <c r="C63" s="1020">
        <v>0.4</v>
      </c>
      <c r="D63" s="597" t="s">
        <v>621</v>
      </c>
      <c r="E63" s="597" t="s">
        <v>622</v>
      </c>
      <c r="F63" s="1020">
        <v>0.09</v>
      </c>
      <c r="G63" s="597" t="s">
        <v>619</v>
      </c>
      <c r="H63" s="597" t="s">
        <v>620</v>
      </c>
      <c r="I63" s="1020">
        <v>0.01</v>
      </c>
      <c r="J63" s="1020">
        <f t="shared" si="0"/>
        <v>0.5</v>
      </c>
      <c r="K63" s="1020"/>
      <c r="L63" s="1020">
        <v>0.4</v>
      </c>
      <c r="M63" s="597" t="s">
        <v>621</v>
      </c>
      <c r="N63" s="597" t="s">
        <v>622</v>
      </c>
      <c r="O63" s="1020">
        <v>0.09</v>
      </c>
      <c r="P63" s="597" t="s">
        <v>619</v>
      </c>
      <c r="Q63" s="597" t="s">
        <v>620</v>
      </c>
      <c r="R63" s="1020">
        <v>0.01</v>
      </c>
      <c r="S63" s="1020">
        <f t="shared" si="1"/>
        <v>0.5</v>
      </c>
      <c r="T63" s="947"/>
      <c r="U63" s="877"/>
      <c r="V63" s="877"/>
      <c r="W63" s="877"/>
      <c r="X63" s="1015"/>
      <c r="Y63" s="924"/>
      <c r="Z63" s="883"/>
      <c r="AA63" s="925"/>
      <c r="AB63" s="912"/>
      <c r="AC63" s="1011" t="s">
        <v>1206</v>
      </c>
      <c r="AD63" s="1011" t="s">
        <v>1206</v>
      </c>
      <c r="AE63" s="1011" t="s">
        <v>1206</v>
      </c>
      <c r="AF63" s="1011" t="s">
        <v>1206</v>
      </c>
      <c r="AH63" s="1011" t="b">
        <f t="shared" si="2"/>
        <v>1</v>
      </c>
      <c r="AI63" s="1011" t="s">
        <v>957</v>
      </c>
      <c r="AJ63" s="1011" t="s">
        <v>956</v>
      </c>
      <c r="AK63" s="1011" t="s">
        <v>1383</v>
      </c>
      <c r="AL63" s="1011" t="s">
        <v>1384</v>
      </c>
      <c r="AO63" s="1011" t="s">
        <v>1385</v>
      </c>
      <c r="AP63" s="1011" t="s">
        <v>1386</v>
      </c>
      <c r="AQ63" s="1011" t="s">
        <v>1383</v>
      </c>
    </row>
    <row r="64" spans="1:43" ht="15.75" customHeight="1" x14ac:dyDescent="0.2">
      <c r="A64" s="1018" t="s">
        <v>959</v>
      </c>
      <c r="B64" s="1019" t="s">
        <v>958</v>
      </c>
      <c r="C64" s="1020">
        <v>0.4</v>
      </c>
      <c r="D64" s="597" t="s">
        <v>711</v>
      </c>
      <c r="E64" s="597" t="s">
        <v>712</v>
      </c>
      <c r="F64" s="1020">
        <v>0.09</v>
      </c>
      <c r="G64" s="597" t="s">
        <v>708</v>
      </c>
      <c r="H64" s="597" t="s">
        <v>709</v>
      </c>
      <c r="I64" s="1020">
        <v>0.01</v>
      </c>
      <c r="J64" s="1020">
        <f t="shared" si="0"/>
        <v>0.5</v>
      </c>
      <c r="K64" s="1020"/>
      <c r="L64" s="1020">
        <v>0.4</v>
      </c>
      <c r="M64" s="597" t="s">
        <v>711</v>
      </c>
      <c r="N64" s="597" t="s">
        <v>712</v>
      </c>
      <c r="O64" s="1020">
        <v>0.09</v>
      </c>
      <c r="P64" s="597" t="s">
        <v>708</v>
      </c>
      <c r="Q64" s="597" t="s">
        <v>709</v>
      </c>
      <c r="R64" s="1020">
        <v>0.01</v>
      </c>
      <c r="S64" s="1020">
        <f t="shared" si="1"/>
        <v>0.5</v>
      </c>
      <c r="T64" s="947"/>
      <c r="U64" s="877"/>
      <c r="V64" s="877"/>
      <c r="W64" s="877"/>
      <c r="X64" s="1015"/>
      <c r="Y64" s="924"/>
      <c r="Z64" s="883"/>
      <c r="AA64" s="925"/>
      <c r="AB64" s="912"/>
      <c r="AC64" s="1011" t="s">
        <v>1206</v>
      </c>
      <c r="AD64" s="1011" t="s">
        <v>1206</v>
      </c>
      <c r="AE64" s="1011" t="s">
        <v>1206</v>
      </c>
      <c r="AF64" s="1011" t="s">
        <v>1206</v>
      </c>
      <c r="AH64" s="1011" t="b">
        <f t="shared" si="2"/>
        <v>1</v>
      </c>
      <c r="AI64" s="1011" t="s">
        <v>959</v>
      </c>
      <c r="AJ64" s="1011" t="s">
        <v>958</v>
      </c>
      <c r="AK64" s="1011" t="s">
        <v>1387</v>
      </c>
      <c r="AL64" s="1011" t="s">
        <v>1388</v>
      </c>
      <c r="AM64" s="1011" t="s">
        <v>1389</v>
      </c>
      <c r="AN64" s="1011" t="s">
        <v>1390</v>
      </c>
    </row>
    <row r="65" spans="1:43" ht="15.75" customHeight="1" x14ac:dyDescent="0.2">
      <c r="A65" s="1018" t="s">
        <v>961</v>
      </c>
      <c r="B65" s="1019" t="s">
        <v>960</v>
      </c>
      <c r="C65" s="1020">
        <v>0.4</v>
      </c>
      <c r="D65" s="597" t="s">
        <v>658</v>
      </c>
      <c r="E65" s="597" t="s">
        <v>659</v>
      </c>
      <c r="F65" s="1020">
        <v>0.09</v>
      </c>
      <c r="G65" s="597" t="s">
        <v>655</v>
      </c>
      <c r="H65" s="597" t="s">
        <v>656</v>
      </c>
      <c r="I65" s="1020">
        <v>0.01</v>
      </c>
      <c r="J65" s="1020">
        <f t="shared" si="0"/>
        <v>0.5</v>
      </c>
      <c r="K65" s="1020"/>
      <c r="L65" s="1020">
        <v>0.4</v>
      </c>
      <c r="M65" s="597" t="s">
        <v>658</v>
      </c>
      <c r="N65" s="597" t="s">
        <v>659</v>
      </c>
      <c r="O65" s="1020">
        <v>0.09</v>
      </c>
      <c r="P65" s="597" t="s">
        <v>655</v>
      </c>
      <c r="Q65" s="597" t="s">
        <v>656</v>
      </c>
      <c r="R65" s="1020">
        <v>0.01</v>
      </c>
      <c r="S65" s="1020">
        <f t="shared" si="1"/>
        <v>0.5</v>
      </c>
      <c r="T65" s="947"/>
      <c r="U65" s="877"/>
      <c r="V65" s="877"/>
      <c r="W65" s="877"/>
      <c r="X65" s="1015"/>
      <c r="Y65" s="924"/>
      <c r="Z65" s="883"/>
      <c r="AA65" s="925"/>
      <c r="AB65" s="912"/>
      <c r="AC65" s="1011" t="s">
        <v>1206</v>
      </c>
      <c r="AD65" s="1011" t="s">
        <v>1206</v>
      </c>
      <c r="AE65" s="1011" t="s">
        <v>1206</v>
      </c>
      <c r="AF65" s="1011" t="s">
        <v>1206</v>
      </c>
      <c r="AH65" s="1011" t="b">
        <f t="shared" si="2"/>
        <v>1</v>
      </c>
      <c r="AI65" s="1011" t="s">
        <v>961</v>
      </c>
      <c r="AJ65" s="1011" t="s">
        <v>960</v>
      </c>
      <c r="AK65" s="1011" t="s">
        <v>1391</v>
      </c>
      <c r="AL65" s="1011" t="s">
        <v>1392</v>
      </c>
    </row>
    <row r="66" spans="1:43" ht="15.75" customHeight="1" x14ac:dyDescent="0.2">
      <c r="A66" s="1018" t="s">
        <v>0</v>
      </c>
      <c r="B66" s="1019" t="s">
        <v>962</v>
      </c>
      <c r="C66" s="1020">
        <v>0.3</v>
      </c>
      <c r="D66" s="597" t="s">
        <v>778</v>
      </c>
      <c r="E66" s="597" t="s">
        <v>43</v>
      </c>
      <c r="F66" s="1020">
        <v>0.37</v>
      </c>
      <c r="G66" s="597" t="s">
        <v>600</v>
      </c>
      <c r="H66" s="597" t="s">
        <v>600</v>
      </c>
      <c r="I66" s="1020">
        <v>0</v>
      </c>
      <c r="J66" s="1020">
        <f t="shared" si="0"/>
        <v>0.66999999999999993</v>
      </c>
      <c r="K66" s="1020"/>
      <c r="L66" s="1020">
        <v>0.3</v>
      </c>
      <c r="M66" s="597" t="s">
        <v>778</v>
      </c>
      <c r="N66" s="597" t="s">
        <v>43</v>
      </c>
      <c r="O66" s="1020">
        <v>0.2</v>
      </c>
      <c r="P66" s="597" t="s">
        <v>600</v>
      </c>
      <c r="Q66" s="597" t="s">
        <v>600</v>
      </c>
      <c r="R66" s="1020">
        <v>0</v>
      </c>
      <c r="S66" s="1020">
        <f t="shared" si="1"/>
        <v>0.5</v>
      </c>
      <c r="T66" s="947"/>
      <c r="U66" s="877"/>
      <c r="V66" s="877"/>
      <c r="W66" s="877"/>
      <c r="X66" s="937" t="s">
        <v>1005</v>
      </c>
      <c r="Y66" s="924"/>
      <c r="Z66" s="883"/>
      <c r="AA66" s="925"/>
      <c r="AB66" s="912"/>
      <c r="AC66" s="1011" t="s">
        <v>1206</v>
      </c>
      <c r="AD66" s="1011" t="s">
        <v>1206</v>
      </c>
      <c r="AE66" s="1011" t="s">
        <v>1206</v>
      </c>
      <c r="AF66" s="1011" t="s">
        <v>1206</v>
      </c>
      <c r="AH66" s="1011" t="b">
        <f t="shared" si="2"/>
        <v>1</v>
      </c>
      <c r="AI66" s="1011" t="s">
        <v>0</v>
      </c>
      <c r="AJ66" s="1011" t="s">
        <v>962</v>
      </c>
      <c r="AK66" s="1011" t="s">
        <v>1393</v>
      </c>
      <c r="AL66" s="1011" t="s">
        <v>1394</v>
      </c>
    </row>
    <row r="67" spans="1:43" ht="15.75" customHeight="1" x14ac:dyDescent="0.2">
      <c r="A67" s="1018" t="s">
        <v>2</v>
      </c>
      <c r="B67" s="1019" t="s">
        <v>1</v>
      </c>
      <c r="C67" s="1020">
        <v>0.4</v>
      </c>
      <c r="D67" s="597" t="s">
        <v>673</v>
      </c>
      <c r="E67" s="597" t="s">
        <v>674</v>
      </c>
      <c r="F67" s="1020">
        <v>0.09</v>
      </c>
      <c r="G67" s="597" t="s">
        <v>670</v>
      </c>
      <c r="H67" s="597" t="s">
        <v>671</v>
      </c>
      <c r="I67" s="1020">
        <v>0.01</v>
      </c>
      <c r="J67" s="1020">
        <f t="shared" si="0"/>
        <v>0.5</v>
      </c>
      <c r="K67" s="1020"/>
      <c r="L67" s="1020">
        <v>0.4</v>
      </c>
      <c r="M67" s="597" t="s">
        <v>673</v>
      </c>
      <c r="N67" s="597" t="s">
        <v>674</v>
      </c>
      <c r="O67" s="1020">
        <v>0.09</v>
      </c>
      <c r="P67" s="597" t="s">
        <v>670</v>
      </c>
      <c r="Q67" s="597" t="s">
        <v>671</v>
      </c>
      <c r="R67" s="1020">
        <v>0.01</v>
      </c>
      <c r="S67" s="1020">
        <f t="shared" si="1"/>
        <v>0.5</v>
      </c>
      <c r="T67" s="947"/>
      <c r="U67" s="877"/>
      <c r="V67" s="877"/>
      <c r="W67" s="877"/>
      <c r="X67" s="1015"/>
      <c r="Y67" s="924"/>
      <c r="Z67" s="883"/>
      <c r="AA67" s="925"/>
      <c r="AB67" s="912"/>
      <c r="AC67" s="1011" t="s">
        <v>1206</v>
      </c>
      <c r="AD67" s="1011" t="s">
        <v>1206</v>
      </c>
      <c r="AE67" s="1011" t="s">
        <v>1206</v>
      </c>
      <c r="AF67" s="1011" t="s">
        <v>1206</v>
      </c>
      <c r="AH67" s="1011" t="b">
        <f t="shared" si="2"/>
        <v>1</v>
      </c>
      <c r="AI67" s="1011" t="s">
        <v>2</v>
      </c>
      <c r="AJ67" s="1011" t="s">
        <v>1</v>
      </c>
      <c r="AK67" s="1011" t="s">
        <v>1395</v>
      </c>
      <c r="AL67" s="1011" t="s">
        <v>1396</v>
      </c>
      <c r="AM67" s="1011" t="s">
        <v>1397</v>
      </c>
      <c r="AN67" s="1011" t="s">
        <v>1398</v>
      </c>
    </row>
    <row r="68" spans="1:43" ht="15.75" customHeight="1" x14ac:dyDescent="0.2">
      <c r="A68" s="1018" t="s">
        <v>4</v>
      </c>
      <c r="B68" s="1019" t="s">
        <v>3</v>
      </c>
      <c r="C68" s="1020">
        <v>0.4</v>
      </c>
      <c r="D68" s="597" t="s">
        <v>640</v>
      </c>
      <c r="E68" s="597" t="s">
        <v>641</v>
      </c>
      <c r="F68" s="1020">
        <v>0.1</v>
      </c>
      <c r="G68" s="597" t="s">
        <v>600</v>
      </c>
      <c r="H68" s="597" t="s">
        <v>639</v>
      </c>
      <c r="I68" s="1020">
        <v>0</v>
      </c>
      <c r="J68" s="1020">
        <f t="shared" si="0"/>
        <v>0.5</v>
      </c>
      <c r="K68" s="1020"/>
      <c r="L68" s="1020">
        <v>0.4</v>
      </c>
      <c r="M68" s="597" t="s">
        <v>640</v>
      </c>
      <c r="N68" s="597" t="s">
        <v>641</v>
      </c>
      <c r="O68" s="1020">
        <v>0.1</v>
      </c>
      <c r="P68" s="597" t="s">
        <v>600</v>
      </c>
      <c r="Q68" s="597" t="s">
        <v>639</v>
      </c>
      <c r="R68" s="1020">
        <v>0</v>
      </c>
      <c r="S68" s="1020">
        <f t="shared" si="1"/>
        <v>0.5</v>
      </c>
      <c r="T68" s="947"/>
      <c r="U68" s="877"/>
      <c r="V68" s="877"/>
      <c r="W68" s="877"/>
      <c r="X68" s="1015"/>
      <c r="Y68" s="924"/>
      <c r="Z68" s="883"/>
      <c r="AA68" s="925"/>
      <c r="AB68" s="912"/>
      <c r="AC68" s="1011" t="s">
        <v>1206</v>
      </c>
      <c r="AD68" s="1011" t="s">
        <v>1206</v>
      </c>
      <c r="AE68" s="1011" t="s">
        <v>1206</v>
      </c>
      <c r="AF68" s="1011" t="s">
        <v>1206</v>
      </c>
      <c r="AH68" s="1011" t="b">
        <f t="shared" si="2"/>
        <v>1</v>
      </c>
      <c r="AI68" s="1011" t="s">
        <v>4</v>
      </c>
      <c r="AJ68" s="1011" t="s">
        <v>3</v>
      </c>
      <c r="AK68" s="1011" t="s">
        <v>1399</v>
      </c>
      <c r="AL68" s="1011" t="s">
        <v>1400</v>
      </c>
    </row>
    <row r="69" spans="1:43" ht="15.75" customHeight="1" x14ac:dyDescent="0.2">
      <c r="A69" s="1018" t="s">
        <v>6</v>
      </c>
      <c r="B69" s="1019" t="s">
        <v>5</v>
      </c>
      <c r="C69" s="1020">
        <v>0.4</v>
      </c>
      <c r="D69" s="597" t="s">
        <v>731</v>
      </c>
      <c r="E69" s="597" t="s">
        <v>732</v>
      </c>
      <c r="F69" s="1020">
        <v>0.1</v>
      </c>
      <c r="G69" s="597" t="s">
        <v>600</v>
      </c>
      <c r="H69" s="597" t="s">
        <v>639</v>
      </c>
      <c r="I69" s="1020">
        <v>0</v>
      </c>
      <c r="J69" s="1020">
        <f t="shared" si="0"/>
        <v>0.5</v>
      </c>
      <c r="K69" s="1020"/>
      <c r="L69" s="1020">
        <v>0.4</v>
      </c>
      <c r="M69" s="597" t="s">
        <v>731</v>
      </c>
      <c r="N69" s="597" t="s">
        <v>732</v>
      </c>
      <c r="O69" s="1020">
        <v>0.1</v>
      </c>
      <c r="P69" s="597" t="s">
        <v>600</v>
      </c>
      <c r="Q69" s="597" t="s">
        <v>639</v>
      </c>
      <c r="R69" s="1020">
        <v>0</v>
      </c>
      <c r="S69" s="1020">
        <f t="shared" si="1"/>
        <v>0.5</v>
      </c>
      <c r="T69" s="947"/>
      <c r="U69" s="877"/>
      <c r="V69" s="877"/>
      <c r="W69" s="877"/>
      <c r="X69" s="1015"/>
      <c r="Y69" s="924"/>
      <c r="Z69" s="883"/>
      <c r="AA69" s="925"/>
      <c r="AB69" s="912"/>
      <c r="AC69" s="1011" t="s">
        <v>1206</v>
      </c>
      <c r="AD69" s="1011" t="s">
        <v>1206</v>
      </c>
      <c r="AE69" s="1011" t="s">
        <v>1206</v>
      </c>
      <c r="AF69" s="1011" t="s">
        <v>1206</v>
      </c>
      <c r="AH69" s="1011" t="b">
        <f t="shared" si="2"/>
        <v>1</v>
      </c>
      <c r="AI69" s="1011" t="s">
        <v>6</v>
      </c>
      <c r="AJ69" s="1011" t="s">
        <v>5</v>
      </c>
      <c r="AK69" s="1011" t="s">
        <v>1401</v>
      </c>
      <c r="AL69" s="1011" t="s">
        <v>1402</v>
      </c>
    </row>
    <row r="70" spans="1:43" ht="15" x14ac:dyDescent="0.2">
      <c r="A70" s="1018" t="s">
        <v>8</v>
      </c>
      <c r="B70" s="597" t="s">
        <v>7</v>
      </c>
      <c r="C70" s="1020">
        <v>1</v>
      </c>
      <c r="D70" s="597" t="s">
        <v>600</v>
      </c>
      <c r="E70" s="597" t="s">
        <v>601</v>
      </c>
      <c r="F70" s="1020">
        <v>0</v>
      </c>
      <c r="G70" s="597" t="s">
        <v>600</v>
      </c>
      <c r="H70" s="597" t="s">
        <v>639</v>
      </c>
      <c r="I70" s="1020">
        <v>0</v>
      </c>
      <c r="J70" s="1020">
        <f t="shared" ref="J70:J133" si="3">+C70+F70+I70</f>
        <v>1</v>
      </c>
      <c r="K70" s="1020"/>
      <c r="L70" s="1020">
        <v>0.5</v>
      </c>
      <c r="M70" s="597" t="s">
        <v>600</v>
      </c>
      <c r="N70" s="597" t="s">
        <v>601</v>
      </c>
      <c r="O70" s="1020">
        <v>0</v>
      </c>
      <c r="P70" s="597" t="s">
        <v>600</v>
      </c>
      <c r="Q70" s="597" t="s">
        <v>639</v>
      </c>
      <c r="R70" s="1020">
        <v>0</v>
      </c>
      <c r="S70" s="1020">
        <f t="shared" ref="S70:S133" si="4">+L70+O70+R70</f>
        <v>0.5</v>
      </c>
      <c r="T70" s="947" t="s">
        <v>1005</v>
      </c>
      <c r="U70" s="889" t="s">
        <v>977</v>
      </c>
      <c r="V70" s="889" t="s">
        <v>1165</v>
      </c>
      <c r="W70" s="877"/>
      <c r="X70" s="937" t="s">
        <v>1005</v>
      </c>
      <c r="Y70" s="926">
        <v>432966</v>
      </c>
      <c r="Z70" s="964">
        <v>70145</v>
      </c>
      <c r="AA70" s="927"/>
      <c r="AB70" s="914" t="s">
        <v>1005</v>
      </c>
      <c r="AC70" s="1011" t="s">
        <v>1206</v>
      </c>
      <c r="AD70" s="1011" t="s">
        <v>1206</v>
      </c>
      <c r="AE70" s="1011" t="s">
        <v>1206</v>
      </c>
      <c r="AF70" s="1011" t="s">
        <v>1206</v>
      </c>
      <c r="AH70" s="1011" t="b">
        <f t="shared" ref="AH70:AH133" si="5">+A70=AI70</f>
        <v>1</v>
      </c>
      <c r="AI70" s="1011" t="s">
        <v>8</v>
      </c>
      <c r="AJ70" s="1011" t="s">
        <v>1403</v>
      </c>
      <c r="AK70" s="1011" t="s">
        <v>1404</v>
      </c>
      <c r="AL70" s="1011" t="s">
        <v>1405</v>
      </c>
      <c r="AM70" s="1011" t="s">
        <v>1406</v>
      </c>
      <c r="AN70" s="1011" t="s">
        <v>1407</v>
      </c>
    </row>
    <row r="71" spans="1:43" ht="15.75" customHeight="1" x14ac:dyDescent="0.2">
      <c r="A71" s="1018" t="s">
        <v>10</v>
      </c>
      <c r="B71" s="1019" t="s">
        <v>9</v>
      </c>
      <c r="C71" s="1020">
        <v>0.4</v>
      </c>
      <c r="D71" s="597" t="s">
        <v>675</v>
      </c>
      <c r="E71" s="597" t="s">
        <v>680</v>
      </c>
      <c r="F71" s="1020">
        <v>0.1</v>
      </c>
      <c r="G71" s="597" t="s">
        <v>600</v>
      </c>
      <c r="H71" s="597" t="s">
        <v>639</v>
      </c>
      <c r="I71" s="1020">
        <v>0</v>
      </c>
      <c r="J71" s="1020">
        <f t="shared" si="3"/>
        <v>0.5</v>
      </c>
      <c r="K71" s="1020"/>
      <c r="L71" s="1020">
        <v>0.4</v>
      </c>
      <c r="M71" s="597" t="s">
        <v>675</v>
      </c>
      <c r="N71" s="597" t="s">
        <v>680</v>
      </c>
      <c r="O71" s="1020">
        <v>0.1</v>
      </c>
      <c r="P71" s="597" t="s">
        <v>600</v>
      </c>
      <c r="Q71" s="597" t="s">
        <v>639</v>
      </c>
      <c r="R71" s="1020">
        <v>0</v>
      </c>
      <c r="S71" s="1020">
        <f t="shared" si="4"/>
        <v>0.5</v>
      </c>
      <c r="T71" s="947"/>
      <c r="U71" s="877"/>
      <c r="V71" s="877"/>
      <c r="W71" s="877"/>
      <c r="X71" s="1015"/>
      <c r="Y71" s="924"/>
      <c r="Z71" s="883"/>
      <c r="AA71" s="925"/>
      <c r="AB71" s="912"/>
      <c r="AC71" s="1011" t="s">
        <v>1206</v>
      </c>
      <c r="AD71" s="1011" t="s">
        <v>1206</v>
      </c>
      <c r="AE71" s="1011" t="s">
        <v>1206</v>
      </c>
      <c r="AF71" s="1011" t="s">
        <v>1206</v>
      </c>
      <c r="AH71" s="1011" t="b">
        <f t="shared" si="5"/>
        <v>1</v>
      </c>
      <c r="AI71" s="1011" t="s">
        <v>10</v>
      </c>
      <c r="AJ71" s="1011" t="s">
        <v>9</v>
      </c>
      <c r="AK71" s="1011" t="s">
        <v>1408</v>
      </c>
      <c r="AL71" s="1011" t="s">
        <v>1409</v>
      </c>
      <c r="AM71" s="1011" t="s">
        <v>1410</v>
      </c>
      <c r="AN71" s="1011" t="s">
        <v>1411</v>
      </c>
    </row>
    <row r="72" spans="1:43" ht="15.75" customHeight="1" x14ac:dyDescent="0.2">
      <c r="A72" s="1018" t="s">
        <v>12</v>
      </c>
      <c r="B72" s="1019" t="s">
        <v>11</v>
      </c>
      <c r="C72" s="1020">
        <v>0.99</v>
      </c>
      <c r="D72" s="597" t="s">
        <v>600</v>
      </c>
      <c r="E72" s="597" t="s">
        <v>765</v>
      </c>
      <c r="F72" s="1020">
        <v>0</v>
      </c>
      <c r="G72" s="597" t="s">
        <v>774</v>
      </c>
      <c r="H72" s="597" t="s">
        <v>775</v>
      </c>
      <c r="I72" s="1020">
        <v>0.01</v>
      </c>
      <c r="J72" s="1020">
        <f t="shared" si="3"/>
        <v>1</v>
      </c>
      <c r="K72" s="1020"/>
      <c r="L72" s="1020">
        <v>0.49</v>
      </c>
      <c r="M72" s="597" t="s">
        <v>600</v>
      </c>
      <c r="N72" s="597" t="s">
        <v>765</v>
      </c>
      <c r="O72" s="1020">
        <v>0</v>
      </c>
      <c r="P72" s="597" t="s">
        <v>774</v>
      </c>
      <c r="Q72" s="597" t="s">
        <v>775</v>
      </c>
      <c r="R72" s="1020">
        <v>0.01</v>
      </c>
      <c r="S72" s="1020">
        <f t="shared" si="4"/>
        <v>0.5</v>
      </c>
      <c r="T72" s="949"/>
      <c r="U72" s="885"/>
      <c r="V72" s="885"/>
      <c r="W72" s="885"/>
      <c r="X72" s="937" t="s">
        <v>1005</v>
      </c>
      <c r="Y72" s="924"/>
      <c r="Z72" s="883"/>
      <c r="AA72" s="925"/>
      <c r="AB72" s="914" t="s">
        <v>1005</v>
      </c>
      <c r="AC72" s="1011" t="s">
        <v>1206</v>
      </c>
      <c r="AD72" s="1011" t="s">
        <v>1206</v>
      </c>
      <c r="AE72" s="1011" t="s">
        <v>1206</v>
      </c>
      <c r="AF72" s="1011" t="s">
        <v>1206</v>
      </c>
      <c r="AH72" s="1011" t="b">
        <f t="shared" si="5"/>
        <v>1</v>
      </c>
      <c r="AI72" s="1011" t="s">
        <v>12</v>
      </c>
      <c r="AJ72" s="1011" t="s">
        <v>11</v>
      </c>
      <c r="AK72" s="1011" t="s">
        <v>1412</v>
      </c>
      <c r="AL72" s="1011" t="s">
        <v>1413</v>
      </c>
    </row>
    <row r="73" spans="1:43" ht="15.75" customHeight="1" x14ac:dyDescent="0.2">
      <c r="A73" s="1018" t="s">
        <v>14</v>
      </c>
      <c r="B73" s="1019" t="s">
        <v>13</v>
      </c>
      <c r="C73" s="1020">
        <v>0.4</v>
      </c>
      <c r="D73" s="597" t="s">
        <v>729</v>
      </c>
      <c r="E73" s="597" t="s">
        <v>730</v>
      </c>
      <c r="F73" s="1020">
        <v>0.09</v>
      </c>
      <c r="G73" s="597" t="s">
        <v>727</v>
      </c>
      <c r="H73" s="597" t="s">
        <v>728</v>
      </c>
      <c r="I73" s="1020">
        <v>0.01</v>
      </c>
      <c r="J73" s="1020">
        <f t="shared" si="3"/>
        <v>0.5</v>
      </c>
      <c r="K73" s="1020"/>
      <c r="L73" s="1020">
        <v>0.4</v>
      </c>
      <c r="M73" s="597" t="s">
        <v>729</v>
      </c>
      <c r="N73" s="597" t="s">
        <v>730</v>
      </c>
      <c r="O73" s="1020">
        <v>0.09</v>
      </c>
      <c r="P73" s="597" t="s">
        <v>727</v>
      </c>
      <c r="Q73" s="597" t="s">
        <v>728</v>
      </c>
      <c r="R73" s="1020">
        <v>0.01</v>
      </c>
      <c r="S73" s="1020">
        <f t="shared" si="4"/>
        <v>0.5</v>
      </c>
      <c r="T73" s="947"/>
      <c r="U73" s="877"/>
      <c r="V73" s="877"/>
      <c r="W73" s="877"/>
      <c r="X73" s="1015"/>
      <c r="Y73" s="924"/>
      <c r="Z73" s="883"/>
      <c r="AA73" s="925"/>
      <c r="AB73" s="912"/>
      <c r="AC73" s="1011" t="s">
        <v>1206</v>
      </c>
      <c r="AD73" s="1011" t="s">
        <v>1206</v>
      </c>
      <c r="AE73" s="1011" t="s">
        <v>1206</v>
      </c>
      <c r="AF73" s="1011" t="s">
        <v>1206</v>
      </c>
      <c r="AH73" s="1011" t="b">
        <f t="shared" si="5"/>
        <v>1</v>
      </c>
      <c r="AI73" s="1011" t="s">
        <v>14</v>
      </c>
      <c r="AJ73" s="1011" t="s">
        <v>13</v>
      </c>
      <c r="AK73" s="1011" t="s">
        <v>1414</v>
      </c>
      <c r="AL73" s="1011" t="s">
        <v>1414</v>
      </c>
      <c r="AM73" s="1011" t="s">
        <v>1415</v>
      </c>
      <c r="AN73" s="1011" t="s">
        <v>1415</v>
      </c>
    </row>
    <row r="74" spans="1:43" ht="15.75" customHeight="1" x14ac:dyDescent="0.2">
      <c r="A74" s="1018" t="s">
        <v>16</v>
      </c>
      <c r="B74" s="1019" t="s">
        <v>15</v>
      </c>
      <c r="C74" s="1020">
        <v>0.4</v>
      </c>
      <c r="D74" s="597" t="s">
        <v>760</v>
      </c>
      <c r="E74" s="597" t="s">
        <v>761</v>
      </c>
      <c r="F74" s="1020">
        <v>0.1</v>
      </c>
      <c r="G74" s="597" t="s">
        <v>600</v>
      </c>
      <c r="H74" s="597" t="s">
        <v>639</v>
      </c>
      <c r="I74" s="1020">
        <v>0</v>
      </c>
      <c r="J74" s="1020">
        <f t="shared" si="3"/>
        <v>0.5</v>
      </c>
      <c r="K74" s="1020"/>
      <c r="L74" s="1020">
        <v>0.4</v>
      </c>
      <c r="M74" s="597" t="s">
        <v>760</v>
      </c>
      <c r="N74" s="597" t="s">
        <v>761</v>
      </c>
      <c r="O74" s="1020">
        <v>0.1</v>
      </c>
      <c r="P74" s="597" t="s">
        <v>600</v>
      </c>
      <c r="Q74" s="597" t="s">
        <v>639</v>
      </c>
      <c r="R74" s="1020">
        <v>0</v>
      </c>
      <c r="S74" s="1020">
        <f t="shared" si="4"/>
        <v>0.5</v>
      </c>
      <c r="T74" s="947"/>
      <c r="U74" s="877"/>
      <c r="V74" s="877"/>
      <c r="W74" s="877"/>
      <c r="X74" s="1015"/>
      <c r="Y74" s="924"/>
      <c r="Z74" s="883"/>
      <c r="AA74" s="925"/>
      <c r="AB74" s="912"/>
      <c r="AC74" s="1011" t="s">
        <v>1206</v>
      </c>
      <c r="AD74" s="1011" t="s">
        <v>1206</v>
      </c>
      <c r="AE74" s="1011" t="s">
        <v>1206</v>
      </c>
      <c r="AF74" s="1011" t="s">
        <v>1206</v>
      </c>
      <c r="AH74" s="1011" t="b">
        <f t="shared" si="5"/>
        <v>1</v>
      </c>
      <c r="AI74" s="1011" t="s">
        <v>16</v>
      </c>
      <c r="AJ74" s="1011" t="s">
        <v>15</v>
      </c>
      <c r="AK74" s="1011" t="s">
        <v>1416</v>
      </c>
      <c r="AL74" s="1011" t="s">
        <v>1417</v>
      </c>
      <c r="AO74" s="1011" t="s">
        <v>1418</v>
      </c>
      <c r="AP74" s="1011" t="s">
        <v>1419</v>
      </c>
      <c r="AQ74" s="1011" t="s">
        <v>1416</v>
      </c>
    </row>
    <row r="75" spans="1:43" ht="15.75" customHeight="1" x14ac:dyDescent="0.2">
      <c r="A75" s="1018" t="s">
        <v>18</v>
      </c>
      <c r="B75" s="1019" t="s">
        <v>17</v>
      </c>
      <c r="C75" s="1020">
        <v>0.3</v>
      </c>
      <c r="D75" s="597" t="s">
        <v>779</v>
      </c>
      <c r="E75" s="597" t="s">
        <v>780</v>
      </c>
      <c r="F75" s="1020">
        <v>0.37</v>
      </c>
      <c r="G75" s="597" t="s">
        <v>600</v>
      </c>
      <c r="H75" s="597" t="s">
        <v>600</v>
      </c>
      <c r="I75" s="1020">
        <v>0</v>
      </c>
      <c r="J75" s="1020">
        <f t="shared" si="3"/>
        <v>0.66999999999999993</v>
      </c>
      <c r="K75" s="1020"/>
      <c r="L75" s="1020">
        <v>0.3</v>
      </c>
      <c r="M75" s="597" t="s">
        <v>779</v>
      </c>
      <c r="N75" s="597" t="s">
        <v>780</v>
      </c>
      <c r="O75" s="1020">
        <v>0.2</v>
      </c>
      <c r="P75" s="597" t="s">
        <v>600</v>
      </c>
      <c r="Q75" s="597" t="s">
        <v>600</v>
      </c>
      <c r="R75" s="1020">
        <v>0</v>
      </c>
      <c r="S75" s="1020">
        <f t="shared" si="4"/>
        <v>0.5</v>
      </c>
      <c r="T75" s="947"/>
      <c r="U75" s="877"/>
      <c r="V75" s="877"/>
      <c r="W75" s="877"/>
      <c r="X75" s="937" t="s">
        <v>1005</v>
      </c>
      <c r="Y75" s="924"/>
      <c r="Z75" s="883"/>
      <c r="AA75" s="925"/>
      <c r="AB75" s="914" t="s">
        <v>1005</v>
      </c>
      <c r="AC75" s="1011" t="s">
        <v>1206</v>
      </c>
      <c r="AD75" s="1011" t="s">
        <v>1206</v>
      </c>
      <c r="AE75" s="1011" t="s">
        <v>1206</v>
      </c>
      <c r="AF75" s="1011" t="s">
        <v>1206</v>
      </c>
      <c r="AH75" s="1011" t="b">
        <f t="shared" si="5"/>
        <v>1</v>
      </c>
      <c r="AI75" s="1011" t="s">
        <v>18</v>
      </c>
      <c r="AJ75" s="1011" t="s">
        <v>17</v>
      </c>
      <c r="AK75" s="1011" t="s">
        <v>1420</v>
      </c>
      <c r="AL75" s="1011" t="s">
        <v>1421</v>
      </c>
      <c r="AM75" s="1011" t="s">
        <v>1422</v>
      </c>
      <c r="AN75" s="1011" t="s">
        <v>1423</v>
      </c>
    </row>
    <row r="76" spans="1:43" ht="15.75" customHeight="1" x14ac:dyDescent="0.2">
      <c r="A76" s="1018" t="s">
        <v>21</v>
      </c>
      <c r="B76" s="1019" t="s">
        <v>19</v>
      </c>
      <c r="C76" s="1020">
        <v>0.4</v>
      </c>
      <c r="D76" s="597" t="s">
        <v>692</v>
      </c>
      <c r="E76" s="597" t="s">
        <v>693</v>
      </c>
      <c r="F76" s="1020">
        <v>0.1</v>
      </c>
      <c r="G76" s="597" t="s">
        <v>600</v>
      </c>
      <c r="H76" s="597" t="s">
        <v>639</v>
      </c>
      <c r="I76" s="1020">
        <v>0</v>
      </c>
      <c r="J76" s="1020">
        <f t="shared" si="3"/>
        <v>0.5</v>
      </c>
      <c r="K76" s="1020"/>
      <c r="L76" s="1020">
        <v>0.4</v>
      </c>
      <c r="M76" s="597" t="s">
        <v>692</v>
      </c>
      <c r="N76" s="597" t="s">
        <v>693</v>
      </c>
      <c r="O76" s="1020">
        <v>0.1</v>
      </c>
      <c r="P76" s="597" t="s">
        <v>600</v>
      </c>
      <c r="Q76" s="597" t="s">
        <v>639</v>
      </c>
      <c r="R76" s="1020">
        <v>0</v>
      </c>
      <c r="S76" s="1020">
        <f t="shared" si="4"/>
        <v>0.5</v>
      </c>
      <c r="T76" s="1106" t="s">
        <v>1005</v>
      </c>
      <c r="U76" s="1107" t="s">
        <v>2255</v>
      </c>
      <c r="V76" s="877"/>
      <c r="W76" s="877"/>
      <c r="X76" s="1015"/>
      <c r="Y76" s="924"/>
      <c r="Z76" s="883"/>
      <c r="AA76" s="925"/>
      <c r="AB76" s="912"/>
      <c r="AC76" s="1011" t="s">
        <v>1005</v>
      </c>
      <c r="AD76" s="1011" t="s">
        <v>1206</v>
      </c>
      <c r="AE76" s="1011" t="s">
        <v>1206</v>
      </c>
      <c r="AF76" s="1011" t="s">
        <v>1206</v>
      </c>
      <c r="AH76" s="1011" t="b">
        <f t="shared" si="5"/>
        <v>1</v>
      </c>
      <c r="AI76" s="1011" t="s">
        <v>21</v>
      </c>
      <c r="AJ76" s="1011" t="s">
        <v>19</v>
      </c>
      <c r="AK76" s="1011" t="s">
        <v>1424</v>
      </c>
      <c r="AL76" s="1011" t="s">
        <v>1425</v>
      </c>
    </row>
    <row r="77" spans="1:43" ht="15" x14ac:dyDescent="0.2">
      <c r="A77" s="1018" t="s">
        <v>23</v>
      </c>
      <c r="B77" s="1019" t="s">
        <v>661</v>
      </c>
      <c r="C77" s="1020">
        <v>0.49</v>
      </c>
      <c r="D77" s="597" t="s">
        <v>600</v>
      </c>
      <c r="E77" s="597" t="s">
        <v>601</v>
      </c>
      <c r="F77" s="1020">
        <v>0</v>
      </c>
      <c r="G77" s="597" t="s">
        <v>662</v>
      </c>
      <c r="H77" s="597" t="s">
        <v>663</v>
      </c>
      <c r="I77" s="1020">
        <v>0.01</v>
      </c>
      <c r="J77" s="1020">
        <f t="shared" si="3"/>
        <v>0.5</v>
      </c>
      <c r="K77" s="1020"/>
      <c r="L77" s="1020">
        <v>0.49</v>
      </c>
      <c r="M77" s="597" t="s">
        <v>600</v>
      </c>
      <c r="N77" s="597" t="s">
        <v>601</v>
      </c>
      <c r="O77" s="1020">
        <v>0</v>
      </c>
      <c r="P77" s="597" t="s">
        <v>662</v>
      </c>
      <c r="Q77" s="597" t="s">
        <v>663</v>
      </c>
      <c r="R77" s="1020">
        <v>0.01</v>
      </c>
      <c r="S77" s="1020">
        <f t="shared" si="4"/>
        <v>0.5</v>
      </c>
      <c r="T77" s="947" t="s">
        <v>1005</v>
      </c>
      <c r="U77" s="890" t="s">
        <v>1166</v>
      </c>
      <c r="V77" s="877"/>
      <c r="W77" s="877"/>
      <c r="X77" s="937" t="s">
        <v>1005</v>
      </c>
      <c r="Y77" s="1057">
        <v>30792</v>
      </c>
      <c r="Z77" s="964"/>
      <c r="AA77" s="1023"/>
      <c r="AB77" s="914" t="s">
        <v>1005</v>
      </c>
      <c r="AC77" s="1011" t="s">
        <v>1206</v>
      </c>
      <c r="AD77" s="1011" t="s">
        <v>1206</v>
      </c>
      <c r="AE77" s="1011" t="s">
        <v>1206</v>
      </c>
      <c r="AF77" s="1011" t="s">
        <v>1206</v>
      </c>
      <c r="AH77" s="1011" t="b">
        <f t="shared" si="5"/>
        <v>1</v>
      </c>
      <c r="AI77" s="1011" t="s">
        <v>23</v>
      </c>
      <c r="AJ77" s="1011" t="s">
        <v>22</v>
      </c>
      <c r="AK77" s="1011" t="s">
        <v>1426</v>
      </c>
      <c r="AL77" s="1011" t="s">
        <v>1427</v>
      </c>
    </row>
    <row r="78" spans="1:43" ht="15.75" customHeight="1" x14ac:dyDescent="0.2">
      <c r="A78" s="1018" t="s">
        <v>25</v>
      </c>
      <c r="B78" s="1019" t="s">
        <v>24</v>
      </c>
      <c r="C78" s="1020">
        <v>0.4</v>
      </c>
      <c r="D78" s="597" t="s">
        <v>704</v>
      </c>
      <c r="E78" s="597" t="s">
        <v>705</v>
      </c>
      <c r="F78" s="1020">
        <v>0.09</v>
      </c>
      <c r="G78" s="597" t="s">
        <v>702</v>
      </c>
      <c r="H78" s="597" t="s">
        <v>703</v>
      </c>
      <c r="I78" s="1020">
        <v>0.01</v>
      </c>
      <c r="J78" s="1020">
        <f t="shared" si="3"/>
        <v>0.5</v>
      </c>
      <c r="K78" s="1020"/>
      <c r="L78" s="1020">
        <v>0.4</v>
      </c>
      <c r="M78" s="597" t="s">
        <v>704</v>
      </c>
      <c r="N78" s="597" t="s">
        <v>705</v>
      </c>
      <c r="O78" s="1020">
        <v>0.09</v>
      </c>
      <c r="P78" s="597" t="s">
        <v>702</v>
      </c>
      <c r="Q78" s="597" t="s">
        <v>703</v>
      </c>
      <c r="R78" s="1020">
        <v>0.01</v>
      </c>
      <c r="S78" s="1020">
        <f t="shared" si="4"/>
        <v>0.5</v>
      </c>
      <c r="T78" s="1106" t="s">
        <v>1005</v>
      </c>
      <c r="U78" s="1107" t="s">
        <v>2257</v>
      </c>
      <c r="V78" s="877"/>
      <c r="W78" s="877"/>
      <c r="X78" s="1015"/>
      <c r="Y78" s="924"/>
      <c r="Z78" s="883"/>
      <c r="AA78" s="925"/>
      <c r="AB78" s="912"/>
      <c r="AC78" s="1011" t="s">
        <v>1005</v>
      </c>
      <c r="AD78" s="1011" t="s">
        <v>1206</v>
      </c>
      <c r="AE78" s="1011" t="s">
        <v>1206</v>
      </c>
      <c r="AF78" s="1011" t="s">
        <v>1206</v>
      </c>
      <c r="AH78" s="1011" t="b">
        <f t="shared" si="5"/>
        <v>1</v>
      </c>
      <c r="AI78" s="1011" t="s">
        <v>25</v>
      </c>
      <c r="AJ78" s="1011" t="s">
        <v>24</v>
      </c>
      <c r="AK78" s="1011" t="s">
        <v>1428</v>
      </c>
      <c r="AL78" s="1011" t="s">
        <v>1429</v>
      </c>
      <c r="AM78" s="1011" t="s">
        <v>1430</v>
      </c>
      <c r="AN78" s="1011" t="s">
        <v>1431</v>
      </c>
    </row>
    <row r="79" spans="1:43" ht="15.75" customHeight="1" x14ac:dyDescent="0.2">
      <c r="A79" s="1018" t="s">
        <v>27</v>
      </c>
      <c r="B79" s="1019" t="s">
        <v>26</v>
      </c>
      <c r="C79" s="1020">
        <v>0.4</v>
      </c>
      <c r="D79" s="597" t="s">
        <v>731</v>
      </c>
      <c r="E79" s="597" t="s">
        <v>732</v>
      </c>
      <c r="F79" s="1020">
        <v>0.1</v>
      </c>
      <c r="G79" s="597" t="s">
        <v>600</v>
      </c>
      <c r="H79" s="597" t="s">
        <v>639</v>
      </c>
      <c r="I79" s="1020">
        <v>0</v>
      </c>
      <c r="J79" s="1020">
        <f t="shared" si="3"/>
        <v>0.5</v>
      </c>
      <c r="K79" s="1020"/>
      <c r="L79" s="1020">
        <v>0.4</v>
      </c>
      <c r="M79" s="597" t="s">
        <v>731</v>
      </c>
      <c r="N79" s="597" t="s">
        <v>732</v>
      </c>
      <c r="O79" s="1020">
        <v>0.1</v>
      </c>
      <c r="P79" s="597" t="s">
        <v>600</v>
      </c>
      <c r="Q79" s="597" t="s">
        <v>639</v>
      </c>
      <c r="R79" s="1020">
        <v>0</v>
      </c>
      <c r="S79" s="1020">
        <f t="shared" si="4"/>
        <v>0.5</v>
      </c>
      <c r="T79" s="947"/>
      <c r="U79" s="877"/>
      <c r="V79" s="877"/>
      <c r="W79" s="877"/>
      <c r="X79" s="1015"/>
      <c r="Y79" s="924"/>
      <c r="Z79" s="883"/>
      <c r="AA79" s="925"/>
      <c r="AB79" s="912"/>
      <c r="AC79" s="1011" t="s">
        <v>1206</v>
      </c>
      <c r="AD79" s="1011" t="s">
        <v>1206</v>
      </c>
      <c r="AE79" s="1011" t="s">
        <v>1206</v>
      </c>
      <c r="AF79" s="1011" t="s">
        <v>1206</v>
      </c>
      <c r="AH79" s="1011" t="b">
        <f t="shared" si="5"/>
        <v>1</v>
      </c>
      <c r="AI79" s="1011" t="s">
        <v>27</v>
      </c>
      <c r="AJ79" s="1011" t="s">
        <v>26</v>
      </c>
      <c r="AK79" s="1011" t="s">
        <v>1432</v>
      </c>
      <c r="AL79" s="1011" t="s">
        <v>1433</v>
      </c>
      <c r="AM79" s="1011" t="s">
        <v>1434</v>
      </c>
      <c r="AN79" s="1011" t="s">
        <v>1435</v>
      </c>
    </row>
    <row r="80" spans="1:43" ht="15" x14ac:dyDescent="0.2">
      <c r="A80" s="1018" t="s">
        <v>29</v>
      </c>
      <c r="B80" s="1021" t="s">
        <v>642</v>
      </c>
      <c r="C80" s="1020">
        <v>0.49</v>
      </c>
      <c r="D80" s="597" t="s">
        <v>600</v>
      </c>
      <c r="E80" s="597" t="s">
        <v>601</v>
      </c>
      <c r="F80" s="1020">
        <v>0</v>
      </c>
      <c r="G80" s="597" t="s">
        <v>643</v>
      </c>
      <c r="H80" s="597" t="s">
        <v>644</v>
      </c>
      <c r="I80" s="1020">
        <v>0.01</v>
      </c>
      <c r="J80" s="1020">
        <f t="shared" si="3"/>
        <v>0.5</v>
      </c>
      <c r="K80" s="1020"/>
      <c r="L80" s="1020">
        <v>0.49</v>
      </c>
      <c r="M80" s="597" t="s">
        <v>600</v>
      </c>
      <c r="N80" s="597" t="s">
        <v>601</v>
      </c>
      <c r="O80" s="1020">
        <v>0</v>
      </c>
      <c r="P80" s="597" t="s">
        <v>643</v>
      </c>
      <c r="Q80" s="597" t="s">
        <v>644</v>
      </c>
      <c r="R80" s="1020">
        <v>0.01</v>
      </c>
      <c r="S80" s="1020">
        <f t="shared" si="4"/>
        <v>0.5</v>
      </c>
      <c r="T80" s="947" t="s">
        <v>1005</v>
      </c>
      <c r="U80" s="877" t="s">
        <v>1081</v>
      </c>
      <c r="V80" s="877" t="s">
        <v>1208</v>
      </c>
      <c r="W80" s="877"/>
      <c r="X80" s="937" t="s">
        <v>1005</v>
      </c>
      <c r="Y80" s="926">
        <v>0</v>
      </c>
      <c r="Z80" s="964">
        <v>0</v>
      </c>
      <c r="AA80" s="1023"/>
      <c r="AB80" s="914" t="s">
        <v>1005</v>
      </c>
      <c r="AC80" s="1011" t="s">
        <v>1206</v>
      </c>
      <c r="AD80" s="1011" t="s">
        <v>1206</v>
      </c>
      <c r="AE80" s="1011" t="s">
        <v>1206</v>
      </c>
      <c r="AF80" s="1011" t="s">
        <v>1206</v>
      </c>
      <c r="AH80" s="1011" t="b">
        <f t="shared" si="5"/>
        <v>1</v>
      </c>
      <c r="AI80" s="1011" t="s">
        <v>29</v>
      </c>
      <c r="AJ80" s="1011" t="s">
        <v>28</v>
      </c>
      <c r="AK80" s="1011" t="s">
        <v>1436</v>
      </c>
      <c r="AL80" s="1011" t="s">
        <v>1437</v>
      </c>
    </row>
    <row r="81" spans="1:43" ht="15.75" customHeight="1" x14ac:dyDescent="0.2">
      <c r="A81" s="1018" t="s">
        <v>31</v>
      </c>
      <c r="B81" s="1019" t="s">
        <v>30</v>
      </c>
      <c r="C81" s="1020">
        <v>0.4</v>
      </c>
      <c r="D81" s="597" t="s">
        <v>645</v>
      </c>
      <c r="E81" s="597" t="s">
        <v>646</v>
      </c>
      <c r="F81" s="1020">
        <v>0.09</v>
      </c>
      <c r="G81" s="597" t="s">
        <v>643</v>
      </c>
      <c r="H81" s="597" t="s">
        <v>644</v>
      </c>
      <c r="I81" s="1020">
        <v>0.01</v>
      </c>
      <c r="J81" s="1020">
        <f t="shared" si="3"/>
        <v>0.5</v>
      </c>
      <c r="K81" s="1020"/>
      <c r="L81" s="1020">
        <v>0.4</v>
      </c>
      <c r="M81" s="597" t="s">
        <v>645</v>
      </c>
      <c r="N81" s="597" t="s">
        <v>646</v>
      </c>
      <c r="O81" s="1020">
        <v>0.09</v>
      </c>
      <c r="P81" s="597" t="s">
        <v>643</v>
      </c>
      <c r="Q81" s="597" t="s">
        <v>644</v>
      </c>
      <c r="R81" s="1020">
        <v>0.01</v>
      </c>
      <c r="S81" s="1020">
        <f t="shared" si="4"/>
        <v>0.5</v>
      </c>
      <c r="T81" s="947"/>
      <c r="U81" s="877"/>
      <c r="V81" s="877"/>
      <c r="W81" s="877"/>
      <c r="X81" s="1015"/>
      <c r="Y81" s="924"/>
      <c r="Z81" s="883"/>
      <c r="AA81" s="925"/>
      <c r="AB81" s="912"/>
      <c r="AC81" s="1011" t="s">
        <v>1206</v>
      </c>
      <c r="AD81" s="1011" t="s">
        <v>1206</v>
      </c>
      <c r="AE81" s="1011" t="s">
        <v>1206</v>
      </c>
      <c r="AF81" s="1011" t="s">
        <v>1206</v>
      </c>
      <c r="AH81" s="1011" t="b">
        <f t="shared" si="5"/>
        <v>1</v>
      </c>
      <c r="AI81" s="1011" t="s">
        <v>31</v>
      </c>
      <c r="AJ81" s="1011" t="s">
        <v>30</v>
      </c>
      <c r="AK81" s="1011" t="s">
        <v>1438</v>
      </c>
      <c r="AL81" s="1011" t="s">
        <v>1439</v>
      </c>
    </row>
    <row r="82" spans="1:43" ht="15.75" customHeight="1" x14ac:dyDescent="0.2">
      <c r="A82" s="1018" t="s">
        <v>33</v>
      </c>
      <c r="B82" s="1019" t="s">
        <v>32</v>
      </c>
      <c r="C82" s="1020">
        <v>0.49</v>
      </c>
      <c r="D82" s="597" t="s">
        <v>600</v>
      </c>
      <c r="E82" s="597" t="s">
        <v>765</v>
      </c>
      <c r="F82" s="1020">
        <v>0</v>
      </c>
      <c r="G82" s="597" t="s">
        <v>770</v>
      </c>
      <c r="H82" s="597" t="s">
        <v>771</v>
      </c>
      <c r="I82" s="1020">
        <v>0.01</v>
      </c>
      <c r="J82" s="1020">
        <f t="shared" si="3"/>
        <v>0.5</v>
      </c>
      <c r="K82" s="1020"/>
      <c r="L82" s="1020">
        <v>0.49</v>
      </c>
      <c r="M82" s="597" t="s">
        <v>600</v>
      </c>
      <c r="N82" s="597" t="s">
        <v>765</v>
      </c>
      <c r="O82" s="1020">
        <v>0</v>
      </c>
      <c r="P82" s="597" t="s">
        <v>770</v>
      </c>
      <c r="Q82" s="597" t="s">
        <v>771</v>
      </c>
      <c r="R82" s="1020">
        <v>0.01</v>
      </c>
      <c r="S82" s="1020">
        <f t="shared" si="4"/>
        <v>0.5</v>
      </c>
      <c r="T82" s="949"/>
      <c r="U82" s="885"/>
      <c r="V82" s="885"/>
      <c r="W82" s="885"/>
      <c r="X82" s="937" t="s">
        <v>1005</v>
      </c>
      <c r="Y82" s="924"/>
      <c r="Z82" s="883"/>
      <c r="AA82" s="925"/>
      <c r="AB82" s="914" t="s">
        <v>1005</v>
      </c>
      <c r="AC82" s="1011" t="s">
        <v>1206</v>
      </c>
      <c r="AD82" s="1011" t="s">
        <v>1206</v>
      </c>
      <c r="AE82" s="1011" t="s">
        <v>1206</v>
      </c>
      <c r="AF82" s="1011" t="s">
        <v>1206</v>
      </c>
      <c r="AH82" s="1011" t="b">
        <f t="shared" si="5"/>
        <v>1</v>
      </c>
      <c r="AI82" s="1011" t="s">
        <v>33</v>
      </c>
      <c r="AJ82" s="1011" t="s">
        <v>32</v>
      </c>
      <c r="AK82" s="1011" t="s">
        <v>1440</v>
      </c>
      <c r="AL82" s="1011" t="s">
        <v>1441</v>
      </c>
    </row>
    <row r="83" spans="1:43" ht="15.75" customHeight="1" x14ac:dyDescent="0.2">
      <c r="A83" s="1018" t="s">
        <v>47</v>
      </c>
      <c r="B83" s="1019" t="s">
        <v>46</v>
      </c>
      <c r="C83" s="1020">
        <v>0.4</v>
      </c>
      <c r="D83" s="597" t="s">
        <v>704</v>
      </c>
      <c r="E83" s="597" t="s">
        <v>705</v>
      </c>
      <c r="F83" s="1020">
        <v>0.09</v>
      </c>
      <c r="G83" s="597" t="s">
        <v>702</v>
      </c>
      <c r="H83" s="597" t="s">
        <v>703</v>
      </c>
      <c r="I83" s="1020">
        <v>0.01</v>
      </c>
      <c r="J83" s="1020">
        <f t="shared" si="3"/>
        <v>0.5</v>
      </c>
      <c r="K83" s="1020"/>
      <c r="L83" s="1020">
        <v>0.4</v>
      </c>
      <c r="M83" s="597" t="s">
        <v>704</v>
      </c>
      <c r="N83" s="597" t="s">
        <v>705</v>
      </c>
      <c r="O83" s="1020">
        <v>0.09</v>
      </c>
      <c r="P83" s="597" t="s">
        <v>702</v>
      </c>
      <c r="Q83" s="597" t="s">
        <v>703</v>
      </c>
      <c r="R83" s="1020">
        <v>0.01</v>
      </c>
      <c r="S83" s="1020">
        <f t="shared" si="4"/>
        <v>0.5</v>
      </c>
      <c r="T83" s="947"/>
      <c r="U83" s="877"/>
      <c r="V83" s="877"/>
      <c r="W83" s="877"/>
      <c r="X83" s="1015"/>
      <c r="Y83" s="924"/>
      <c r="Z83" s="883"/>
      <c r="AA83" s="925"/>
      <c r="AB83" s="912"/>
      <c r="AC83" s="1011" t="s">
        <v>1206</v>
      </c>
      <c r="AD83" s="1011" t="s">
        <v>1206</v>
      </c>
      <c r="AE83" s="1011" t="s">
        <v>1206</v>
      </c>
      <c r="AF83" s="1011" t="s">
        <v>1206</v>
      </c>
      <c r="AH83" s="1011" t="b">
        <f t="shared" si="5"/>
        <v>1</v>
      </c>
      <c r="AI83" s="1011" t="s">
        <v>47</v>
      </c>
      <c r="AJ83" s="1011" t="s">
        <v>46</v>
      </c>
      <c r="AK83" s="1011" t="s">
        <v>1442</v>
      </c>
      <c r="AL83" s="1011" t="s">
        <v>1443</v>
      </c>
    </row>
    <row r="84" spans="1:43" ht="15.75" customHeight="1" x14ac:dyDescent="0.2">
      <c r="A84" s="1018" t="s">
        <v>49</v>
      </c>
      <c r="B84" s="1019" t="s">
        <v>48</v>
      </c>
      <c r="C84" s="1020">
        <v>0.99</v>
      </c>
      <c r="D84" s="597" t="s">
        <v>600</v>
      </c>
      <c r="E84" s="597" t="s">
        <v>765</v>
      </c>
      <c r="F84" s="1020">
        <v>0</v>
      </c>
      <c r="G84" s="597" t="s">
        <v>774</v>
      </c>
      <c r="H84" s="597" t="s">
        <v>775</v>
      </c>
      <c r="I84" s="1020">
        <v>0.01</v>
      </c>
      <c r="J84" s="1020">
        <f t="shared" si="3"/>
        <v>1</v>
      </c>
      <c r="K84" s="1020"/>
      <c r="L84" s="1020">
        <v>0.49</v>
      </c>
      <c r="M84" s="597" t="s">
        <v>600</v>
      </c>
      <c r="N84" s="597" t="s">
        <v>765</v>
      </c>
      <c r="O84" s="1020">
        <v>0</v>
      </c>
      <c r="P84" s="597" t="s">
        <v>774</v>
      </c>
      <c r="Q84" s="597" t="s">
        <v>775</v>
      </c>
      <c r="R84" s="1020">
        <v>0.01</v>
      </c>
      <c r="S84" s="1020">
        <f t="shared" si="4"/>
        <v>0.5</v>
      </c>
      <c r="T84" s="947" t="s">
        <v>1005</v>
      </c>
      <c r="U84" s="877" t="s">
        <v>3082</v>
      </c>
      <c r="V84" s="877"/>
      <c r="W84" s="877"/>
      <c r="X84" s="937" t="s">
        <v>1005</v>
      </c>
      <c r="Y84" s="924"/>
      <c r="Z84" s="883"/>
      <c r="AA84" s="925"/>
      <c r="AB84" s="914" t="s">
        <v>1005</v>
      </c>
      <c r="AC84" s="1011" t="s">
        <v>1206</v>
      </c>
      <c r="AD84" s="1011" t="s">
        <v>1206</v>
      </c>
      <c r="AE84" s="1011" t="s">
        <v>1206</v>
      </c>
      <c r="AF84" s="1011" t="s">
        <v>1206</v>
      </c>
      <c r="AH84" s="1011" t="b">
        <f t="shared" si="5"/>
        <v>1</v>
      </c>
      <c r="AI84" s="1011" t="s">
        <v>49</v>
      </c>
      <c r="AJ84" s="1011" t="s">
        <v>48</v>
      </c>
      <c r="AK84" s="1011" t="s">
        <v>1444</v>
      </c>
      <c r="AL84" s="1011" t="s">
        <v>1445</v>
      </c>
      <c r="AM84" s="1011" t="s">
        <v>1446</v>
      </c>
      <c r="AN84" s="1011" t="s">
        <v>1447</v>
      </c>
      <c r="AO84" s="1011" t="s">
        <v>1448</v>
      </c>
      <c r="AQ84" s="1011" t="s">
        <v>1449</v>
      </c>
    </row>
    <row r="85" spans="1:43" ht="15.75" customHeight="1" x14ac:dyDescent="0.2">
      <c r="A85" s="1018" t="s">
        <v>51</v>
      </c>
      <c r="B85" s="1021" t="s">
        <v>50</v>
      </c>
      <c r="C85" s="1020">
        <v>0.49</v>
      </c>
      <c r="D85" s="597" t="s">
        <v>600</v>
      </c>
      <c r="E85" s="597" t="s">
        <v>601</v>
      </c>
      <c r="F85" s="1020">
        <v>0</v>
      </c>
      <c r="G85" s="597" t="s">
        <v>662</v>
      </c>
      <c r="H85" s="597" t="s">
        <v>663</v>
      </c>
      <c r="I85" s="1020">
        <v>0.01</v>
      </c>
      <c r="J85" s="1020">
        <f t="shared" si="3"/>
        <v>0.5</v>
      </c>
      <c r="K85" s="1020"/>
      <c r="L85" s="1020">
        <v>0.49</v>
      </c>
      <c r="M85" s="597" t="s">
        <v>600</v>
      </c>
      <c r="N85" s="597" t="s">
        <v>601</v>
      </c>
      <c r="O85" s="1020">
        <v>0</v>
      </c>
      <c r="P85" s="597" t="s">
        <v>662</v>
      </c>
      <c r="Q85" s="597" t="s">
        <v>663</v>
      </c>
      <c r="R85" s="1020">
        <v>0.01</v>
      </c>
      <c r="S85" s="1020">
        <f t="shared" si="4"/>
        <v>0.5</v>
      </c>
      <c r="T85" s="1106" t="s">
        <v>1005</v>
      </c>
      <c r="U85" s="1107" t="s">
        <v>2250</v>
      </c>
      <c r="V85" s="877"/>
      <c r="W85" s="877"/>
      <c r="X85" s="937" t="s">
        <v>1005</v>
      </c>
      <c r="Y85" s="924"/>
      <c r="Z85" s="883"/>
      <c r="AA85" s="925"/>
      <c r="AB85" s="914" t="s">
        <v>1005</v>
      </c>
      <c r="AC85" s="1011" t="s">
        <v>1005</v>
      </c>
      <c r="AD85" s="1011" t="s">
        <v>1206</v>
      </c>
      <c r="AE85" s="1011" t="s">
        <v>1206</v>
      </c>
      <c r="AF85" s="1011" t="s">
        <v>1206</v>
      </c>
      <c r="AH85" s="1011" t="b">
        <f t="shared" si="5"/>
        <v>1</v>
      </c>
      <c r="AI85" s="1011" t="s">
        <v>51</v>
      </c>
      <c r="AJ85" s="1011" t="s">
        <v>1450</v>
      </c>
      <c r="AK85" s="1011" t="s">
        <v>1451</v>
      </c>
      <c r="AL85" s="1011" t="s">
        <v>1452</v>
      </c>
      <c r="AM85" s="1011" t="s">
        <v>1453</v>
      </c>
      <c r="AN85" s="1011" t="s">
        <v>1454</v>
      </c>
      <c r="AO85" s="1011" t="s">
        <v>1455</v>
      </c>
      <c r="AQ85" s="1011" t="s">
        <v>1456</v>
      </c>
    </row>
    <row r="86" spans="1:43" ht="15.75" customHeight="1" x14ac:dyDescent="0.2">
      <c r="A86" s="1018" t="s">
        <v>53</v>
      </c>
      <c r="B86" s="1019" t="s">
        <v>52</v>
      </c>
      <c r="C86" s="1020">
        <v>0.3</v>
      </c>
      <c r="D86" s="597" t="s">
        <v>779</v>
      </c>
      <c r="E86" s="597" t="s">
        <v>780</v>
      </c>
      <c r="F86" s="1020">
        <v>0.37</v>
      </c>
      <c r="G86" s="597" t="s">
        <v>600</v>
      </c>
      <c r="H86" s="597" t="s">
        <v>600</v>
      </c>
      <c r="I86" s="1020">
        <v>0</v>
      </c>
      <c r="J86" s="1020">
        <f t="shared" si="3"/>
        <v>0.66999999999999993</v>
      </c>
      <c r="K86" s="1020"/>
      <c r="L86" s="1020">
        <v>0.3</v>
      </c>
      <c r="M86" s="597" t="s">
        <v>779</v>
      </c>
      <c r="N86" s="597" t="s">
        <v>780</v>
      </c>
      <c r="O86" s="1020">
        <v>0.2</v>
      </c>
      <c r="P86" s="597" t="s">
        <v>600</v>
      </c>
      <c r="Q86" s="597" t="s">
        <v>600</v>
      </c>
      <c r="R86" s="1020">
        <v>0</v>
      </c>
      <c r="S86" s="1020">
        <f t="shared" si="4"/>
        <v>0.5</v>
      </c>
      <c r="T86" s="947"/>
      <c r="U86" s="877"/>
      <c r="V86" s="877"/>
      <c r="W86" s="877"/>
      <c r="X86" s="937" t="s">
        <v>1005</v>
      </c>
      <c r="Y86" s="924"/>
      <c r="Z86" s="883"/>
      <c r="AA86" s="925"/>
      <c r="AB86" s="914" t="s">
        <v>1005</v>
      </c>
      <c r="AC86" s="1011" t="s">
        <v>1206</v>
      </c>
      <c r="AD86" s="1011" t="s">
        <v>1206</v>
      </c>
      <c r="AE86" s="1011" t="s">
        <v>1206</v>
      </c>
      <c r="AF86" s="1011" t="s">
        <v>1206</v>
      </c>
      <c r="AH86" s="1011" t="b">
        <f t="shared" si="5"/>
        <v>1</v>
      </c>
      <c r="AI86" s="1011" t="s">
        <v>53</v>
      </c>
      <c r="AJ86" s="1011" t="s">
        <v>52</v>
      </c>
      <c r="AK86" s="1011" t="s">
        <v>1457</v>
      </c>
      <c r="AL86" s="1011" t="s">
        <v>1458</v>
      </c>
    </row>
    <row r="87" spans="1:43" ht="15" x14ac:dyDescent="0.2">
      <c r="A87" s="1018" t="s">
        <v>55</v>
      </c>
      <c r="B87" s="1019" t="s">
        <v>54</v>
      </c>
      <c r="C87" s="1020">
        <v>0.4</v>
      </c>
      <c r="D87" s="597" t="s">
        <v>626</v>
      </c>
      <c r="E87" s="597" t="s">
        <v>627</v>
      </c>
      <c r="F87" s="1020">
        <v>0.09</v>
      </c>
      <c r="G87" s="597" t="s">
        <v>624</v>
      </c>
      <c r="H87" s="597" t="s">
        <v>625</v>
      </c>
      <c r="I87" s="1020">
        <v>0.01</v>
      </c>
      <c r="J87" s="1020">
        <f t="shared" si="3"/>
        <v>0.5</v>
      </c>
      <c r="K87" s="1020"/>
      <c r="L87" s="1020">
        <v>0.4</v>
      </c>
      <c r="M87" s="597" t="s">
        <v>626</v>
      </c>
      <c r="N87" s="597" t="s">
        <v>627</v>
      </c>
      <c r="O87" s="1020">
        <v>0.09</v>
      </c>
      <c r="P87" s="597" t="s">
        <v>624</v>
      </c>
      <c r="Q87" s="597" t="s">
        <v>625</v>
      </c>
      <c r="R87" s="1020">
        <v>0.01</v>
      </c>
      <c r="S87" s="1020">
        <f t="shared" si="4"/>
        <v>0.5</v>
      </c>
      <c r="T87" s="947" t="s">
        <v>1005</v>
      </c>
      <c r="U87" s="886" t="s">
        <v>1188</v>
      </c>
      <c r="V87" s="877"/>
      <c r="W87" s="877"/>
      <c r="X87" s="1015"/>
      <c r="Y87" s="1057">
        <v>191387</v>
      </c>
      <c r="Z87" s="964"/>
      <c r="AA87" s="1023"/>
      <c r="AB87" s="912"/>
      <c r="AC87" s="1011" t="s">
        <v>1206</v>
      </c>
      <c r="AD87" s="1011" t="s">
        <v>1206</v>
      </c>
      <c r="AE87" s="1011" t="s">
        <v>1206</v>
      </c>
      <c r="AF87" s="1011" t="s">
        <v>1005</v>
      </c>
      <c r="AG87" s="1112">
        <v>20452573.084395654</v>
      </c>
      <c r="AH87" s="1011" t="b">
        <f t="shared" si="5"/>
        <v>1</v>
      </c>
      <c r="AI87" s="1011" t="s">
        <v>55</v>
      </c>
      <c r="AJ87" s="1011" t="s">
        <v>54</v>
      </c>
      <c r="AK87" s="1011" t="s">
        <v>1301</v>
      </c>
      <c r="AL87" s="1011" t="s">
        <v>1302</v>
      </c>
    </row>
    <row r="88" spans="1:43" ht="15.75" customHeight="1" x14ac:dyDescent="0.2">
      <c r="A88" s="1018" t="s">
        <v>57</v>
      </c>
      <c r="B88" s="1019" t="s">
        <v>56</v>
      </c>
      <c r="C88" s="1020">
        <v>0.4</v>
      </c>
      <c r="D88" s="597" t="s">
        <v>652</v>
      </c>
      <c r="E88" s="597" t="s">
        <v>653</v>
      </c>
      <c r="F88" s="1020">
        <v>0.09</v>
      </c>
      <c r="G88" s="597" t="s">
        <v>649</v>
      </c>
      <c r="H88" s="1022" t="s">
        <v>650</v>
      </c>
      <c r="I88" s="1020">
        <v>0.01</v>
      </c>
      <c r="J88" s="1020">
        <f t="shared" si="3"/>
        <v>0.5</v>
      </c>
      <c r="K88" s="1020"/>
      <c r="L88" s="1020">
        <v>0.4</v>
      </c>
      <c r="M88" s="597" t="s">
        <v>652</v>
      </c>
      <c r="N88" s="597" t="s">
        <v>653</v>
      </c>
      <c r="O88" s="1020">
        <v>0.09</v>
      </c>
      <c r="P88" s="597" t="s">
        <v>649</v>
      </c>
      <c r="Q88" s="1022" t="s">
        <v>650</v>
      </c>
      <c r="R88" s="1020">
        <v>0.01</v>
      </c>
      <c r="S88" s="1020">
        <f t="shared" si="4"/>
        <v>0.5</v>
      </c>
      <c r="T88" s="1106" t="s">
        <v>1005</v>
      </c>
      <c r="U88" s="1109" t="s">
        <v>2256</v>
      </c>
      <c r="V88" s="877"/>
      <c r="W88" s="877"/>
      <c r="X88" s="1015"/>
      <c r="Y88" s="965"/>
      <c r="Z88" s="966"/>
      <c r="AA88" s="967"/>
      <c r="AB88" s="912"/>
      <c r="AC88" s="1011" t="s">
        <v>1005</v>
      </c>
      <c r="AD88" s="1011" t="s">
        <v>1206</v>
      </c>
      <c r="AE88" s="1011" t="s">
        <v>1206</v>
      </c>
      <c r="AF88" s="1011" t="s">
        <v>1206</v>
      </c>
      <c r="AH88" s="1011" t="b">
        <f t="shared" si="5"/>
        <v>1</v>
      </c>
      <c r="AI88" s="1011" t="s">
        <v>57</v>
      </c>
      <c r="AJ88" s="1011" t="s">
        <v>56</v>
      </c>
      <c r="AK88" s="1011" t="s">
        <v>1459</v>
      </c>
      <c r="AL88" s="1011" t="s">
        <v>1460</v>
      </c>
    </row>
    <row r="89" spans="1:43" ht="15.75" customHeight="1" x14ac:dyDescent="0.2">
      <c r="A89" s="1018" t="s">
        <v>59</v>
      </c>
      <c r="B89" s="1019" t="s">
        <v>58</v>
      </c>
      <c r="C89" s="1020">
        <v>0.4</v>
      </c>
      <c r="D89" s="597" t="s">
        <v>658</v>
      </c>
      <c r="E89" s="597" t="s">
        <v>659</v>
      </c>
      <c r="F89" s="1020">
        <v>0.09</v>
      </c>
      <c r="G89" s="597" t="s">
        <v>655</v>
      </c>
      <c r="H89" s="597" t="s">
        <v>656</v>
      </c>
      <c r="I89" s="1020">
        <v>0.01</v>
      </c>
      <c r="J89" s="1020">
        <f t="shared" si="3"/>
        <v>0.5</v>
      </c>
      <c r="K89" s="1020"/>
      <c r="L89" s="1020">
        <v>0.4</v>
      </c>
      <c r="M89" s="597" t="s">
        <v>658</v>
      </c>
      <c r="N89" s="597" t="s">
        <v>659</v>
      </c>
      <c r="O89" s="1020">
        <v>0.09</v>
      </c>
      <c r="P89" s="597" t="s">
        <v>655</v>
      </c>
      <c r="Q89" s="597" t="s">
        <v>656</v>
      </c>
      <c r="R89" s="1020">
        <v>0.01</v>
      </c>
      <c r="S89" s="1020">
        <f t="shared" si="4"/>
        <v>0.5</v>
      </c>
      <c r="T89" s="947"/>
      <c r="U89" s="877"/>
      <c r="V89" s="877"/>
      <c r="W89" s="877"/>
      <c r="X89" s="1015"/>
      <c r="Y89" s="924"/>
      <c r="Z89" s="883"/>
      <c r="AA89" s="925"/>
      <c r="AB89" s="912"/>
      <c r="AC89" s="1011" t="s">
        <v>1206</v>
      </c>
      <c r="AD89" s="1011" t="s">
        <v>1206</v>
      </c>
      <c r="AE89" s="1011" t="s">
        <v>1206</v>
      </c>
      <c r="AF89" s="1011" t="s">
        <v>1206</v>
      </c>
      <c r="AH89" s="1011" t="b">
        <f t="shared" si="5"/>
        <v>1</v>
      </c>
      <c r="AI89" s="1011" t="s">
        <v>59</v>
      </c>
      <c r="AJ89" s="1011" t="s">
        <v>58</v>
      </c>
      <c r="AK89" s="1011" t="s">
        <v>1461</v>
      </c>
      <c r="AL89" s="1011" t="s">
        <v>1462</v>
      </c>
    </row>
    <row r="90" spans="1:43" ht="15.75" customHeight="1" x14ac:dyDescent="0.2">
      <c r="A90" s="1018" t="s">
        <v>61</v>
      </c>
      <c r="B90" s="1019" t="s">
        <v>60</v>
      </c>
      <c r="C90" s="1020">
        <v>0.4</v>
      </c>
      <c r="D90" s="597" t="s">
        <v>685</v>
      </c>
      <c r="E90" s="597" t="s">
        <v>686</v>
      </c>
      <c r="F90" s="1020">
        <v>0.09</v>
      </c>
      <c r="G90" s="597" t="s">
        <v>682</v>
      </c>
      <c r="H90" s="597" t="s">
        <v>683</v>
      </c>
      <c r="I90" s="1020">
        <v>0.01</v>
      </c>
      <c r="J90" s="1020">
        <f t="shared" si="3"/>
        <v>0.5</v>
      </c>
      <c r="K90" s="1020"/>
      <c r="L90" s="1020">
        <v>0.4</v>
      </c>
      <c r="M90" s="597" t="s">
        <v>685</v>
      </c>
      <c r="N90" s="597" t="s">
        <v>686</v>
      </c>
      <c r="O90" s="1020">
        <v>0.09</v>
      </c>
      <c r="P90" s="597" t="s">
        <v>682</v>
      </c>
      <c r="Q90" s="597" t="s">
        <v>683</v>
      </c>
      <c r="R90" s="1020">
        <v>0.01</v>
      </c>
      <c r="S90" s="1020">
        <f t="shared" si="4"/>
        <v>0.5</v>
      </c>
      <c r="T90" s="1106" t="s">
        <v>1005</v>
      </c>
      <c r="U90" s="1110" t="s">
        <v>2254</v>
      </c>
      <c r="V90" s="877"/>
      <c r="W90" s="877"/>
      <c r="X90" s="1015"/>
      <c r="Y90" s="965"/>
      <c r="Z90" s="966"/>
      <c r="AA90" s="967"/>
      <c r="AB90" s="912"/>
      <c r="AC90" s="1011" t="s">
        <v>1005</v>
      </c>
      <c r="AD90" s="1011" t="s">
        <v>1206</v>
      </c>
      <c r="AE90" s="1011" t="s">
        <v>1206</v>
      </c>
      <c r="AF90" s="1011" t="s">
        <v>1206</v>
      </c>
      <c r="AH90" s="1011" t="b">
        <f t="shared" si="5"/>
        <v>1</v>
      </c>
      <c r="AI90" s="1011" t="s">
        <v>61</v>
      </c>
      <c r="AJ90" s="1011" t="s">
        <v>60</v>
      </c>
      <c r="AK90" s="1011" t="s">
        <v>1463</v>
      </c>
      <c r="AL90" s="1011" t="s">
        <v>1464</v>
      </c>
      <c r="AM90" s="1011" t="s">
        <v>1465</v>
      </c>
      <c r="AN90" s="1011" t="s">
        <v>1466</v>
      </c>
      <c r="AO90" s="1011" t="s">
        <v>1467</v>
      </c>
      <c r="AP90" s="1011" t="s">
        <v>1468</v>
      </c>
      <c r="AQ90" s="1011" t="s">
        <v>1469</v>
      </c>
    </row>
    <row r="91" spans="1:43" ht="15.75" customHeight="1" x14ac:dyDescent="0.2">
      <c r="A91" s="1018" t="s">
        <v>63</v>
      </c>
      <c r="B91" s="1019" t="s">
        <v>62</v>
      </c>
      <c r="C91" s="1020">
        <v>0.4</v>
      </c>
      <c r="D91" s="597" t="s">
        <v>692</v>
      </c>
      <c r="E91" s="597" t="s">
        <v>693</v>
      </c>
      <c r="F91" s="1020">
        <v>0.1</v>
      </c>
      <c r="G91" s="597" t="s">
        <v>600</v>
      </c>
      <c r="H91" s="597" t="s">
        <v>639</v>
      </c>
      <c r="I91" s="1020">
        <v>0</v>
      </c>
      <c r="J91" s="1020">
        <f t="shared" si="3"/>
        <v>0.5</v>
      </c>
      <c r="K91" s="1020"/>
      <c r="L91" s="1020">
        <v>0.4</v>
      </c>
      <c r="M91" s="597" t="s">
        <v>692</v>
      </c>
      <c r="N91" s="597" t="s">
        <v>693</v>
      </c>
      <c r="O91" s="1020">
        <v>0.1</v>
      </c>
      <c r="P91" s="597" t="s">
        <v>600</v>
      </c>
      <c r="Q91" s="597" t="s">
        <v>639</v>
      </c>
      <c r="R91" s="1020">
        <v>0</v>
      </c>
      <c r="S91" s="1020">
        <f t="shared" si="4"/>
        <v>0.5</v>
      </c>
      <c r="T91" s="947"/>
      <c r="U91" s="877"/>
      <c r="V91" s="877"/>
      <c r="W91" s="877"/>
      <c r="X91" s="1015"/>
      <c r="Y91" s="924"/>
      <c r="Z91" s="883"/>
      <c r="AA91" s="925"/>
      <c r="AB91" s="912"/>
      <c r="AC91" s="1011" t="s">
        <v>1206</v>
      </c>
      <c r="AD91" s="1011" t="s">
        <v>1206</v>
      </c>
      <c r="AE91" s="1011" t="s">
        <v>1206</v>
      </c>
      <c r="AF91" s="1011" t="s">
        <v>1206</v>
      </c>
      <c r="AH91" s="1011" t="b">
        <f t="shared" si="5"/>
        <v>1</v>
      </c>
      <c r="AI91" s="1011" t="s">
        <v>63</v>
      </c>
      <c r="AJ91" s="1011" t="s">
        <v>62</v>
      </c>
      <c r="AK91" s="1011" t="s">
        <v>1470</v>
      </c>
      <c r="AL91" s="1011" t="s">
        <v>1471</v>
      </c>
    </row>
    <row r="92" spans="1:43" ht="15.75" customHeight="1" x14ac:dyDescent="0.2">
      <c r="A92" s="1018" t="s">
        <v>65</v>
      </c>
      <c r="B92" s="1019" t="s">
        <v>64</v>
      </c>
      <c r="C92" s="1020">
        <v>0.4</v>
      </c>
      <c r="D92" s="597" t="s">
        <v>721</v>
      </c>
      <c r="E92" s="597" t="s">
        <v>722</v>
      </c>
      <c r="F92" s="1020">
        <v>0.1</v>
      </c>
      <c r="G92" s="597" t="s">
        <v>600</v>
      </c>
      <c r="H92" s="597" t="s">
        <v>639</v>
      </c>
      <c r="I92" s="1020">
        <v>0</v>
      </c>
      <c r="J92" s="1020">
        <f t="shared" si="3"/>
        <v>0.5</v>
      </c>
      <c r="K92" s="1020"/>
      <c r="L92" s="1020">
        <v>0.4</v>
      </c>
      <c r="M92" s="597" t="s">
        <v>721</v>
      </c>
      <c r="N92" s="597" t="s">
        <v>722</v>
      </c>
      <c r="O92" s="1020">
        <v>0.1</v>
      </c>
      <c r="P92" s="597" t="s">
        <v>600</v>
      </c>
      <c r="Q92" s="597" t="s">
        <v>639</v>
      </c>
      <c r="R92" s="1020">
        <v>0</v>
      </c>
      <c r="S92" s="1020">
        <f t="shared" si="4"/>
        <v>0.5</v>
      </c>
      <c r="T92" s="947"/>
      <c r="U92" s="877"/>
      <c r="V92" s="877"/>
      <c r="W92" s="877"/>
      <c r="X92" s="1015"/>
      <c r="Y92" s="924"/>
      <c r="Z92" s="883"/>
      <c r="AA92" s="925"/>
      <c r="AB92" s="912"/>
      <c r="AC92" s="1011" t="s">
        <v>1206</v>
      </c>
      <c r="AD92" s="1011" t="s">
        <v>1206</v>
      </c>
      <c r="AE92" s="1011" t="s">
        <v>1206</v>
      </c>
      <c r="AF92" s="1011" t="s">
        <v>1206</v>
      </c>
      <c r="AH92" s="1011" t="b">
        <f t="shared" si="5"/>
        <v>1</v>
      </c>
      <c r="AI92" s="1011" t="s">
        <v>65</v>
      </c>
      <c r="AJ92" s="1011" t="s">
        <v>64</v>
      </c>
      <c r="AK92" s="1011" t="s">
        <v>1472</v>
      </c>
      <c r="AL92" s="1011" t="s">
        <v>1473</v>
      </c>
      <c r="AM92" s="1011" t="s">
        <v>1474</v>
      </c>
      <c r="AN92" s="1011" t="s">
        <v>1475</v>
      </c>
    </row>
    <row r="93" spans="1:43" ht="15.75" customHeight="1" x14ac:dyDescent="0.2">
      <c r="A93" s="1018" t="s">
        <v>67</v>
      </c>
      <c r="B93" s="1019" t="s">
        <v>66</v>
      </c>
      <c r="C93" s="1020">
        <v>0.4</v>
      </c>
      <c r="D93" s="597" t="s">
        <v>731</v>
      </c>
      <c r="E93" s="597" t="s">
        <v>732</v>
      </c>
      <c r="F93" s="1020">
        <v>0.1</v>
      </c>
      <c r="G93" s="597" t="s">
        <v>600</v>
      </c>
      <c r="H93" s="597" t="s">
        <v>639</v>
      </c>
      <c r="I93" s="1020">
        <v>0</v>
      </c>
      <c r="J93" s="1020">
        <f t="shared" si="3"/>
        <v>0.5</v>
      </c>
      <c r="K93" s="1020"/>
      <c r="L93" s="1020">
        <v>0.4</v>
      </c>
      <c r="M93" s="597" t="s">
        <v>731</v>
      </c>
      <c r="N93" s="597" t="s">
        <v>732</v>
      </c>
      <c r="O93" s="1020">
        <v>0.1</v>
      </c>
      <c r="P93" s="597" t="s">
        <v>600</v>
      </c>
      <c r="Q93" s="597" t="s">
        <v>639</v>
      </c>
      <c r="R93" s="1020">
        <v>0</v>
      </c>
      <c r="S93" s="1020">
        <f t="shared" si="4"/>
        <v>0.5</v>
      </c>
      <c r="T93" s="947"/>
      <c r="U93" s="877"/>
      <c r="V93" s="877"/>
      <c r="W93" s="877"/>
      <c r="X93" s="1015"/>
      <c r="Y93" s="924"/>
      <c r="Z93" s="883"/>
      <c r="AA93" s="925"/>
      <c r="AB93" s="912"/>
      <c r="AC93" s="1011" t="s">
        <v>1206</v>
      </c>
      <c r="AD93" s="1011" t="s">
        <v>1206</v>
      </c>
      <c r="AE93" s="1011" t="s">
        <v>1206</v>
      </c>
      <c r="AF93" s="1011" t="s">
        <v>1206</v>
      </c>
      <c r="AH93" s="1011" t="b">
        <f t="shared" si="5"/>
        <v>1</v>
      </c>
      <c r="AI93" s="1011" t="s">
        <v>67</v>
      </c>
      <c r="AJ93" s="1011" t="s">
        <v>66</v>
      </c>
      <c r="AK93" s="1011" t="s">
        <v>1476</v>
      </c>
      <c r="AL93" s="1011" t="s">
        <v>1477</v>
      </c>
    </row>
    <row r="94" spans="1:43" ht="15" x14ac:dyDescent="0.2">
      <c r="A94" s="1018" t="s">
        <v>69</v>
      </c>
      <c r="B94" s="1019" t="s">
        <v>694</v>
      </c>
      <c r="C94" s="1020">
        <v>0.49</v>
      </c>
      <c r="D94" s="597" t="s">
        <v>600</v>
      </c>
      <c r="E94" s="597" t="s">
        <v>601</v>
      </c>
      <c r="F94" s="1020">
        <v>0</v>
      </c>
      <c r="G94" s="597" t="s">
        <v>695</v>
      </c>
      <c r="H94" s="597" t="s">
        <v>696</v>
      </c>
      <c r="I94" s="1020">
        <v>0.01</v>
      </c>
      <c r="J94" s="1020">
        <f t="shared" si="3"/>
        <v>0.5</v>
      </c>
      <c r="K94" s="1020"/>
      <c r="L94" s="1020">
        <v>0.49</v>
      </c>
      <c r="M94" s="597" t="s">
        <v>600</v>
      </c>
      <c r="N94" s="597" t="s">
        <v>601</v>
      </c>
      <c r="O94" s="1020">
        <v>0</v>
      </c>
      <c r="P94" s="597" t="s">
        <v>695</v>
      </c>
      <c r="Q94" s="597" t="s">
        <v>696</v>
      </c>
      <c r="R94" s="1020">
        <v>0.01</v>
      </c>
      <c r="S94" s="1020">
        <f t="shared" si="4"/>
        <v>0.5</v>
      </c>
      <c r="T94" s="947" t="s">
        <v>1005</v>
      </c>
      <c r="U94" s="889" t="s">
        <v>978</v>
      </c>
      <c r="V94" s="889" t="s">
        <v>979</v>
      </c>
      <c r="W94" s="886" t="s">
        <v>1167</v>
      </c>
      <c r="X94" s="937" t="s">
        <v>1005</v>
      </c>
      <c r="Y94" s="926">
        <v>0</v>
      </c>
      <c r="Z94" s="888">
        <v>98516</v>
      </c>
      <c r="AA94" s="964">
        <v>0</v>
      </c>
      <c r="AB94" s="914" t="s">
        <v>1005</v>
      </c>
      <c r="AC94" s="1011" t="s">
        <v>1206</v>
      </c>
      <c r="AD94" s="1011" t="s">
        <v>1206</v>
      </c>
      <c r="AE94" s="1011" t="s">
        <v>1206</v>
      </c>
      <c r="AF94" s="1011" t="s">
        <v>1206</v>
      </c>
      <c r="AH94" s="1011" t="b">
        <f t="shared" si="5"/>
        <v>1</v>
      </c>
      <c r="AI94" s="1011" t="s">
        <v>69</v>
      </c>
      <c r="AJ94" s="1011" t="s">
        <v>68</v>
      </c>
      <c r="AK94" s="1011" t="s">
        <v>1478</v>
      </c>
      <c r="AL94" s="1011" t="s">
        <v>1479</v>
      </c>
    </row>
    <row r="95" spans="1:43" ht="15.75" customHeight="1" x14ac:dyDescent="0.2">
      <c r="A95" s="1018" t="s">
        <v>75</v>
      </c>
      <c r="B95" s="1019" t="s">
        <v>74</v>
      </c>
      <c r="C95" s="1020">
        <v>0.4</v>
      </c>
      <c r="D95" s="597" t="s">
        <v>749</v>
      </c>
      <c r="E95" s="597" t="s">
        <v>750</v>
      </c>
      <c r="F95" s="1020">
        <v>0.09</v>
      </c>
      <c r="G95" s="597" t="s">
        <v>747</v>
      </c>
      <c r="H95" s="597" t="s">
        <v>748</v>
      </c>
      <c r="I95" s="1020">
        <v>0.01</v>
      </c>
      <c r="J95" s="1020">
        <f t="shared" si="3"/>
        <v>0.5</v>
      </c>
      <c r="K95" s="1020"/>
      <c r="L95" s="1020">
        <v>0.4</v>
      </c>
      <c r="M95" s="597" t="s">
        <v>749</v>
      </c>
      <c r="N95" s="597" t="s">
        <v>750</v>
      </c>
      <c r="O95" s="1020">
        <v>0.09</v>
      </c>
      <c r="P95" s="597" t="s">
        <v>747</v>
      </c>
      <c r="Q95" s="597" t="s">
        <v>748</v>
      </c>
      <c r="R95" s="1020">
        <v>0.01</v>
      </c>
      <c r="S95" s="1020">
        <f t="shared" si="4"/>
        <v>0.5</v>
      </c>
      <c r="T95" s="947"/>
      <c r="U95" s="877"/>
      <c r="V95" s="877"/>
      <c r="W95" s="877"/>
      <c r="X95" s="1015"/>
      <c r="Y95" s="924"/>
      <c r="Z95" s="883"/>
      <c r="AA95" s="925"/>
      <c r="AB95" s="912"/>
      <c r="AC95" s="1011" t="s">
        <v>1206</v>
      </c>
      <c r="AD95" s="1011" t="s">
        <v>1206</v>
      </c>
      <c r="AE95" s="1011" t="s">
        <v>1206</v>
      </c>
      <c r="AF95" s="1011" t="s">
        <v>1206</v>
      </c>
      <c r="AH95" s="1011" t="b">
        <f t="shared" si="5"/>
        <v>1</v>
      </c>
      <c r="AI95" s="1011" t="s">
        <v>75</v>
      </c>
      <c r="AJ95" s="1011" t="s">
        <v>74</v>
      </c>
      <c r="AK95" s="1011" t="s">
        <v>1480</v>
      </c>
      <c r="AL95" s="1011" t="s">
        <v>1481</v>
      </c>
    </row>
    <row r="96" spans="1:43" ht="15.75" customHeight="1" x14ac:dyDescent="0.2">
      <c r="A96" s="1018" t="s">
        <v>77</v>
      </c>
      <c r="B96" s="1019" t="s">
        <v>76</v>
      </c>
      <c r="C96" s="1020">
        <v>0.4</v>
      </c>
      <c r="D96" s="597" t="s">
        <v>667</v>
      </c>
      <c r="E96" s="597" t="s">
        <v>668</v>
      </c>
      <c r="F96" s="1020">
        <v>0.09</v>
      </c>
      <c r="G96" s="597" t="s">
        <v>665</v>
      </c>
      <c r="H96" s="597" t="s">
        <v>666</v>
      </c>
      <c r="I96" s="1020">
        <v>0.01</v>
      </c>
      <c r="J96" s="1020">
        <f t="shared" si="3"/>
        <v>0.5</v>
      </c>
      <c r="K96" s="1020"/>
      <c r="L96" s="1020">
        <v>0.4</v>
      </c>
      <c r="M96" s="597" t="s">
        <v>667</v>
      </c>
      <c r="N96" s="597" t="s">
        <v>668</v>
      </c>
      <c r="O96" s="1020">
        <v>0.09</v>
      </c>
      <c r="P96" s="597" t="s">
        <v>665</v>
      </c>
      <c r="Q96" s="597" t="s">
        <v>666</v>
      </c>
      <c r="R96" s="1020">
        <v>0.01</v>
      </c>
      <c r="S96" s="1020">
        <f t="shared" si="4"/>
        <v>0.5</v>
      </c>
      <c r="T96" s="947"/>
      <c r="U96" s="877"/>
      <c r="V96" s="877"/>
      <c r="W96" s="877"/>
      <c r="X96" s="1015"/>
      <c r="Y96" s="924"/>
      <c r="Z96" s="883"/>
      <c r="AA96" s="925"/>
      <c r="AB96" s="912"/>
      <c r="AC96" s="1011" t="s">
        <v>1206</v>
      </c>
      <c r="AD96" s="1011" t="s">
        <v>1206</v>
      </c>
      <c r="AE96" s="1011" t="s">
        <v>1206</v>
      </c>
      <c r="AF96" s="1011" t="s">
        <v>1206</v>
      </c>
      <c r="AH96" s="1011" t="b">
        <f t="shared" si="5"/>
        <v>1</v>
      </c>
      <c r="AI96" s="1011" t="s">
        <v>77</v>
      </c>
      <c r="AJ96" s="1011" t="s">
        <v>76</v>
      </c>
      <c r="AK96" s="1011" t="s">
        <v>1482</v>
      </c>
      <c r="AL96" s="1011" t="s">
        <v>1483</v>
      </c>
    </row>
    <row r="97" spans="1:43" ht="15.75" customHeight="1" x14ac:dyDescent="0.2">
      <c r="A97" s="1018" t="s">
        <v>79</v>
      </c>
      <c r="B97" s="1019" t="s">
        <v>78</v>
      </c>
      <c r="C97" s="1020">
        <v>0.4</v>
      </c>
      <c r="D97" s="597" t="s">
        <v>685</v>
      </c>
      <c r="E97" s="597" t="s">
        <v>686</v>
      </c>
      <c r="F97" s="1020">
        <v>0.09</v>
      </c>
      <c r="G97" s="597" t="s">
        <v>682</v>
      </c>
      <c r="H97" s="597" t="s">
        <v>683</v>
      </c>
      <c r="I97" s="1020">
        <v>0.01</v>
      </c>
      <c r="J97" s="1020">
        <f t="shared" si="3"/>
        <v>0.5</v>
      </c>
      <c r="K97" s="1020"/>
      <c r="L97" s="1020">
        <v>0.4</v>
      </c>
      <c r="M97" s="597" t="s">
        <v>685</v>
      </c>
      <c r="N97" s="597" t="s">
        <v>686</v>
      </c>
      <c r="O97" s="1020">
        <v>0.09</v>
      </c>
      <c r="P97" s="597" t="s">
        <v>682</v>
      </c>
      <c r="Q97" s="597" t="s">
        <v>683</v>
      </c>
      <c r="R97" s="1020">
        <v>0.01</v>
      </c>
      <c r="S97" s="1020">
        <f t="shared" si="4"/>
        <v>0.5</v>
      </c>
      <c r="T97" s="947"/>
      <c r="U97" s="877"/>
      <c r="V97" s="877"/>
      <c r="W97" s="877"/>
      <c r="X97" s="1015"/>
      <c r="Y97" s="924"/>
      <c r="Z97" s="883"/>
      <c r="AA97" s="925"/>
      <c r="AB97" s="912"/>
      <c r="AC97" s="1011" t="s">
        <v>1206</v>
      </c>
      <c r="AD97" s="1011" t="s">
        <v>1206</v>
      </c>
      <c r="AE97" s="1011" t="s">
        <v>1206</v>
      </c>
      <c r="AF97" s="1011" t="s">
        <v>1206</v>
      </c>
      <c r="AH97" s="1011" t="b">
        <f t="shared" si="5"/>
        <v>1</v>
      </c>
      <c r="AI97" s="1011" t="s">
        <v>79</v>
      </c>
      <c r="AJ97" s="1011" t="s">
        <v>78</v>
      </c>
      <c r="AK97" s="1011" t="s">
        <v>1484</v>
      </c>
      <c r="AL97" s="1011" t="s">
        <v>1485</v>
      </c>
      <c r="AO97" s="1011" t="s">
        <v>1485</v>
      </c>
      <c r="AP97" s="1011" t="s">
        <v>1486</v>
      </c>
      <c r="AQ97" s="1011" t="s">
        <v>1484</v>
      </c>
    </row>
    <row r="98" spans="1:43" ht="15.75" customHeight="1" x14ac:dyDescent="0.2">
      <c r="A98" s="1018" t="s">
        <v>81</v>
      </c>
      <c r="B98" s="1019" t="s">
        <v>80</v>
      </c>
      <c r="C98" s="1020">
        <v>0.4</v>
      </c>
      <c r="D98" s="597" t="s">
        <v>640</v>
      </c>
      <c r="E98" s="597" t="s">
        <v>641</v>
      </c>
      <c r="F98" s="1020">
        <v>0.1</v>
      </c>
      <c r="G98" s="597" t="s">
        <v>600</v>
      </c>
      <c r="H98" s="597" t="s">
        <v>639</v>
      </c>
      <c r="I98" s="1020">
        <v>0</v>
      </c>
      <c r="J98" s="1020">
        <f t="shared" si="3"/>
        <v>0.5</v>
      </c>
      <c r="K98" s="1020"/>
      <c r="L98" s="1020">
        <v>0.4</v>
      </c>
      <c r="M98" s="597" t="s">
        <v>640</v>
      </c>
      <c r="N98" s="597" t="s">
        <v>641</v>
      </c>
      <c r="O98" s="1020">
        <v>0.1</v>
      </c>
      <c r="P98" s="597" t="s">
        <v>600</v>
      </c>
      <c r="Q98" s="597" t="s">
        <v>639</v>
      </c>
      <c r="R98" s="1020">
        <v>0</v>
      </c>
      <c r="S98" s="1020">
        <f t="shared" si="4"/>
        <v>0.5</v>
      </c>
      <c r="T98" s="947"/>
      <c r="U98" s="877"/>
      <c r="V98" s="877"/>
      <c r="W98" s="877"/>
      <c r="X98" s="1015"/>
      <c r="Y98" s="924"/>
      <c r="Z98" s="883"/>
      <c r="AA98" s="925"/>
      <c r="AB98" s="912"/>
      <c r="AC98" s="1011" t="s">
        <v>1206</v>
      </c>
      <c r="AD98" s="1011" t="s">
        <v>1206</v>
      </c>
      <c r="AE98" s="1011" t="s">
        <v>1206</v>
      </c>
      <c r="AF98" s="1011" t="s">
        <v>1206</v>
      </c>
      <c r="AH98" s="1011" t="b">
        <f t="shared" si="5"/>
        <v>1</v>
      </c>
      <c r="AI98" s="1011" t="s">
        <v>81</v>
      </c>
      <c r="AJ98" s="1011" t="s">
        <v>80</v>
      </c>
      <c r="AK98" s="1011" t="s">
        <v>1487</v>
      </c>
      <c r="AL98" s="1011" t="s">
        <v>1488</v>
      </c>
    </row>
    <row r="99" spans="1:43" ht="15.75" customHeight="1" x14ac:dyDescent="0.2">
      <c r="A99" s="1018" t="s">
        <v>83</v>
      </c>
      <c r="B99" s="1019" t="s">
        <v>82</v>
      </c>
      <c r="C99" s="1020">
        <v>0.4</v>
      </c>
      <c r="D99" s="597" t="s">
        <v>753</v>
      </c>
      <c r="E99" s="597" t="s">
        <v>754</v>
      </c>
      <c r="F99" s="1020">
        <v>0.1</v>
      </c>
      <c r="G99" s="597" t="s">
        <v>600</v>
      </c>
      <c r="H99" s="597" t="s">
        <v>639</v>
      </c>
      <c r="I99" s="1020">
        <v>0</v>
      </c>
      <c r="J99" s="1020">
        <f t="shared" si="3"/>
        <v>0.5</v>
      </c>
      <c r="K99" s="1020"/>
      <c r="L99" s="1020">
        <v>0.4</v>
      </c>
      <c r="M99" s="597" t="s">
        <v>753</v>
      </c>
      <c r="N99" s="597" t="s">
        <v>754</v>
      </c>
      <c r="O99" s="1020">
        <v>0.1</v>
      </c>
      <c r="P99" s="597" t="s">
        <v>600</v>
      </c>
      <c r="Q99" s="597" t="s">
        <v>639</v>
      </c>
      <c r="R99" s="1020">
        <v>0</v>
      </c>
      <c r="S99" s="1020">
        <f t="shared" si="4"/>
        <v>0.5</v>
      </c>
      <c r="T99" s="949"/>
      <c r="U99" s="885"/>
      <c r="V99" s="885"/>
      <c r="W99" s="885"/>
      <c r="X99" s="1015"/>
      <c r="Y99" s="924"/>
      <c r="Z99" s="883"/>
      <c r="AA99" s="925"/>
      <c r="AB99" s="912"/>
      <c r="AC99" s="1011" t="s">
        <v>1206</v>
      </c>
      <c r="AD99" s="1011" t="s">
        <v>1206</v>
      </c>
      <c r="AE99" s="1011" t="s">
        <v>1206</v>
      </c>
      <c r="AF99" s="1011" t="s">
        <v>1206</v>
      </c>
      <c r="AH99" s="1011" t="b">
        <f t="shared" si="5"/>
        <v>1</v>
      </c>
      <c r="AI99" s="1011" t="s">
        <v>83</v>
      </c>
      <c r="AJ99" s="1011" t="s">
        <v>82</v>
      </c>
      <c r="AK99" s="1011" t="s">
        <v>1489</v>
      </c>
      <c r="AL99" s="1011" t="s">
        <v>1490</v>
      </c>
    </row>
    <row r="100" spans="1:43" ht="15.75" customHeight="1" x14ac:dyDescent="0.2">
      <c r="A100" s="1018" t="s">
        <v>85</v>
      </c>
      <c r="B100" s="1019" t="s">
        <v>84</v>
      </c>
      <c r="C100" s="1020">
        <v>0.3</v>
      </c>
      <c r="D100" s="597" t="s">
        <v>779</v>
      </c>
      <c r="E100" s="597" t="s">
        <v>780</v>
      </c>
      <c r="F100" s="1020">
        <v>0.37</v>
      </c>
      <c r="G100" s="597" t="s">
        <v>600</v>
      </c>
      <c r="H100" s="597" t="s">
        <v>600</v>
      </c>
      <c r="I100" s="1020">
        <v>0</v>
      </c>
      <c r="J100" s="1020">
        <f t="shared" si="3"/>
        <v>0.66999999999999993</v>
      </c>
      <c r="K100" s="1020"/>
      <c r="L100" s="1020">
        <v>0.3</v>
      </c>
      <c r="M100" s="597" t="s">
        <v>779</v>
      </c>
      <c r="N100" s="597" t="s">
        <v>780</v>
      </c>
      <c r="O100" s="1020">
        <v>0.2</v>
      </c>
      <c r="P100" s="597" t="s">
        <v>600</v>
      </c>
      <c r="Q100" s="597" t="s">
        <v>600</v>
      </c>
      <c r="R100" s="1020">
        <v>0</v>
      </c>
      <c r="S100" s="1020">
        <f t="shared" si="4"/>
        <v>0.5</v>
      </c>
      <c r="T100" s="947"/>
      <c r="U100" s="877"/>
      <c r="V100" s="877"/>
      <c r="W100" s="877"/>
      <c r="X100" s="937" t="s">
        <v>1005</v>
      </c>
      <c r="Y100" s="924"/>
      <c r="Z100" s="883"/>
      <c r="AA100" s="925"/>
      <c r="AB100" s="914" t="s">
        <v>1005</v>
      </c>
      <c r="AC100" s="1011" t="s">
        <v>1206</v>
      </c>
      <c r="AD100" s="1011" t="s">
        <v>1206</v>
      </c>
      <c r="AE100" s="1011" t="s">
        <v>1206</v>
      </c>
      <c r="AF100" s="1011" t="s">
        <v>1206</v>
      </c>
      <c r="AH100" s="1011" t="b">
        <f t="shared" si="5"/>
        <v>1</v>
      </c>
      <c r="AI100" s="1011" t="s">
        <v>85</v>
      </c>
      <c r="AJ100" s="1011" t="s">
        <v>84</v>
      </c>
      <c r="AK100" s="1011" t="s">
        <v>1491</v>
      </c>
      <c r="AL100" s="1011" t="s">
        <v>1492</v>
      </c>
    </row>
    <row r="101" spans="1:43" ht="15.75" customHeight="1" x14ac:dyDescent="0.2">
      <c r="A101" s="1018" t="s">
        <v>87</v>
      </c>
      <c r="B101" s="1019" t="s">
        <v>86</v>
      </c>
      <c r="C101" s="1020">
        <v>0.4</v>
      </c>
      <c r="D101" s="597" t="s">
        <v>673</v>
      </c>
      <c r="E101" s="597" t="s">
        <v>674</v>
      </c>
      <c r="F101" s="1020">
        <v>0.09</v>
      </c>
      <c r="G101" s="597" t="s">
        <v>670</v>
      </c>
      <c r="H101" s="597" t="s">
        <v>671</v>
      </c>
      <c r="I101" s="1020">
        <v>0.01</v>
      </c>
      <c r="J101" s="1020">
        <f t="shared" si="3"/>
        <v>0.5</v>
      </c>
      <c r="K101" s="1020"/>
      <c r="L101" s="1020">
        <v>0.4</v>
      </c>
      <c r="M101" s="597" t="s">
        <v>673</v>
      </c>
      <c r="N101" s="597" t="s">
        <v>674</v>
      </c>
      <c r="O101" s="1020">
        <v>0.09</v>
      </c>
      <c r="P101" s="597" t="s">
        <v>670</v>
      </c>
      <c r="Q101" s="597" t="s">
        <v>671</v>
      </c>
      <c r="R101" s="1020">
        <v>0.01</v>
      </c>
      <c r="S101" s="1020">
        <f t="shared" si="4"/>
        <v>0.5</v>
      </c>
      <c r="T101" s="947"/>
      <c r="U101" s="877"/>
      <c r="V101" s="877"/>
      <c r="W101" s="877"/>
      <c r="X101" s="1015"/>
      <c r="Y101" s="924"/>
      <c r="Z101" s="883"/>
      <c r="AA101" s="925"/>
      <c r="AB101" s="912"/>
      <c r="AC101" s="1011" t="s">
        <v>1206</v>
      </c>
      <c r="AD101" s="1011" t="s">
        <v>1206</v>
      </c>
      <c r="AE101" s="1011" t="s">
        <v>1206</v>
      </c>
      <c r="AF101" s="1011" t="s">
        <v>1206</v>
      </c>
      <c r="AH101" s="1011" t="b">
        <f t="shared" si="5"/>
        <v>1</v>
      </c>
      <c r="AI101" s="1011" t="s">
        <v>87</v>
      </c>
      <c r="AJ101" s="1011" t="s">
        <v>86</v>
      </c>
      <c r="AK101" s="1011" t="s">
        <v>1493</v>
      </c>
      <c r="AL101" s="1011" t="s">
        <v>1494</v>
      </c>
    </row>
    <row r="102" spans="1:43" ht="15.75" customHeight="1" x14ac:dyDescent="0.2">
      <c r="A102" s="1018" t="s">
        <v>89</v>
      </c>
      <c r="B102" s="1019" t="s">
        <v>88</v>
      </c>
      <c r="C102" s="1020">
        <v>0.4</v>
      </c>
      <c r="D102" s="597" t="s">
        <v>753</v>
      </c>
      <c r="E102" s="597" t="s">
        <v>754</v>
      </c>
      <c r="F102" s="1020">
        <v>0.1</v>
      </c>
      <c r="G102" s="597" t="s">
        <v>600</v>
      </c>
      <c r="H102" s="597" t="s">
        <v>639</v>
      </c>
      <c r="I102" s="1020">
        <v>0</v>
      </c>
      <c r="J102" s="1020">
        <f t="shared" si="3"/>
        <v>0.5</v>
      </c>
      <c r="K102" s="1020"/>
      <c r="L102" s="1020">
        <v>0.4</v>
      </c>
      <c r="M102" s="597" t="s">
        <v>753</v>
      </c>
      <c r="N102" s="597" t="s">
        <v>754</v>
      </c>
      <c r="O102" s="1020">
        <v>0.1</v>
      </c>
      <c r="P102" s="597" t="s">
        <v>600</v>
      </c>
      <c r="Q102" s="597" t="s">
        <v>639</v>
      </c>
      <c r="R102" s="1020">
        <v>0</v>
      </c>
      <c r="S102" s="1020">
        <f t="shared" si="4"/>
        <v>0.5</v>
      </c>
      <c r="T102" s="947"/>
      <c r="U102" s="877"/>
      <c r="V102" s="877"/>
      <c r="W102" s="877"/>
      <c r="X102" s="1015"/>
      <c r="Y102" s="924"/>
      <c r="Z102" s="883"/>
      <c r="AA102" s="925"/>
      <c r="AB102" s="912"/>
      <c r="AC102" s="1011" t="s">
        <v>1206</v>
      </c>
      <c r="AD102" s="1011" t="s">
        <v>1206</v>
      </c>
      <c r="AE102" s="1011" t="s">
        <v>1206</v>
      </c>
      <c r="AF102" s="1011" t="s">
        <v>1206</v>
      </c>
      <c r="AH102" s="1011" t="b">
        <f t="shared" si="5"/>
        <v>1</v>
      </c>
      <c r="AI102" s="1011" t="s">
        <v>89</v>
      </c>
      <c r="AJ102" s="1011" t="s">
        <v>88</v>
      </c>
      <c r="AK102" s="1011" t="s">
        <v>1495</v>
      </c>
      <c r="AL102" s="1011" t="s">
        <v>1496</v>
      </c>
      <c r="AO102" s="1011" t="s">
        <v>1497</v>
      </c>
      <c r="AP102" s="1011" t="s">
        <v>1498</v>
      </c>
      <c r="AQ102" s="1011" t="s">
        <v>1499</v>
      </c>
    </row>
    <row r="103" spans="1:43" ht="15.75" customHeight="1" x14ac:dyDescent="0.2">
      <c r="A103" s="1018" t="s">
        <v>91</v>
      </c>
      <c r="B103" s="1019" t="s">
        <v>90</v>
      </c>
      <c r="C103" s="1020">
        <v>0.4</v>
      </c>
      <c r="D103" s="597" t="s">
        <v>645</v>
      </c>
      <c r="E103" s="597" t="s">
        <v>646</v>
      </c>
      <c r="F103" s="1020">
        <v>0.09</v>
      </c>
      <c r="G103" s="597" t="s">
        <v>643</v>
      </c>
      <c r="H103" s="597" t="s">
        <v>644</v>
      </c>
      <c r="I103" s="1020">
        <v>0.01</v>
      </c>
      <c r="J103" s="1020">
        <f t="shared" si="3"/>
        <v>0.5</v>
      </c>
      <c r="K103" s="1020"/>
      <c r="L103" s="1020">
        <v>0.4</v>
      </c>
      <c r="M103" s="597" t="s">
        <v>645</v>
      </c>
      <c r="N103" s="597" t="s">
        <v>646</v>
      </c>
      <c r="O103" s="1020">
        <v>0.09</v>
      </c>
      <c r="P103" s="597" t="s">
        <v>643</v>
      </c>
      <c r="Q103" s="597" t="s">
        <v>644</v>
      </c>
      <c r="R103" s="1020">
        <v>0.01</v>
      </c>
      <c r="S103" s="1020">
        <f t="shared" si="4"/>
        <v>0.5</v>
      </c>
      <c r="T103" s="947"/>
      <c r="U103" s="877"/>
      <c r="V103" s="877"/>
      <c r="W103" s="877"/>
      <c r="X103" s="1015"/>
      <c r="Y103" s="924"/>
      <c r="Z103" s="883"/>
      <c r="AA103" s="925"/>
      <c r="AB103" s="912"/>
      <c r="AC103" s="1011" t="s">
        <v>1206</v>
      </c>
      <c r="AD103" s="1011" t="s">
        <v>1206</v>
      </c>
      <c r="AE103" s="1011" t="s">
        <v>1206</v>
      </c>
      <c r="AF103" s="1011" t="s">
        <v>1206</v>
      </c>
      <c r="AH103" s="1011" t="b">
        <f t="shared" si="5"/>
        <v>1</v>
      </c>
      <c r="AI103" s="1011" t="s">
        <v>91</v>
      </c>
      <c r="AJ103" s="1011" t="s">
        <v>90</v>
      </c>
      <c r="AK103" s="1011" t="s">
        <v>1500</v>
      </c>
      <c r="AL103" s="1011" t="s">
        <v>1501</v>
      </c>
    </row>
    <row r="104" spans="1:43" ht="15.75" customHeight="1" x14ac:dyDescent="0.2">
      <c r="A104" s="1018" t="s">
        <v>93</v>
      </c>
      <c r="B104" s="1019" t="s">
        <v>92</v>
      </c>
      <c r="C104" s="1020">
        <v>0.4</v>
      </c>
      <c r="D104" s="597" t="s">
        <v>652</v>
      </c>
      <c r="E104" s="597" t="s">
        <v>653</v>
      </c>
      <c r="F104" s="1020">
        <v>0.09</v>
      </c>
      <c r="G104" s="597" t="s">
        <v>649</v>
      </c>
      <c r="H104" s="597" t="s">
        <v>650</v>
      </c>
      <c r="I104" s="1020">
        <v>0.01</v>
      </c>
      <c r="J104" s="1020">
        <f t="shared" si="3"/>
        <v>0.5</v>
      </c>
      <c r="K104" s="1020"/>
      <c r="L104" s="1020">
        <v>0.4</v>
      </c>
      <c r="M104" s="597" t="s">
        <v>652</v>
      </c>
      <c r="N104" s="597" t="s">
        <v>653</v>
      </c>
      <c r="O104" s="1020">
        <v>0.09</v>
      </c>
      <c r="P104" s="597" t="s">
        <v>649</v>
      </c>
      <c r="Q104" s="597" t="s">
        <v>650</v>
      </c>
      <c r="R104" s="1020">
        <v>0.01</v>
      </c>
      <c r="S104" s="1020">
        <f t="shared" si="4"/>
        <v>0.5</v>
      </c>
      <c r="T104" s="947"/>
      <c r="U104" s="877"/>
      <c r="V104" s="877"/>
      <c r="W104" s="877"/>
      <c r="X104" s="1015"/>
      <c r="Y104" s="924"/>
      <c r="Z104" s="883"/>
      <c r="AA104" s="925"/>
      <c r="AB104" s="912"/>
      <c r="AC104" s="1011" t="s">
        <v>1206</v>
      </c>
      <c r="AD104" s="1011" t="s">
        <v>1206</v>
      </c>
      <c r="AE104" s="1011" t="s">
        <v>1206</v>
      </c>
      <c r="AF104" s="1011" t="s">
        <v>1206</v>
      </c>
      <c r="AH104" s="1011" t="b">
        <f t="shared" si="5"/>
        <v>1</v>
      </c>
      <c r="AI104" s="1011" t="s">
        <v>93</v>
      </c>
      <c r="AJ104" s="1011" t="s">
        <v>92</v>
      </c>
      <c r="AK104" s="1011" t="s">
        <v>1502</v>
      </c>
      <c r="AL104" s="1011" t="s">
        <v>1503</v>
      </c>
    </row>
    <row r="105" spans="1:43" ht="15" x14ac:dyDescent="0.2">
      <c r="A105" s="1018" t="s">
        <v>95</v>
      </c>
      <c r="B105" s="1019" t="s">
        <v>94</v>
      </c>
      <c r="C105" s="1020">
        <v>0.4</v>
      </c>
      <c r="D105" s="597" t="s">
        <v>685</v>
      </c>
      <c r="E105" s="597" t="s">
        <v>686</v>
      </c>
      <c r="F105" s="1020">
        <v>0.09</v>
      </c>
      <c r="G105" s="597" t="s">
        <v>682</v>
      </c>
      <c r="H105" s="597" t="s">
        <v>683</v>
      </c>
      <c r="I105" s="1020">
        <v>0.01</v>
      </c>
      <c r="J105" s="1020">
        <f t="shared" si="3"/>
        <v>0.5</v>
      </c>
      <c r="K105" s="1020"/>
      <c r="L105" s="1020">
        <v>0.4</v>
      </c>
      <c r="M105" s="597" t="s">
        <v>685</v>
      </c>
      <c r="N105" s="597" t="s">
        <v>686</v>
      </c>
      <c r="O105" s="1020">
        <v>0.09</v>
      </c>
      <c r="P105" s="597" t="s">
        <v>682</v>
      </c>
      <c r="Q105" s="597" t="s">
        <v>683</v>
      </c>
      <c r="R105" s="1020">
        <v>0.01</v>
      </c>
      <c r="S105" s="1020">
        <f t="shared" si="4"/>
        <v>0.5</v>
      </c>
      <c r="T105" s="947" t="s">
        <v>1005</v>
      </c>
      <c r="U105" s="877" t="s">
        <v>980</v>
      </c>
      <c r="V105" s="877"/>
      <c r="W105" s="877"/>
      <c r="X105" s="1015"/>
      <c r="Y105" s="926">
        <v>99753</v>
      </c>
      <c r="Z105" s="888"/>
      <c r="AA105" s="927"/>
      <c r="AB105" s="912"/>
      <c r="AC105" s="1011" t="s">
        <v>1206</v>
      </c>
      <c r="AD105" s="1011" t="s">
        <v>1206</v>
      </c>
      <c r="AE105" s="1011" t="s">
        <v>1206</v>
      </c>
      <c r="AF105" s="1011" t="s">
        <v>1206</v>
      </c>
      <c r="AH105" s="1011" t="b">
        <f t="shared" si="5"/>
        <v>1</v>
      </c>
      <c r="AI105" s="1011" t="s">
        <v>95</v>
      </c>
      <c r="AJ105" s="1011" t="s">
        <v>94</v>
      </c>
      <c r="AK105" s="1011" t="s">
        <v>1504</v>
      </c>
      <c r="AL105" s="1011" t="s">
        <v>1505</v>
      </c>
      <c r="AM105" s="1011" t="s">
        <v>1506</v>
      </c>
      <c r="AN105" s="1011" t="s">
        <v>1507</v>
      </c>
      <c r="AO105" s="1011" t="s">
        <v>1508</v>
      </c>
      <c r="AQ105" s="1011" t="s">
        <v>1509</v>
      </c>
    </row>
    <row r="106" spans="1:43" ht="15.75" customHeight="1" x14ac:dyDescent="0.2">
      <c r="A106" s="1018" t="s">
        <v>97</v>
      </c>
      <c r="B106" s="1019" t="s">
        <v>96</v>
      </c>
      <c r="C106" s="1020">
        <v>0.4</v>
      </c>
      <c r="D106" s="597" t="s">
        <v>626</v>
      </c>
      <c r="E106" s="597" t="s">
        <v>627</v>
      </c>
      <c r="F106" s="1020">
        <v>0.09</v>
      </c>
      <c r="G106" s="597" t="s">
        <v>624</v>
      </c>
      <c r="H106" s="597" t="s">
        <v>625</v>
      </c>
      <c r="I106" s="1020">
        <v>0.01</v>
      </c>
      <c r="J106" s="1020">
        <f t="shared" si="3"/>
        <v>0.5</v>
      </c>
      <c r="K106" s="1020"/>
      <c r="L106" s="1020">
        <v>0.4</v>
      </c>
      <c r="M106" s="597" t="s">
        <v>626</v>
      </c>
      <c r="N106" s="597" t="s">
        <v>627</v>
      </c>
      <c r="O106" s="1020">
        <v>0.09</v>
      </c>
      <c r="P106" s="597" t="s">
        <v>624</v>
      </c>
      <c r="Q106" s="597" t="s">
        <v>625</v>
      </c>
      <c r="R106" s="1020">
        <v>0.01</v>
      </c>
      <c r="S106" s="1020">
        <f t="shared" si="4"/>
        <v>0.5</v>
      </c>
      <c r="T106" s="947"/>
      <c r="U106" s="877"/>
      <c r="V106" s="877"/>
      <c r="W106" s="877"/>
      <c r="X106" s="1015"/>
      <c r="Y106" s="924"/>
      <c r="Z106" s="883"/>
      <c r="AA106" s="925"/>
      <c r="AB106" s="912"/>
      <c r="AC106" s="1011" t="s">
        <v>1206</v>
      </c>
      <c r="AD106" s="1011" t="s">
        <v>1206</v>
      </c>
      <c r="AE106" s="1011" t="s">
        <v>1206</v>
      </c>
      <c r="AF106" s="1011" t="s">
        <v>1005</v>
      </c>
      <c r="AG106" s="1112">
        <v>25321064.161360983</v>
      </c>
      <c r="AH106" s="1011" t="b">
        <f t="shared" si="5"/>
        <v>1</v>
      </c>
      <c r="AI106" s="1011" t="s">
        <v>97</v>
      </c>
      <c r="AJ106" s="1011" t="s">
        <v>96</v>
      </c>
      <c r="AK106" s="1011" t="s">
        <v>1510</v>
      </c>
      <c r="AL106" s="1011" t="s">
        <v>1511</v>
      </c>
      <c r="AO106" s="1011" t="s">
        <v>1302</v>
      </c>
      <c r="AP106" s="1011" t="s">
        <v>1512</v>
      </c>
      <c r="AQ106" s="1011" t="s">
        <v>1301</v>
      </c>
    </row>
    <row r="107" spans="1:43" ht="15.75" customHeight="1" x14ac:dyDescent="0.2">
      <c r="A107" s="1018" t="s">
        <v>99</v>
      </c>
      <c r="B107" s="1019" t="s">
        <v>98</v>
      </c>
      <c r="C107" s="1020">
        <v>0.4</v>
      </c>
      <c r="D107" s="597" t="s">
        <v>751</v>
      </c>
      <c r="E107" s="597" t="s">
        <v>752</v>
      </c>
      <c r="F107" s="1020">
        <v>0.1</v>
      </c>
      <c r="G107" s="597" t="s">
        <v>600</v>
      </c>
      <c r="H107" s="597" t="s">
        <v>639</v>
      </c>
      <c r="I107" s="1020">
        <v>0</v>
      </c>
      <c r="J107" s="1020">
        <f t="shared" si="3"/>
        <v>0.5</v>
      </c>
      <c r="K107" s="1020"/>
      <c r="L107" s="1020">
        <v>0.4</v>
      </c>
      <c r="M107" s="597" t="s">
        <v>751</v>
      </c>
      <c r="N107" s="597" t="s">
        <v>752</v>
      </c>
      <c r="O107" s="1020">
        <v>0.1</v>
      </c>
      <c r="P107" s="597" t="s">
        <v>600</v>
      </c>
      <c r="Q107" s="597" t="s">
        <v>639</v>
      </c>
      <c r="R107" s="1020">
        <v>0</v>
      </c>
      <c r="S107" s="1020">
        <f t="shared" si="4"/>
        <v>0.5</v>
      </c>
      <c r="T107" s="947"/>
      <c r="U107" s="887"/>
      <c r="V107" s="877"/>
      <c r="W107" s="877"/>
      <c r="X107" s="1015"/>
      <c r="Y107" s="965"/>
      <c r="Z107" s="966"/>
      <c r="AA107" s="967"/>
      <c r="AB107" s="912"/>
      <c r="AC107" s="1011" t="s">
        <v>1206</v>
      </c>
      <c r="AD107" s="1011" t="s">
        <v>1206</v>
      </c>
      <c r="AE107" s="1011" t="s">
        <v>1206</v>
      </c>
      <c r="AF107" s="1011" t="s">
        <v>1206</v>
      </c>
      <c r="AH107" s="1011" t="b">
        <f t="shared" si="5"/>
        <v>1</v>
      </c>
      <c r="AI107" s="1011" t="s">
        <v>99</v>
      </c>
      <c r="AJ107" s="1011" t="s">
        <v>98</v>
      </c>
      <c r="AK107" s="1011" t="s">
        <v>1301</v>
      </c>
      <c r="AL107" s="1011" t="s">
        <v>1302</v>
      </c>
    </row>
    <row r="108" spans="1:43" ht="15.75" customHeight="1" x14ac:dyDescent="0.2">
      <c r="A108" s="1018" t="s">
        <v>101</v>
      </c>
      <c r="B108" s="1019" t="s">
        <v>100</v>
      </c>
      <c r="C108" s="1020">
        <v>0.4</v>
      </c>
      <c r="D108" s="597" t="s">
        <v>675</v>
      </c>
      <c r="E108" s="597" t="s">
        <v>680</v>
      </c>
      <c r="F108" s="1020">
        <v>0.1</v>
      </c>
      <c r="G108" s="597" t="s">
        <v>600</v>
      </c>
      <c r="H108" s="597" t="s">
        <v>639</v>
      </c>
      <c r="I108" s="1020">
        <v>0</v>
      </c>
      <c r="J108" s="1020">
        <f t="shared" si="3"/>
        <v>0.5</v>
      </c>
      <c r="K108" s="1020"/>
      <c r="L108" s="1020">
        <v>0.4</v>
      </c>
      <c r="M108" s="597" t="s">
        <v>675</v>
      </c>
      <c r="N108" s="597" t="s">
        <v>680</v>
      </c>
      <c r="O108" s="1020">
        <v>0.1</v>
      </c>
      <c r="P108" s="597" t="s">
        <v>600</v>
      </c>
      <c r="Q108" s="597" t="s">
        <v>639</v>
      </c>
      <c r="R108" s="1020">
        <v>0</v>
      </c>
      <c r="S108" s="1020">
        <f t="shared" si="4"/>
        <v>0.5</v>
      </c>
      <c r="T108" s="947"/>
      <c r="U108" s="877"/>
      <c r="V108" s="877"/>
      <c r="W108" s="877"/>
      <c r="X108" s="1015"/>
      <c r="Y108" s="924"/>
      <c r="Z108" s="883"/>
      <c r="AA108" s="925"/>
      <c r="AB108" s="912"/>
      <c r="AC108" s="1011" t="s">
        <v>1206</v>
      </c>
      <c r="AD108" s="1011" t="s">
        <v>1206</v>
      </c>
      <c r="AE108" s="1011" t="s">
        <v>1206</v>
      </c>
      <c r="AF108" s="1011" t="s">
        <v>1206</v>
      </c>
      <c r="AH108" s="1011" t="b">
        <f t="shared" si="5"/>
        <v>1</v>
      </c>
      <c r="AI108" s="1011" t="s">
        <v>101</v>
      </c>
      <c r="AJ108" s="1011" t="s">
        <v>100</v>
      </c>
      <c r="AK108" s="1011" t="s">
        <v>1513</v>
      </c>
      <c r="AL108" s="1011" t="s">
        <v>1514</v>
      </c>
    </row>
    <row r="109" spans="1:43" ht="15" x14ac:dyDescent="0.2">
      <c r="A109" s="1018" t="s">
        <v>103</v>
      </c>
      <c r="B109" s="1019" t="s">
        <v>102</v>
      </c>
      <c r="C109" s="1020">
        <v>0.4</v>
      </c>
      <c r="D109" s="597" t="s">
        <v>711</v>
      </c>
      <c r="E109" s="597" t="s">
        <v>712</v>
      </c>
      <c r="F109" s="1020">
        <v>0.09</v>
      </c>
      <c r="G109" s="597" t="s">
        <v>708</v>
      </c>
      <c r="H109" s="597" t="s">
        <v>709</v>
      </c>
      <c r="I109" s="1020">
        <v>0.01</v>
      </c>
      <c r="J109" s="1020">
        <f t="shared" si="3"/>
        <v>0.5</v>
      </c>
      <c r="K109" s="1020"/>
      <c r="L109" s="1020">
        <v>0.4</v>
      </c>
      <c r="M109" s="597" t="s">
        <v>711</v>
      </c>
      <c r="N109" s="597" t="s">
        <v>712</v>
      </c>
      <c r="O109" s="1020">
        <v>0.09</v>
      </c>
      <c r="P109" s="597" t="s">
        <v>708</v>
      </c>
      <c r="Q109" s="597" t="s">
        <v>709</v>
      </c>
      <c r="R109" s="1020">
        <v>0.01</v>
      </c>
      <c r="S109" s="1020">
        <f t="shared" si="4"/>
        <v>0.5</v>
      </c>
      <c r="T109" s="947" t="s">
        <v>1005</v>
      </c>
      <c r="U109" s="877" t="s">
        <v>981</v>
      </c>
      <c r="V109" s="877" t="s">
        <v>981</v>
      </c>
      <c r="W109" s="1107" t="s">
        <v>2922</v>
      </c>
      <c r="X109" s="1015"/>
      <c r="Y109" s="926">
        <v>2010822</v>
      </c>
      <c r="Z109" s="888">
        <v>0</v>
      </c>
      <c r="AA109" s="1023"/>
      <c r="AB109" s="912"/>
      <c r="AC109" s="1011" t="s">
        <v>1206</v>
      </c>
      <c r="AD109" s="1011" t="s">
        <v>1206</v>
      </c>
      <c r="AE109" s="1011" t="s">
        <v>1005</v>
      </c>
      <c r="AF109" s="1011" t="s">
        <v>1206</v>
      </c>
      <c r="AH109" s="1011" t="b">
        <f t="shared" si="5"/>
        <v>1</v>
      </c>
      <c r="AI109" s="1011" t="s">
        <v>103</v>
      </c>
      <c r="AJ109" s="1011" t="s">
        <v>102</v>
      </c>
      <c r="AK109" s="1011" t="s">
        <v>1278</v>
      </c>
      <c r="AL109" s="1011" t="s">
        <v>1279</v>
      </c>
    </row>
    <row r="110" spans="1:43" ht="15" x14ac:dyDescent="0.2">
      <c r="A110" s="1018" t="s">
        <v>105</v>
      </c>
      <c r="B110" s="1019" t="s">
        <v>104</v>
      </c>
      <c r="C110" s="1020">
        <v>0.49</v>
      </c>
      <c r="D110" s="597" t="s">
        <v>600</v>
      </c>
      <c r="E110" s="597" t="s">
        <v>765</v>
      </c>
      <c r="F110" s="1020">
        <v>0</v>
      </c>
      <c r="G110" s="597" t="s">
        <v>772</v>
      </c>
      <c r="H110" s="597" t="s">
        <v>773</v>
      </c>
      <c r="I110" s="1020">
        <v>0.01</v>
      </c>
      <c r="J110" s="1020">
        <f t="shared" si="3"/>
        <v>0.5</v>
      </c>
      <c r="K110" s="1020"/>
      <c r="L110" s="1020">
        <v>0.49</v>
      </c>
      <c r="M110" s="597" t="s">
        <v>600</v>
      </c>
      <c r="N110" s="597" t="s">
        <v>765</v>
      </c>
      <c r="O110" s="1020">
        <v>0</v>
      </c>
      <c r="P110" s="597" t="s">
        <v>772</v>
      </c>
      <c r="Q110" s="597" t="s">
        <v>773</v>
      </c>
      <c r="R110" s="1020">
        <v>0.01</v>
      </c>
      <c r="S110" s="1020">
        <f t="shared" si="4"/>
        <v>0.5</v>
      </c>
      <c r="T110" s="947" t="s">
        <v>1005</v>
      </c>
      <c r="U110" s="877" t="s">
        <v>982</v>
      </c>
      <c r="V110" s="1107" t="s">
        <v>2250</v>
      </c>
      <c r="W110" s="877"/>
      <c r="X110" s="937" t="s">
        <v>1005</v>
      </c>
      <c r="Y110" s="926">
        <v>1164622</v>
      </c>
      <c r="Z110" s="888"/>
      <c r="AA110" s="927"/>
      <c r="AB110" s="914" t="s">
        <v>1005</v>
      </c>
      <c r="AC110" s="1011" t="s">
        <v>1206</v>
      </c>
      <c r="AD110" s="1011" t="s">
        <v>1005</v>
      </c>
      <c r="AE110" s="1011" t="s">
        <v>1206</v>
      </c>
      <c r="AF110" s="1011" t="s">
        <v>1206</v>
      </c>
      <c r="AH110" s="1011" t="b">
        <f t="shared" si="5"/>
        <v>1</v>
      </c>
      <c r="AI110" s="1011" t="s">
        <v>105</v>
      </c>
      <c r="AJ110" s="1011" t="s">
        <v>104</v>
      </c>
      <c r="AK110" s="1011" t="s">
        <v>1515</v>
      </c>
      <c r="AL110" s="1011" t="s">
        <v>1516</v>
      </c>
    </row>
    <row r="111" spans="1:43" ht="15.75" customHeight="1" x14ac:dyDescent="0.2">
      <c r="A111" s="1018" t="s">
        <v>107</v>
      </c>
      <c r="B111" s="1019" t="s">
        <v>106</v>
      </c>
      <c r="C111" s="1020">
        <v>0.4</v>
      </c>
      <c r="D111" s="597" t="s">
        <v>736</v>
      </c>
      <c r="E111" s="597" t="s">
        <v>737</v>
      </c>
      <c r="F111" s="1020">
        <v>0.09</v>
      </c>
      <c r="G111" s="597" t="s">
        <v>734</v>
      </c>
      <c r="H111" s="597" t="s">
        <v>735</v>
      </c>
      <c r="I111" s="1020">
        <v>0.01</v>
      </c>
      <c r="J111" s="1020">
        <f t="shared" si="3"/>
        <v>0.5</v>
      </c>
      <c r="K111" s="1020"/>
      <c r="L111" s="1020">
        <v>0.4</v>
      </c>
      <c r="M111" s="597" t="s">
        <v>736</v>
      </c>
      <c r="N111" s="597" t="s">
        <v>737</v>
      </c>
      <c r="O111" s="1020">
        <v>0.09</v>
      </c>
      <c r="P111" s="597" t="s">
        <v>734</v>
      </c>
      <c r="Q111" s="597" t="s">
        <v>735</v>
      </c>
      <c r="R111" s="1020">
        <v>0.01</v>
      </c>
      <c r="S111" s="1020">
        <f t="shared" si="4"/>
        <v>0.5</v>
      </c>
      <c r="T111" s="949"/>
      <c r="U111" s="885"/>
      <c r="V111" s="885"/>
      <c r="W111" s="885"/>
      <c r="X111" s="1015"/>
      <c r="Y111" s="924"/>
      <c r="Z111" s="883"/>
      <c r="AA111" s="925"/>
      <c r="AB111" s="912"/>
      <c r="AC111" s="1011" t="s">
        <v>1206</v>
      </c>
      <c r="AD111" s="1011" t="s">
        <v>1206</v>
      </c>
      <c r="AE111" s="1011" t="s">
        <v>1206</v>
      </c>
      <c r="AF111" s="1011" t="s">
        <v>1206</v>
      </c>
      <c r="AH111" s="1011" t="b">
        <f t="shared" si="5"/>
        <v>1</v>
      </c>
      <c r="AI111" s="1011" t="s">
        <v>107</v>
      </c>
      <c r="AJ111" s="1011" t="s">
        <v>106</v>
      </c>
      <c r="AK111" s="1011" t="s">
        <v>1517</v>
      </c>
      <c r="AL111" s="1011" t="s">
        <v>1518</v>
      </c>
    </row>
    <row r="112" spans="1:43" ht="15.75" customHeight="1" x14ac:dyDescent="0.2">
      <c r="A112" s="1018" t="s">
        <v>109</v>
      </c>
      <c r="B112" s="1019" t="s">
        <v>108</v>
      </c>
      <c r="C112" s="1020">
        <v>0.4</v>
      </c>
      <c r="D112" s="597" t="s">
        <v>675</v>
      </c>
      <c r="E112" s="597" t="s">
        <v>680</v>
      </c>
      <c r="F112" s="1020">
        <v>0.1</v>
      </c>
      <c r="G112" s="597" t="s">
        <v>600</v>
      </c>
      <c r="H112" s="597" t="s">
        <v>639</v>
      </c>
      <c r="I112" s="1020">
        <v>0</v>
      </c>
      <c r="J112" s="1020">
        <f t="shared" si="3"/>
        <v>0.5</v>
      </c>
      <c r="K112" s="1020"/>
      <c r="L112" s="1020">
        <v>0.4</v>
      </c>
      <c r="M112" s="597" t="s">
        <v>675</v>
      </c>
      <c r="N112" s="597" t="s">
        <v>680</v>
      </c>
      <c r="O112" s="1020">
        <v>0.1</v>
      </c>
      <c r="P112" s="597" t="s">
        <v>600</v>
      </c>
      <c r="Q112" s="597" t="s">
        <v>639</v>
      </c>
      <c r="R112" s="1020">
        <v>0</v>
      </c>
      <c r="S112" s="1020">
        <f t="shared" si="4"/>
        <v>0.5</v>
      </c>
      <c r="T112" s="947"/>
      <c r="U112" s="877"/>
      <c r="V112" s="877"/>
      <c r="W112" s="877"/>
      <c r="X112" s="1015"/>
      <c r="Y112" s="924"/>
      <c r="Z112" s="883"/>
      <c r="AA112" s="925"/>
      <c r="AB112" s="912"/>
      <c r="AC112" s="1011" t="s">
        <v>1206</v>
      </c>
      <c r="AD112" s="1011" t="s">
        <v>1206</v>
      </c>
      <c r="AE112" s="1011" t="s">
        <v>1206</v>
      </c>
      <c r="AF112" s="1011" t="s">
        <v>1206</v>
      </c>
      <c r="AH112" s="1011" t="b">
        <f t="shared" si="5"/>
        <v>1</v>
      </c>
      <c r="AI112" s="1011" t="s">
        <v>109</v>
      </c>
      <c r="AJ112" s="1011" t="s">
        <v>108</v>
      </c>
      <c r="AK112" s="1011" t="s">
        <v>1519</v>
      </c>
      <c r="AL112" s="1011" t="s">
        <v>1520</v>
      </c>
    </row>
    <row r="113" spans="1:43" ht="15" x14ac:dyDescent="0.2">
      <c r="A113" s="1018" t="s">
        <v>111</v>
      </c>
      <c r="B113" s="1019" t="s">
        <v>110</v>
      </c>
      <c r="C113" s="1020">
        <v>0.4</v>
      </c>
      <c r="D113" s="597" t="s">
        <v>685</v>
      </c>
      <c r="E113" s="597" t="s">
        <v>686</v>
      </c>
      <c r="F113" s="1020">
        <v>0.09</v>
      </c>
      <c r="G113" s="597" t="s">
        <v>682</v>
      </c>
      <c r="H113" s="597" t="s">
        <v>683</v>
      </c>
      <c r="I113" s="1020">
        <v>0.01</v>
      </c>
      <c r="J113" s="1020">
        <f t="shared" si="3"/>
        <v>0.5</v>
      </c>
      <c r="K113" s="1020"/>
      <c r="L113" s="1020">
        <v>0.4</v>
      </c>
      <c r="M113" s="597" t="s">
        <v>685</v>
      </c>
      <c r="N113" s="597" t="s">
        <v>686</v>
      </c>
      <c r="O113" s="1020">
        <v>0.09</v>
      </c>
      <c r="P113" s="597" t="s">
        <v>682</v>
      </c>
      <c r="Q113" s="597" t="s">
        <v>683</v>
      </c>
      <c r="R113" s="1020">
        <v>0.01</v>
      </c>
      <c r="S113" s="1020">
        <f t="shared" si="4"/>
        <v>0.5</v>
      </c>
      <c r="T113" s="947" t="s">
        <v>1005</v>
      </c>
      <c r="U113" s="877" t="s">
        <v>980</v>
      </c>
      <c r="V113" s="877"/>
      <c r="W113" s="877"/>
      <c r="X113" s="1015"/>
      <c r="Y113" s="926">
        <v>439295</v>
      </c>
      <c r="Z113" s="888"/>
      <c r="AA113" s="927"/>
      <c r="AB113" s="912"/>
      <c r="AC113" s="1011" t="s">
        <v>1206</v>
      </c>
      <c r="AD113" s="1011" t="s">
        <v>1206</v>
      </c>
      <c r="AE113" s="1011" t="s">
        <v>1206</v>
      </c>
      <c r="AF113" s="1011" t="s">
        <v>1206</v>
      </c>
      <c r="AH113" s="1011" t="b">
        <f t="shared" si="5"/>
        <v>1</v>
      </c>
      <c r="AI113" s="1011" t="s">
        <v>111</v>
      </c>
      <c r="AJ113" s="1011" t="s">
        <v>110</v>
      </c>
      <c r="AK113" s="1011" t="s">
        <v>1521</v>
      </c>
      <c r="AL113" s="1011" t="s">
        <v>1522</v>
      </c>
      <c r="AO113" s="1011" t="s">
        <v>1522</v>
      </c>
      <c r="AP113" s="1011">
        <v>2392545346</v>
      </c>
      <c r="AQ113" s="1011" t="s">
        <v>1523</v>
      </c>
    </row>
    <row r="114" spans="1:43" ht="15.75" customHeight="1" x14ac:dyDescent="0.2">
      <c r="A114" s="1018" t="s">
        <v>113</v>
      </c>
      <c r="B114" s="1019" t="s">
        <v>112</v>
      </c>
      <c r="C114" s="1020">
        <v>0.4</v>
      </c>
      <c r="D114" s="597" t="s">
        <v>704</v>
      </c>
      <c r="E114" s="597" t="s">
        <v>705</v>
      </c>
      <c r="F114" s="1020">
        <v>0.09</v>
      </c>
      <c r="G114" s="597" t="s">
        <v>702</v>
      </c>
      <c r="H114" s="597" t="s">
        <v>703</v>
      </c>
      <c r="I114" s="1020">
        <v>0.01</v>
      </c>
      <c r="J114" s="1020">
        <f t="shared" si="3"/>
        <v>0.5</v>
      </c>
      <c r="K114" s="1020"/>
      <c r="L114" s="1020">
        <v>0.4</v>
      </c>
      <c r="M114" s="597" t="s">
        <v>704</v>
      </c>
      <c r="N114" s="597" t="s">
        <v>705</v>
      </c>
      <c r="O114" s="1020">
        <v>0.09</v>
      </c>
      <c r="P114" s="597" t="s">
        <v>702</v>
      </c>
      <c r="Q114" s="597" t="s">
        <v>703</v>
      </c>
      <c r="R114" s="1020">
        <v>0.01</v>
      </c>
      <c r="S114" s="1020">
        <f t="shared" si="4"/>
        <v>0.5</v>
      </c>
      <c r="T114" s="1106" t="s">
        <v>1005</v>
      </c>
      <c r="U114" s="1107" t="s">
        <v>2257</v>
      </c>
      <c r="V114" s="877"/>
      <c r="W114" s="877"/>
      <c r="X114" s="1015"/>
      <c r="Y114" s="924"/>
      <c r="Z114" s="883"/>
      <c r="AA114" s="925"/>
      <c r="AB114" s="912"/>
      <c r="AC114" s="1011" t="s">
        <v>1005</v>
      </c>
      <c r="AD114" s="1011" t="s">
        <v>1206</v>
      </c>
      <c r="AE114" s="1011" t="s">
        <v>1206</v>
      </c>
      <c r="AF114" s="1011" t="s">
        <v>1206</v>
      </c>
      <c r="AH114" s="1011" t="b">
        <f t="shared" si="5"/>
        <v>1</v>
      </c>
      <c r="AI114" s="1011" t="s">
        <v>113</v>
      </c>
      <c r="AJ114" s="1011" t="s">
        <v>112</v>
      </c>
      <c r="AK114" s="1011" t="s">
        <v>1524</v>
      </c>
      <c r="AL114" s="1011" t="s">
        <v>1525</v>
      </c>
    </row>
    <row r="115" spans="1:43" ht="15" x14ac:dyDescent="0.2">
      <c r="A115" s="1018" t="s">
        <v>115</v>
      </c>
      <c r="B115" s="1019" t="s">
        <v>114</v>
      </c>
      <c r="C115" s="1020">
        <v>0.4</v>
      </c>
      <c r="D115" s="597" t="s">
        <v>723</v>
      </c>
      <c r="E115" s="597" t="s">
        <v>724</v>
      </c>
      <c r="F115" s="1020">
        <v>0.1</v>
      </c>
      <c r="G115" s="597" t="s">
        <v>600</v>
      </c>
      <c r="H115" s="597" t="s">
        <v>639</v>
      </c>
      <c r="I115" s="1020">
        <v>0</v>
      </c>
      <c r="J115" s="1020">
        <f t="shared" si="3"/>
        <v>0.5</v>
      </c>
      <c r="K115" s="1020"/>
      <c r="L115" s="1020">
        <v>0.4</v>
      </c>
      <c r="M115" s="597" t="s">
        <v>723</v>
      </c>
      <c r="N115" s="597" t="s">
        <v>724</v>
      </c>
      <c r="O115" s="1020">
        <v>0.1</v>
      </c>
      <c r="P115" s="597" t="s">
        <v>600</v>
      </c>
      <c r="Q115" s="597" t="s">
        <v>639</v>
      </c>
      <c r="R115" s="1020">
        <v>0</v>
      </c>
      <c r="S115" s="1020">
        <f t="shared" si="4"/>
        <v>0.5</v>
      </c>
      <c r="T115" s="1104" t="s">
        <v>1005</v>
      </c>
      <c r="U115" s="1105" t="s">
        <v>983</v>
      </c>
      <c r="V115" s="877"/>
      <c r="W115" s="877"/>
      <c r="X115" s="1015"/>
      <c r="Y115" s="926">
        <v>280214</v>
      </c>
      <c r="Z115" s="888"/>
      <c r="AA115" s="927"/>
      <c r="AB115" s="912"/>
      <c r="AC115" s="1011" t="s">
        <v>1005</v>
      </c>
      <c r="AD115" s="1011" t="s">
        <v>1206</v>
      </c>
      <c r="AE115" s="1011" t="s">
        <v>1206</v>
      </c>
      <c r="AF115" s="1011" t="s">
        <v>1206</v>
      </c>
      <c r="AH115" s="1011" t="b">
        <f t="shared" si="5"/>
        <v>1</v>
      </c>
      <c r="AI115" s="1011" t="s">
        <v>115</v>
      </c>
      <c r="AJ115" s="1011" t="s">
        <v>114</v>
      </c>
      <c r="AK115" s="1011" t="s">
        <v>1526</v>
      </c>
      <c r="AL115" s="1011" t="s">
        <v>1527</v>
      </c>
    </row>
    <row r="116" spans="1:43" ht="15.75" customHeight="1" x14ac:dyDescent="0.2">
      <c r="A116" s="1018" t="s">
        <v>117</v>
      </c>
      <c r="B116" s="1019" t="s">
        <v>116</v>
      </c>
      <c r="C116" s="1020">
        <v>0.3</v>
      </c>
      <c r="D116" s="597" t="s">
        <v>779</v>
      </c>
      <c r="E116" s="597" t="s">
        <v>780</v>
      </c>
      <c r="F116" s="1020">
        <v>0.37</v>
      </c>
      <c r="G116" s="597" t="s">
        <v>600</v>
      </c>
      <c r="H116" s="597" t="s">
        <v>600</v>
      </c>
      <c r="I116" s="1020">
        <v>0</v>
      </c>
      <c r="J116" s="1020">
        <f t="shared" si="3"/>
        <v>0.66999999999999993</v>
      </c>
      <c r="K116" s="1020"/>
      <c r="L116" s="1020">
        <v>0.3</v>
      </c>
      <c r="M116" s="597" t="s">
        <v>779</v>
      </c>
      <c r="N116" s="597" t="s">
        <v>780</v>
      </c>
      <c r="O116" s="1020">
        <v>0.2</v>
      </c>
      <c r="P116" s="597" t="s">
        <v>600</v>
      </c>
      <c r="Q116" s="597" t="s">
        <v>600</v>
      </c>
      <c r="R116" s="1020">
        <v>0</v>
      </c>
      <c r="S116" s="1020">
        <f t="shared" si="4"/>
        <v>0.5</v>
      </c>
      <c r="T116" s="947"/>
      <c r="U116" s="877"/>
      <c r="V116" s="877"/>
      <c r="W116" s="877"/>
      <c r="X116" s="937" t="s">
        <v>1005</v>
      </c>
      <c r="Y116" s="924"/>
      <c r="Z116" s="883"/>
      <c r="AA116" s="925"/>
      <c r="AB116" s="914" t="s">
        <v>1005</v>
      </c>
      <c r="AC116" s="1011" t="s">
        <v>1206</v>
      </c>
      <c r="AD116" s="1011" t="s">
        <v>1206</v>
      </c>
      <c r="AE116" s="1011" t="s">
        <v>1206</v>
      </c>
      <c r="AF116" s="1011" t="s">
        <v>1206</v>
      </c>
      <c r="AH116" s="1011" t="b">
        <f t="shared" si="5"/>
        <v>1</v>
      </c>
      <c r="AI116" s="1011" t="s">
        <v>117</v>
      </c>
      <c r="AJ116" s="1011" t="s">
        <v>116</v>
      </c>
      <c r="AK116" s="1011" t="s">
        <v>1528</v>
      </c>
      <c r="AL116" s="1011" t="s">
        <v>1529</v>
      </c>
      <c r="AM116" s="1011" t="s">
        <v>1530</v>
      </c>
      <c r="AN116" s="1011" t="s">
        <v>1531</v>
      </c>
    </row>
    <row r="117" spans="1:43" ht="15.75" customHeight="1" x14ac:dyDescent="0.2">
      <c r="A117" s="1018" t="s">
        <v>119</v>
      </c>
      <c r="B117" s="1019" t="s">
        <v>118</v>
      </c>
      <c r="C117" s="1020">
        <v>0.4</v>
      </c>
      <c r="D117" s="597" t="s">
        <v>753</v>
      </c>
      <c r="E117" s="597" t="s">
        <v>754</v>
      </c>
      <c r="F117" s="1020">
        <v>0.1</v>
      </c>
      <c r="G117" s="597" t="s">
        <v>600</v>
      </c>
      <c r="H117" s="597" t="s">
        <v>639</v>
      </c>
      <c r="I117" s="1020">
        <v>0</v>
      </c>
      <c r="J117" s="1020">
        <f t="shared" si="3"/>
        <v>0.5</v>
      </c>
      <c r="K117" s="1020"/>
      <c r="L117" s="1020">
        <v>0.4</v>
      </c>
      <c r="M117" s="597" t="s">
        <v>753</v>
      </c>
      <c r="N117" s="597" t="s">
        <v>754</v>
      </c>
      <c r="O117" s="1020">
        <v>0.1</v>
      </c>
      <c r="P117" s="597" t="s">
        <v>600</v>
      </c>
      <c r="Q117" s="597" t="s">
        <v>639</v>
      </c>
      <c r="R117" s="1020">
        <v>0</v>
      </c>
      <c r="S117" s="1020">
        <f t="shared" si="4"/>
        <v>0.5</v>
      </c>
      <c r="T117" s="947"/>
      <c r="U117" s="877"/>
      <c r="V117" s="877"/>
      <c r="W117" s="877"/>
      <c r="X117" s="1015"/>
      <c r="Y117" s="924"/>
      <c r="Z117" s="883"/>
      <c r="AA117" s="925"/>
      <c r="AB117" s="912"/>
      <c r="AC117" s="1011" t="s">
        <v>1206</v>
      </c>
      <c r="AD117" s="1011" t="s">
        <v>1206</v>
      </c>
      <c r="AE117" s="1011" t="s">
        <v>1206</v>
      </c>
      <c r="AF117" s="1011" t="s">
        <v>1206</v>
      </c>
      <c r="AH117" s="1011" t="b">
        <f t="shared" si="5"/>
        <v>1</v>
      </c>
      <c r="AI117" s="1011" t="s">
        <v>119</v>
      </c>
      <c r="AJ117" s="1011" t="s">
        <v>118</v>
      </c>
      <c r="AK117" s="1011" t="s">
        <v>1532</v>
      </c>
      <c r="AL117" s="1011" t="s">
        <v>1533</v>
      </c>
      <c r="AO117" s="1011" t="s">
        <v>1533</v>
      </c>
      <c r="AP117" s="1011" t="s">
        <v>1534</v>
      </c>
      <c r="AQ117" s="1011" t="s">
        <v>1532</v>
      </c>
    </row>
    <row r="118" spans="1:43" ht="15.75" customHeight="1" x14ac:dyDescent="0.2">
      <c r="A118" s="1018" t="s">
        <v>121</v>
      </c>
      <c r="B118" s="1019" t="s">
        <v>120</v>
      </c>
      <c r="C118" s="1020">
        <v>0.3</v>
      </c>
      <c r="D118" s="597" t="s">
        <v>779</v>
      </c>
      <c r="E118" s="597" t="s">
        <v>780</v>
      </c>
      <c r="F118" s="1020">
        <v>0.37</v>
      </c>
      <c r="G118" s="597" t="s">
        <v>600</v>
      </c>
      <c r="H118" s="597" t="s">
        <v>600</v>
      </c>
      <c r="I118" s="1020">
        <v>0</v>
      </c>
      <c r="J118" s="1020">
        <f t="shared" si="3"/>
        <v>0.66999999999999993</v>
      </c>
      <c r="K118" s="1020"/>
      <c r="L118" s="1020">
        <v>0.3</v>
      </c>
      <c r="M118" s="597" t="s">
        <v>779</v>
      </c>
      <c r="N118" s="597" t="s">
        <v>780</v>
      </c>
      <c r="O118" s="1020">
        <v>0.2</v>
      </c>
      <c r="P118" s="597" t="s">
        <v>600</v>
      </c>
      <c r="Q118" s="597" t="s">
        <v>600</v>
      </c>
      <c r="R118" s="1020">
        <v>0</v>
      </c>
      <c r="S118" s="1020">
        <f t="shared" si="4"/>
        <v>0.5</v>
      </c>
      <c r="T118" s="947"/>
      <c r="U118" s="877"/>
      <c r="V118" s="877"/>
      <c r="W118" s="877"/>
      <c r="X118" s="937" t="s">
        <v>1005</v>
      </c>
      <c r="Y118" s="924"/>
      <c r="Z118" s="883"/>
      <c r="AA118" s="925"/>
      <c r="AB118" s="914" t="s">
        <v>1005</v>
      </c>
      <c r="AC118" s="1011" t="s">
        <v>1206</v>
      </c>
      <c r="AD118" s="1011" t="s">
        <v>1206</v>
      </c>
      <c r="AE118" s="1011" t="s">
        <v>1206</v>
      </c>
      <c r="AF118" s="1011" t="s">
        <v>1206</v>
      </c>
      <c r="AH118" s="1011" t="b">
        <f t="shared" si="5"/>
        <v>1</v>
      </c>
      <c r="AI118" s="1011" t="s">
        <v>121</v>
      </c>
      <c r="AJ118" s="1011" t="s">
        <v>120</v>
      </c>
      <c r="AK118" s="1011" t="s">
        <v>1535</v>
      </c>
      <c r="AL118" s="1011" t="s">
        <v>1536</v>
      </c>
      <c r="AM118" s="1011" t="s">
        <v>1537</v>
      </c>
      <c r="AN118" s="1011" t="s">
        <v>1538</v>
      </c>
    </row>
    <row r="119" spans="1:43" ht="15" x14ac:dyDescent="0.2">
      <c r="A119" s="1018" t="s">
        <v>123</v>
      </c>
      <c r="B119" s="1019" t="s">
        <v>628</v>
      </c>
      <c r="C119" s="1020">
        <v>0.99</v>
      </c>
      <c r="D119" s="597" t="s">
        <v>600</v>
      </c>
      <c r="E119" s="597" t="s">
        <v>601</v>
      </c>
      <c r="F119" s="1020">
        <v>0</v>
      </c>
      <c r="G119" s="597" t="s">
        <v>629</v>
      </c>
      <c r="H119" s="597" t="s">
        <v>630</v>
      </c>
      <c r="I119" s="1020">
        <v>0.01</v>
      </c>
      <c r="J119" s="1020">
        <f t="shared" si="3"/>
        <v>1</v>
      </c>
      <c r="K119" s="1020"/>
      <c r="L119" s="1020">
        <v>0.49</v>
      </c>
      <c r="M119" s="597" t="s">
        <v>600</v>
      </c>
      <c r="N119" s="597" t="s">
        <v>601</v>
      </c>
      <c r="O119" s="1020">
        <v>0</v>
      </c>
      <c r="P119" s="597" t="s">
        <v>629</v>
      </c>
      <c r="Q119" s="597" t="s">
        <v>630</v>
      </c>
      <c r="R119" s="1020">
        <v>0.01</v>
      </c>
      <c r="S119" s="1020">
        <f t="shared" si="4"/>
        <v>0.5</v>
      </c>
      <c r="T119" s="947" t="s">
        <v>1005</v>
      </c>
      <c r="U119" s="877" t="s">
        <v>984</v>
      </c>
      <c r="V119" s="877" t="s">
        <v>984</v>
      </c>
      <c r="W119" s="877"/>
      <c r="X119" s="937" t="s">
        <v>1005</v>
      </c>
      <c r="Y119" s="926">
        <v>33529</v>
      </c>
      <c r="Z119" s="888">
        <v>0</v>
      </c>
      <c r="AA119" s="927"/>
      <c r="AB119" s="914" t="s">
        <v>1005</v>
      </c>
      <c r="AC119" s="1011" t="s">
        <v>1206</v>
      </c>
      <c r="AD119" s="1011" t="s">
        <v>1206</v>
      </c>
      <c r="AE119" s="1011" t="s">
        <v>1206</v>
      </c>
      <c r="AF119" s="1011" t="s">
        <v>1206</v>
      </c>
      <c r="AH119" s="1011" t="b">
        <f t="shared" si="5"/>
        <v>1</v>
      </c>
      <c r="AI119" s="1011" t="s">
        <v>123</v>
      </c>
      <c r="AJ119" s="1011" t="s">
        <v>122</v>
      </c>
      <c r="AK119" s="1011" t="s">
        <v>1539</v>
      </c>
      <c r="AL119" s="1011" t="s">
        <v>1540</v>
      </c>
    </row>
    <row r="120" spans="1:43" ht="15.75" customHeight="1" x14ac:dyDescent="0.2">
      <c r="A120" s="1018" t="s">
        <v>125</v>
      </c>
      <c r="B120" s="1019" t="s">
        <v>124</v>
      </c>
      <c r="C120" s="1020">
        <v>0.4</v>
      </c>
      <c r="D120" s="597" t="s">
        <v>729</v>
      </c>
      <c r="E120" s="597" t="s">
        <v>730</v>
      </c>
      <c r="F120" s="1020">
        <v>0.09</v>
      </c>
      <c r="G120" s="597" t="s">
        <v>727</v>
      </c>
      <c r="H120" s="597" t="s">
        <v>728</v>
      </c>
      <c r="I120" s="1020">
        <v>0.01</v>
      </c>
      <c r="J120" s="1020">
        <f t="shared" si="3"/>
        <v>0.5</v>
      </c>
      <c r="K120" s="1020"/>
      <c r="L120" s="1020">
        <v>0.4</v>
      </c>
      <c r="M120" s="597" t="s">
        <v>729</v>
      </c>
      <c r="N120" s="597" t="s">
        <v>730</v>
      </c>
      <c r="O120" s="1020">
        <v>0.09</v>
      </c>
      <c r="P120" s="597" t="s">
        <v>727</v>
      </c>
      <c r="Q120" s="597" t="s">
        <v>728</v>
      </c>
      <c r="R120" s="1020">
        <v>0.01</v>
      </c>
      <c r="S120" s="1020">
        <f t="shared" si="4"/>
        <v>0.5</v>
      </c>
      <c r="T120" s="947"/>
      <c r="U120" s="877"/>
      <c r="V120" s="877"/>
      <c r="W120" s="877"/>
      <c r="X120" s="1015"/>
      <c r="Y120" s="924"/>
      <c r="Z120" s="883"/>
      <c r="AA120" s="925"/>
      <c r="AB120" s="912"/>
      <c r="AC120" s="1011" t="s">
        <v>1206</v>
      </c>
      <c r="AD120" s="1011" t="s">
        <v>1206</v>
      </c>
      <c r="AE120" s="1011" t="s">
        <v>1206</v>
      </c>
      <c r="AF120" s="1011" t="s">
        <v>1206</v>
      </c>
      <c r="AH120" s="1011" t="b">
        <f t="shared" si="5"/>
        <v>1</v>
      </c>
      <c r="AI120" s="1011" t="s">
        <v>125</v>
      </c>
      <c r="AJ120" s="1011" t="s">
        <v>124</v>
      </c>
      <c r="AK120" s="1011" t="s">
        <v>1541</v>
      </c>
      <c r="AL120" s="1011" t="s">
        <v>1542</v>
      </c>
    </row>
    <row r="121" spans="1:43" ht="15.75" customHeight="1" x14ac:dyDescent="0.2">
      <c r="A121" s="1018" t="s">
        <v>127</v>
      </c>
      <c r="B121" s="1019" t="s">
        <v>781</v>
      </c>
      <c r="C121" s="1020">
        <v>0.3</v>
      </c>
      <c r="D121" s="597" t="s">
        <v>779</v>
      </c>
      <c r="E121" s="597" t="s">
        <v>780</v>
      </c>
      <c r="F121" s="1020">
        <v>0.37</v>
      </c>
      <c r="G121" s="597" t="s">
        <v>600</v>
      </c>
      <c r="H121" s="597" t="s">
        <v>600</v>
      </c>
      <c r="I121" s="1020">
        <v>0</v>
      </c>
      <c r="J121" s="1020">
        <f t="shared" si="3"/>
        <v>0.66999999999999993</v>
      </c>
      <c r="K121" s="1020"/>
      <c r="L121" s="1020">
        <v>0.3</v>
      </c>
      <c r="M121" s="597" t="s">
        <v>779</v>
      </c>
      <c r="N121" s="597" t="s">
        <v>780</v>
      </c>
      <c r="O121" s="1020">
        <v>0.2</v>
      </c>
      <c r="P121" s="597" t="s">
        <v>600</v>
      </c>
      <c r="Q121" s="597" t="s">
        <v>600</v>
      </c>
      <c r="R121" s="1020">
        <v>0</v>
      </c>
      <c r="S121" s="1020">
        <f t="shared" si="4"/>
        <v>0.5</v>
      </c>
      <c r="T121" s="947"/>
      <c r="U121" s="877"/>
      <c r="V121" s="877"/>
      <c r="W121" s="877"/>
      <c r="X121" s="937" t="s">
        <v>1005</v>
      </c>
      <c r="Y121" s="924"/>
      <c r="Z121" s="883"/>
      <c r="AA121" s="925"/>
      <c r="AB121" s="914" t="s">
        <v>1005</v>
      </c>
      <c r="AC121" s="1011" t="s">
        <v>1206</v>
      </c>
      <c r="AD121" s="1011" t="s">
        <v>1206</v>
      </c>
      <c r="AE121" s="1011" t="s">
        <v>1206</v>
      </c>
      <c r="AF121" s="1011" t="s">
        <v>1206</v>
      </c>
      <c r="AH121" s="1011" t="b">
        <f t="shared" si="5"/>
        <v>1</v>
      </c>
      <c r="AI121" s="1011" t="s">
        <v>127</v>
      </c>
      <c r="AJ121" s="1011" t="s">
        <v>126</v>
      </c>
      <c r="AK121" s="1011" t="s">
        <v>1543</v>
      </c>
      <c r="AL121" s="1011" t="s">
        <v>1544</v>
      </c>
    </row>
    <row r="122" spans="1:43" ht="15.75" customHeight="1" x14ac:dyDescent="0.2">
      <c r="A122" s="1018" t="s">
        <v>129</v>
      </c>
      <c r="B122" s="1019" t="s">
        <v>128</v>
      </c>
      <c r="C122" s="1020">
        <v>0.4</v>
      </c>
      <c r="D122" s="597" t="s">
        <v>717</v>
      </c>
      <c r="E122" s="597" t="s">
        <v>718</v>
      </c>
      <c r="F122" s="1020">
        <v>0.09</v>
      </c>
      <c r="G122" s="597" t="s">
        <v>714</v>
      </c>
      <c r="H122" s="597" t="s">
        <v>715</v>
      </c>
      <c r="I122" s="1020">
        <v>0.01</v>
      </c>
      <c r="J122" s="1020">
        <f t="shared" si="3"/>
        <v>0.5</v>
      </c>
      <c r="K122" s="1020"/>
      <c r="L122" s="1020">
        <v>0.4</v>
      </c>
      <c r="M122" s="597" t="s">
        <v>717</v>
      </c>
      <c r="N122" s="597" t="s">
        <v>718</v>
      </c>
      <c r="O122" s="1020">
        <v>0.09</v>
      </c>
      <c r="P122" s="597" t="s">
        <v>714</v>
      </c>
      <c r="Q122" s="597" t="s">
        <v>715</v>
      </c>
      <c r="R122" s="1020">
        <v>0.01</v>
      </c>
      <c r="S122" s="1020">
        <f t="shared" si="4"/>
        <v>0.5</v>
      </c>
      <c r="T122" s="947"/>
      <c r="U122" s="877"/>
      <c r="V122" s="877"/>
      <c r="W122" s="877"/>
      <c r="X122" s="1015"/>
      <c r="Y122" s="924"/>
      <c r="Z122" s="883"/>
      <c r="AA122" s="925"/>
      <c r="AB122" s="912"/>
      <c r="AC122" s="1011" t="s">
        <v>1206</v>
      </c>
      <c r="AD122" s="1011" t="s">
        <v>1206</v>
      </c>
      <c r="AE122" s="1011" t="s">
        <v>1206</v>
      </c>
      <c r="AF122" s="1011" t="s">
        <v>1206</v>
      </c>
      <c r="AH122" s="1011" t="b">
        <f t="shared" si="5"/>
        <v>1</v>
      </c>
      <c r="AI122" s="1011" t="s">
        <v>129</v>
      </c>
      <c r="AJ122" s="1011" t="s">
        <v>128</v>
      </c>
      <c r="AK122" s="1011" t="s">
        <v>1545</v>
      </c>
      <c r="AL122" s="1011" t="s">
        <v>1546</v>
      </c>
    </row>
    <row r="123" spans="1:43" ht="15.75" customHeight="1" x14ac:dyDescent="0.2">
      <c r="A123" s="1018" t="s">
        <v>131</v>
      </c>
      <c r="B123" s="1019" t="s">
        <v>130</v>
      </c>
      <c r="C123" s="1020">
        <v>0.3</v>
      </c>
      <c r="D123" s="597" t="s">
        <v>779</v>
      </c>
      <c r="E123" s="597" t="s">
        <v>780</v>
      </c>
      <c r="F123" s="1020">
        <v>0.37</v>
      </c>
      <c r="G123" s="597" t="s">
        <v>600</v>
      </c>
      <c r="H123" s="597" t="s">
        <v>600</v>
      </c>
      <c r="I123" s="1020">
        <v>0</v>
      </c>
      <c r="J123" s="1020">
        <f t="shared" si="3"/>
        <v>0.66999999999999993</v>
      </c>
      <c r="K123" s="1020"/>
      <c r="L123" s="1020">
        <v>0.3</v>
      </c>
      <c r="M123" s="597" t="s">
        <v>779</v>
      </c>
      <c r="N123" s="597" t="s">
        <v>780</v>
      </c>
      <c r="O123" s="1020">
        <v>0.2</v>
      </c>
      <c r="P123" s="597" t="s">
        <v>600</v>
      </c>
      <c r="Q123" s="597" t="s">
        <v>600</v>
      </c>
      <c r="R123" s="1020">
        <v>0</v>
      </c>
      <c r="S123" s="1020">
        <f t="shared" si="4"/>
        <v>0.5</v>
      </c>
      <c r="T123" s="947"/>
      <c r="U123" s="877"/>
      <c r="V123" s="877"/>
      <c r="W123" s="877"/>
      <c r="X123" s="937" t="s">
        <v>1005</v>
      </c>
      <c r="Y123" s="924"/>
      <c r="Z123" s="883"/>
      <c r="AA123" s="925"/>
      <c r="AB123" s="914" t="s">
        <v>1005</v>
      </c>
      <c r="AC123" s="1011" t="s">
        <v>1206</v>
      </c>
      <c r="AD123" s="1011" t="s">
        <v>1206</v>
      </c>
      <c r="AE123" s="1011" t="s">
        <v>1206</v>
      </c>
      <c r="AF123" s="1011" t="s">
        <v>1206</v>
      </c>
      <c r="AH123" s="1011" t="b">
        <f t="shared" si="5"/>
        <v>1</v>
      </c>
      <c r="AI123" s="1011" t="s">
        <v>131</v>
      </c>
      <c r="AJ123" s="1011" t="s">
        <v>130</v>
      </c>
      <c r="AK123" s="1011" t="s">
        <v>1547</v>
      </c>
      <c r="AL123" s="1011" t="s">
        <v>1548</v>
      </c>
    </row>
    <row r="124" spans="1:43" ht="15" x14ac:dyDescent="0.2">
      <c r="A124" s="1018" t="s">
        <v>133</v>
      </c>
      <c r="B124" s="1019" t="s">
        <v>132</v>
      </c>
      <c r="C124" s="1020">
        <v>0.4</v>
      </c>
      <c r="D124" s="597" t="s">
        <v>673</v>
      </c>
      <c r="E124" s="597" t="s">
        <v>674</v>
      </c>
      <c r="F124" s="1020">
        <v>0.09</v>
      </c>
      <c r="G124" s="597" t="s">
        <v>670</v>
      </c>
      <c r="H124" s="597" t="s">
        <v>671</v>
      </c>
      <c r="I124" s="1020">
        <v>0.01</v>
      </c>
      <c r="J124" s="1020">
        <f t="shared" si="3"/>
        <v>0.5</v>
      </c>
      <c r="K124" s="1020"/>
      <c r="L124" s="1020">
        <v>0.4</v>
      </c>
      <c r="M124" s="597" t="s">
        <v>673</v>
      </c>
      <c r="N124" s="597" t="s">
        <v>674</v>
      </c>
      <c r="O124" s="1020">
        <v>0.09</v>
      </c>
      <c r="P124" s="597" t="s">
        <v>670</v>
      </c>
      <c r="Q124" s="597" t="s">
        <v>671</v>
      </c>
      <c r="R124" s="1020">
        <v>0.01</v>
      </c>
      <c r="S124" s="1020">
        <f t="shared" si="4"/>
        <v>0.5</v>
      </c>
      <c r="T124" s="947" t="s">
        <v>1005</v>
      </c>
      <c r="U124" s="877" t="s">
        <v>132</v>
      </c>
      <c r="V124" s="877"/>
      <c r="W124" s="877"/>
      <c r="X124" s="1015"/>
      <c r="Y124" s="926">
        <v>2963047</v>
      </c>
      <c r="Z124" s="888"/>
      <c r="AA124" s="927"/>
      <c r="AB124" s="912"/>
      <c r="AC124" s="1011" t="s">
        <v>1206</v>
      </c>
      <c r="AD124" s="1011" t="s">
        <v>1206</v>
      </c>
      <c r="AE124" s="1011" t="s">
        <v>1206</v>
      </c>
      <c r="AF124" s="1011" t="s">
        <v>1206</v>
      </c>
      <c r="AH124" s="1011" t="b">
        <f t="shared" si="5"/>
        <v>1</v>
      </c>
      <c r="AI124" s="1011" t="s">
        <v>133</v>
      </c>
      <c r="AJ124" s="1011" t="s">
        <v>132</v>
      </c>
      <c r="AK124" s="1011" t="s">
        <v>1549</v>
      </c>
      <c r="AL124" s="1011" t="s">
        <v>1550</v>
      </c>
      <c r="AM124" s="1011" t="s">
        <v>1551</v>
      </c>
      <c r="AN124" s="1011" t="s">
        <v>1552</v>
      </c>
    </row>
    <row r="125" spans="1:43" ht="15.75" customHeight="1" x14ac:dyDescent="0.2">
      <c r="A125" s="1018" t="s">
        <v>135</v>
      </c>
      <c r="B125" s="1019" t="s">
        <v>134</v>
      </c>
      <c r="C125" s="1020">
        <v>0.4</v>
      </c>
      <c r="D125" s="597" t="s">
        <v>729</v>
      </c>
      <c r="E125" s="597" t="s">
        <v>730</v>
      </c>
      <c r="F125" s="1020">
        <v>0.09</v>
      </c>
      <c r="G125" s="597" t="s">
        <v>727</v>
      </c>
      <c r="H125" s="597" t="s">
        <v>728</v>
      </c>
      <c r="I125" s="1020">
        <v>0.01</v>
      </c>
      <c r="J125" s="1020">
        <f t="shared" si="3"/>
        <v>0.5</v>
      </c>
      <c r="K125" s="1020"/>
      <c r="L125" s="1020">
        <v>0.4</v>
      </c>
      <c r="M125" s="597" t="s">
        <v>729</v>
      </c>
      <c r="N125" s="597" t="s">
        <v>730</v>
      </c>
      <c r="O125" s="1020">
        <v>0.09</v>
      </c>
      <c r="P125" s="597" t="s">
        <v>727</v>
      </c>
      <c r="Q125" s="597" t="s">
        <v>728</v>
      </c>
      <c r="R125" s="1020">
        <v>0.01</v>
      </c>
      <c r="S125" s="1020">
        <f t="shared" si="4"/>
        <v>0.5</v>
      </c>
      <c r="T125" s="947"/>
      <c r="U125" s="877"/>
      <c r="V125" s="877"/>
      <c r="W125" s="877"/>
      <c r="X125" s="1015"/>
      <c r="Y125" s="924"/>
      <c r="Z125" s="883"/>
      <c r="AA125" s="925"/>
      <c r="AB125" s="912"/>
      <c r="AC125" s="1011" t="s">
        <v>1206</v>
      </c>
      <c r="AD125" s="1011" t="s">
        <v>1206</v>
      </c>
      <c r="AE125" s="1011" t="s">
        <v>1206</v>
      </c>
      <c r="AF125" s="1011" t="s">
        <v>1206</v>
      </c>
      <c r="AH125" s="1011" t="b">
        <f t="shared" si="5"/>
        <v>1</v>
      </c>
      <c r="AI125" s="1011" t="s">
        <v>135</v>
      </c>
      <c r="AJ125" s="1011" t="s">
        <v>134</v>
      </c>
      <c r="AK125" s="1011" t="s">
        <v>1553</v>
      </c>
      <c r="AL125" s="1011" t="s">
        <v>1554</v>
      </c>
      <c r="AO125" s="1011" t="s">
        <v>1555</v>
      </c>
      <c r="AP125" s="1011" t="s">
        <v>1556</v>
      </c>
      <c r="AQ125" s="1011" t="s">
        <v>1557</v>
      </c>
    </row>
    <row r="126" spans="1:43" ht="15.75" customHeight="1" x14ac:dyDescent="0.2">
      <c r="A126" s="1018" t="s">
        <v>137</v>
      </c>
      <c r="B126" s="1019" t="s">
        <v>136</v>
      </c>
      <c r="C126" s="1020">
        <v>0.3</v>
      </c>
      <c r="D126" s="597" t="s">
        <v>779</v>
      </c>
      <c r="E126" s="597" t="s">
        <v>780</v>
      </c>
      <c r="F126" s="1020">
        <v>0.37</v>
      </c>
      <c r="G126" s="597" t="s">
        <v>600</v>
      </c>
      <c r="H126" s="597" t="s">
        <v>600</v>
      </c>
      <c r="I126" s="1020">
        <v>0</v>
      </c>
      <c r="J126" s="1020">
        <f t="shared" si="3"/>
        <v>0.66999999999999993</v>
      </c>
      <c r="K126" s="1020"/>
      <c r="L126" s="1020">
        <v>0.3</v>
      </c>
      <c r="M126" s="597" t="s">
        <v>779</v>
      </c>
      <c r="N126" s="597" t="s">
        <v>780</v>
      </c>
      <c r="O126" s="1020">
        <v>0.2</v>
      </c>
      <c r="P126" s="597" t="s">
        <v>600</v>
      </c>
      <c r="Q126" s="597" t="s">
        <v>600</v>
      </c>
      <c r="R126" s="1020">
        <v>0</v>
      </c>
      <c r="S126" s="1020">
        <f t="shared" si="4"/>
        <v>0.5</v>
      </c>
      <c r="T126" s="947"/>
      <c r="U126" s="877"/>
      <c r="V126" s="877"/>
      <c r="W126" s="877"/>
      <c r="X126" s="937" t="s">
        <v>1005</v>
      </c>
      <c r="Y126" s="924"/>
      <c r="Z126" s="883"/>
      <c r="AA126" s="925"/>
      <c r="AB126" s="914" t="s">
        <v>1005</v>
      </c>
      <c r="AC126" s="1011" t="s">
        <v>1206</v>
      </c>
      <c r="AD126" s="1011" t="s">
        <v>1206</v>
      </c>
      <c r="AE126" s="1011" t="s">
        <v>1206</v>
      </c>
      <c r="AF126" s="1011" t="s">
        <v>1206</v>
      </c>
      <c r="AH126" s="1011" t="b">
        <f t="shared" si="5"/>
        <v>1</v>
      </c>
      <c r="AI126" s="1011" t="s">
        <v>137</v>
      </c>
      <c r="AJ126" s="1011" t="s">
        <v>136</v>
      </c>
      <c r="AK126" s="1011" t="s">
        <v>1558</v>
      </c>
      <c r="AL126" s="1011" t="s">
        <v>1559</v>
      </c>
      <c r="AO126" s="1011" t="s">
        <v>1560</v>
      </c>
      <c r="AP126" s="1011" t="s">
        <v>1561</v>
      </c>
      <c r="AQ126" s="1011" t="s">
        <v>1562</v>
      </c>
    </row>
    <row r="127" spans="1:43" ht="15.75" customHeight="1" x14ac:dyDescent="0.2">
      <c r="A127" s="1018" t="s">
        <v>139</v>
      </c>
      <c r="B127" s="1019" t="s">
        <v>138</v>
      </c>
      <c r="C127" s="1020">
        <v>0.4</v>
      </c>
      <c r="D127" s="597" t="s">
        <v>685</v>
      </c>
      <c r="E127" s="597" t="s">
        <v>686</v>
      </c>
      <c r="F127" s="1020">
        <v>0.09</v>
      </c>
      <c r="G127" s="597" t="s">
        <v>682</v>
      </c>
      <c r="H127" s="597" t="s">
        <v>683</v>
      </c>
      <c r="I127" s="1020">
        <v>0.01</v>
      </c>
      <c r="J127" s="1020">
        <f t="shared" si="3"/>
        <v>0.5</v>
      </c>
      <c r="K127" s="1020"/>
      <c r="L127" s="1020">
        <v>0.4</v>
      </c>
      <c r="M127" s="597" t="s">
        <v>685</v>
      </c>
      <c r="N127" s="597" t="s">
        <v>686</v>
      </c>
      <c r="O127" s="1020">
        <v>0.09</v>
      </c>
      <c r="P127" s="597" t="s">
        <v>682</v>
      </c>
      <c r="Q127" s="597" t="s">
        <v>683</v>
      </c>
      <c r="R127" s="1020">
        <v>0.01</v>
      </c>
      <c r="S127" s="1020">
        <f t="shared" si="4"/>
        <v>0.5</v>
      </c>
      <c r="T127" s="947"/>
      <c r="U127" s="877"/>
      <c r="V127" s="877"/>
      <c r="W127" s="877"/>
      <c r="X127" s="1015"/>
      <c r="Y127" s="924"/>
      <c r="Z127" s="883"/>
      <c r="AA127" s="925"/>
      <c r="AB127" s="912"/>
      <c r="AC127" s="1011" t="s">
        <v>1206</v>
      </c>
      <c r="AD127" s="1011" t="s">
        <v>1206</v>
      </c>
      <c r="AE127" s="1011" t="s">
        <v>1206</v>
      </c>
      <c r="AF127" s="1011" t="s">
        <v>1206</v>
      </c>
      <c r="AH127" s="1011" t="b">
        <f t="shared" si="5"/>
        <v>1</v>
      </c>
      <c r="AI127" s="1011" t="s">
        <v>139</v>
      </c>
      <c r="AJ127" s="1011" t="s">
        <v>138</v>
      </c>
      <c r="AK127" s="1011" t="s">
        <v>1563</v>
      </c>
      <c r="AL127" s="1011" t="s">
        <v>1564</v>
      </c>
    </row>
    <row r="128" spans="1:43" ht="15" x14ac:dyDescent="0.2">
      <c r="A128" s="1018" t="s">
        <v>141</v>
      </c>
      <c r="B128" s="1019" t="s">
        <v>633</v>
      </c>
      <c r="C128" s="1020">
        <v>0.49</v>
      </c>
      <c r="D128" s="597" t="s">
        <v>600</v>
      </c>
      <c r="E128" s="597" t="s">
        <v>601</v>
      </c>
      <c r="F128" s="1020">
        <v>0</v>
      </c>
      <c r="G128" s="597" t="s">
        <v>634</v>
      </c>
      <c r="H128" s="597" t="s">
        <v>635</v>
      </c>
      <c r="I128" s="1020">
        <v>0.01</v>
      </c>
      <c r="J128" s="1020">
        <f t="shared" si="3"/>
        <v>0.5</v>
      </c>
      <c r="K128" s="1020"/>
      <c r="L128" s="1020">
        <v>0.49</v>
      </c>
      <c r="M128" s="597" t="s">
        <v>600</v>
      </c>
      <c r="N128" s="597" t="s">
        <v>601</v>
      </c>
      <c r="O128" s="1020">
        <v>0</v>
      </c>
      <c r="P128" s="597" t="s">
        <v>634</v>
      </c>
      <c r="Q128" s="597" t="s">
        <v>635</v>
      </c>
      <c r="R128" s="1020">
        <v>0.01</v>
      </c>
      <c r="S128" s="1020">
        <f t="shared" si="4"/>
        <v>0.5</v>
      </c>
      <c r="T128" s="947" t="s">
        <v>1005</v>
      </c>
      <c r="U128" s="877" t="s">
        <v>985</v>
      </c>
      <c r="V128" s="877"/>
      <c r="W128" s="877"/>
      <c r="X128" s="937" t="s">
        <v>1005</v>
      </c>
      <c r="Y128" s="926">
        <v>0</v>
      </c>
      <c r="Z128" s="888"/>
      <c r="AA128" s="927"/>
      <c r="AB128" s="914" t="s">
        <v>1005</v>
      </c>
      <c r="AC128" s="1011" t="s">
        <v>1206</v>
      </c>
      <c r="AD128" s="1011" t="s">
        <v>1206</v>
      </c>
      <c r="AE128" s="1011" t="s">
        <v>1206</v>
      </c>
      <c r="AF128" s="1011" t="s">
        <v>1206</v>
      </c>
      <c r="AH128" s="1011" t="b">
        <f t="shared" si="5"/>
        <v>1</v>
      </c>
      <c r="AI128" s="1011" t="s">
        <v>141</v>
      </c>
      <c r="AJ128" s="1011" t="s">
        <v>140</v>
      </c>
      <c r="AK128" s="1011" t="s">
        <v>1565</v>
      </c>
      <c r="AL128" s="1011" t="s">
        <v>1566</v>
      </c>
    </row>
    <row r="129" spans="1:43" ht="15.75" customHeight="1" x14ac:dyDescent="0.2">
      <c r="A129" s="1018" t="s">
        <v>143</v>
      </c>
      <c r="B129" s="1019" t="s">
        <v>142</v>
      </c>
      <c r="C129" s="1020">
        <v>0.4</v>
      </c>
      <c r="D129" s="597" t="s">
        <v>667</v>
      </c>
      <c r="E129" s="597" t="s">
        <v>668</v>
      </c>
      <c r="F129" s="1020">
        <v>0.09</v>
      </c>
      <c r="G129" s="597" t="s">
        <v>665</v>
      </c>
      <c r="H129" s="597" t="s">
        <v>666</v>
      </c>
      <c r="I129" s="1020">
        <v>0.01</v>
      </c>
      <c r="J129" s="1020">
        <f t="shared" si="3"/>
        <v>0.5</v>
      </c>
      <c r="K129" s="1020"/>
      <c r="L129" s="1020">
        <v>0.4</v>
      </c>
      <c r="M129" s="597" t="s">
        <v>667</v>
      </c>
      <c r="N129" s="597" t="s">
        <v>668</v>
      </c>
      <c r="O129" s="1020">
        <v>0.09</v>
      </c>
      <c r="P129" s="597" t="s">
        <v>665</v>
      </c>
      <c r="Q129" s="597" t="s">
        <v>666</v>
      </c>
      <c r="R129" s="1020">
        <v>0.01</v>
      </c>
      <c r="S129" s="1020">
        <f t="shared" si="4"/>
        <v>0.5</v>
      </c>
      <c r="T129" s="947"/>
      <c r="U129" s="877"/>
      <c r="V129" s="877"/>
      <c r="W129" s="877"/>
      <c r="X129" s="1015"/>
      <c r="Y129" s="924"/>
      <c r="Z129" s="883"/>
      <c r="AA129" s="925"/>
      <c r="AB129" s="912"/>
      <c r="AC129" s="1011" t="s">
        <v>1206</v>
      </c>
      <c r="AD129" s="1011" t="s">
        <v>1206</v>
      </c>
      <c r="AE129" s="1011" t="s">
        <v>1206</v>
      </c>
      <c r="AF129" s="1011" t="s">
        <v>1206</v>
      </c>
      <c r="AH129" s="1011" t="b">
        <f t="shared" si="5"/>
        <v>1</v>
      </c>
      <c r="AI129" s="1011" t="s">
        <v>143</v>
      </c>
      <c r="AJ129" s="1011" t="s">
        <v>142</v>
      </c>
      <c r="AK129" s="1011" t="s">
        <v>1567</v>
      </c>
      <c r="AL129" s="1011" t="s">
        <v>1568</v>
      </c>
      <c r="AM129" s="1011" t="s">
        <v>1569</v>
      </c>
    </row>
    <row r="130" spans="1:43" ht="15.75" customHeight="1" x14ac:dyDescent="0.2">
      <c r="A130" s="1018" t="s">
        <v>145</v>
      </c>
      <c r="B130" s="1019" t="s">
        <v>144</v>
      </c>
      <c r="C130" s="1020">
        <v>0.4</v>
      </c>
      <c r="D130" s="597" t="s">
        <v>685</v>
      </c>
      <c r="E130" s="597" t="s">
        <v>686</v>
      </c>
      <c r="F130" s="1020">
        <v>0.09</v>
      </c>
      <c r="G130" s="597" t="s">
        <v>682</v>
      </c>
      <c r="H130" s="597" t="s">
        <v>683</v>
      </c>
      <c r="I130" s="1020">
        <v>0.01</v>
      </c>
      <c r="J130" s="1020">
        <f t="shared" si="3"/>
        <v>0.5</v>
      </c>
      <c r="K130" s="1020"/>
      <c r="L130" s="1020">
        <v>0.4</v>
      </c>
      <c r="M130" s="597" t="s">
        <v>685</v>
      </c>
      <c r="N130" s="597" t="s">
        <v>686</v>
      </c>
      <c r="O130" s="1020">
        <v>0.09</v>
      </c>
      <c r="P130" s="597" t="s">
        <v>682</v>
      </c>
      <c r="Q130" s="597" t="s">
        <v>683</v>
      </c>
      <c r="R130" s="1020">
        <v>0.01</v>
      </c>
      <c r="S130" s="1020">
        <f t="shared" si="4"/>
        <v>0.5</v>
      </c>
      <c r="T130" s="947"/>
      <c r="U130" s="877"/>
      <c r="V130" s="877"/>
      <c r="W130" s="877"/>
      <c r="X130" s="1015"/>
      <c r="Y130" s="924"/>
      <c r="Z130" s="883"/>
      <c r="AA130" s="925"/>
      <c r="AB130" s="912"/>
      <c r="AC130" s="1011" t="s">
        <v>1206</v>
      </c>
      <c r="AD130" s="1011" t="s">
        <v>1206</v>
      </c>
      <c r="AE130" s="1011" t="s">
        <v>1206</v>
      </c>
      <c r="AF130" s="1011" t="s">
        <v>1206</v>
      </c>
      <c r="AH130" s="1011" t="b">
        <f t="shared" si="5"/>
        <v>1</v>
      </c>
      <c r="AI130" s="1011" t="s">
        <v>145</v>
      </c>
      <c r="AJ130" s="1011" t="s">
        <v>144</v>
      </c>
      <c r="AK130" s="1011" t="s">
        <v>1570</v>
      </c>
      <c r="AL130" s="1011" t="s">
        <v>1466</v>
      </c>
    </row>
    <row r="131" spans="1:43" ht="15.75" customHeight="1" x14ac:dyDescent="0.2">
      <c r="A131" s="1018" t="s">
        <v>147</v>
      </c>
      <c r="B131" s="1019" t="s">
        <v>146</v>
      </c>
      <c r="C131" s="1020">
        <v>0.3</v>
      </c>
      <c r="D131" s="597" t="s">
        <v>779</v>
      </c>
      <c r="E131" s="597" t="s">
        <v>780</v>
      </c>
      <c r="F131" s="1020">
        <v>0.37</v>
      </c>
      <c r="G131" s="597" t="s">
        <v>600</v>
      </c>
      <c r="H131" s="597" t="s">
        <v>600</v>
      </c>
      <c r="I131" s="1020">
        <v>0</v>
      </c>
      <c r="J131" s="1020">
        <f t="shared" si="3"/>
        <v>0.66999999999999993</v>
      </c>
      <c r="K131" s="1020"/>
      <c r="L131" s="1020">
        <v>0.3</v>
      </c>
      <c r="M131" s="597" t="s">
        <v>779</v>
      </c>
      <c r="N131" s="597" t="s">
        <v>780</v>
      </c>
      <c r="O131" s="1020">
        <v>0.2</v>
      </c>
      <c r="P131" s="597" t="s">
        <v>600</v>
      </c>
      <c r="Q131" s="597" t="s">
        <v>600</v>
      </c>
      <c r="R131" s="1020">
        <v>0</v>
      </c>
      <c r="S131" s="1020">
        <f t="shared" si="4"/>
        <v>0.5</v>
      </c>
      <c r="T131" s="947"/>
      <c r="U131" s="877"/>
      <c r="V131" s="877"/>
      <c r="W131" s="877"/>
      <c r="X131" s="937" t="s">
        <v>1005</v>
      </c>
      <c r="Y131" s="924"/>
      <c r="Z131" s="883"/>
      <c r="AA131" s="925"/>
      <c r="AB131" s="914" t="s">
        <v>1005</v>
      </c>
      <c r="AC131" s="1011" t="s">
        <v>1206</v>
      </c>
      <c r="AD131" s="1011" t="s">
        <v>1206</v>
      </c>
      <c r="AE131" s="1011" t="s">
        <v>1206</v>
      </c>
      <c r="AF131" s="1011" t="s">
        <v>1206</v>
      </c>
      <c r="AH131" s="1011" t="b">
        <f t="shared" si="5"/>
        <v>1</v>
      </c>
      <c r="AI131" s="1011" t="s">
        <v>147</v>
      </c>
      <c r="AJ131" s="1011" t="s">
        <v>146</v>
      </c>
      <c r="AK131" s="1011" t="s">
        <v>1571</v>
      </c>
      <c r="AL131" s="1011" t="s">
        <v>1572</v>
      </c>
    </row>
    <row r="132" spans="1:43" ht="15" x14ac:dyDescent="0.2">
      <c r="A132" s="1018" t="s">
        <v>149</v>
      </c>
      <c r="B132" s="1019" t="s">
        <v>687</v>
      </c>
      <c r="C132" s="1020">
        <v>0.49</v>
      </c>
      <c r="D132" s="597" t="s">
        <v>600</v>
      </c>
      <c r="E132" s="597" t="s">
        <v>601</v>
      </c>
      <c r="F132" s="1020">
        <v>0</v>
      </c>
      <c r="G132" s="597" t="s">
        <v>688</v>
      </c>
      <c r="H132" s="597" t="s">
        <v>689</v>
      </c>
      <c r="I132" s="1020">
        <v>0.01</v>
      </c>
      <c r="J132" s="1020">
        <f t="shared" si="3"/>
        <v>0.5</v>
      </c>
      <c r="K132" s="1020"/>
      <c r="L132" s="1020">
        <v>0.49</v>
      </c>
      <c r="M132" s="597" t="s">
        <v>600</v>
      </c>
      <c r="N132" s="597" t="s">
        <v>601</v>
      </c>
      <c r="O132" s="1020">
        <v>0</v>
      </c>
      <c r="P132" s="597" t="s">
        <v>688</v>
      </c>
      <c r="Q132" s="597" t="s">
        <v>689</v>
      </c>
      <c r="R132" s="1020">
        <v>0.01</v>
      </c>
      <c r="S132" s="1020">
        <f t="shared" si="4"/>
        <v>0.5</v>
      </c>
      <c r="T132" s="947" t="s">
        <v>1005</v>
      </c>
      <c r="U132" s="877" t="s">
        <v>986</v>
      </c>
      <c r="V132" s="877"/>
      <c r="W132" s="877"/>
      <c r="X132" s="937" t="s">
        <v>1005</v>
      </c>
      <c r="Y132" s="926">
        <v>236492</v>
      </c>
      <c r="Z132" s="888"/>
      <c r="AA132" s="927"/>
      <c r="AB132" s="914" t="s">
        <v>1005</v>
      </c>
      <c r="AC132" s="1011" t="s">
        <v>1206</v>
      </c>
      <c r="AD132" s="1011" t="s">
        <v>1206</v>
      </c>
      <c r="AE132" s="1011" t="s">
        <v>1206</v>
      </c>
      <c r="AF132" s="1011" t="s">
        <v>1206</v>
      </c>
      <c r="AH132" s="1011" t="b">
        <f t="shared" si="5"/>
        <v>1</v>
      </c>
      <c r="AI132" s="1011" t="s">
        <v>149</v>
      </c>
      <c r="AJ132" s="1011" t="s">
        <v>148</v>
      </c>
      <c r="AK132" s="1011" t="s">
        <v>1573</v>
      </c>
      <c r="AL132" s="1011" t="s">
        <v>1574</v>
      </c>
      <c r="AM132" s="1011" t="s">
        <v>1575</v>
      </c>
      <c r="AN132" s="1011" t="s">
        <v>1574</v>
      </c>
      <c r="AO132" s="1011" t="s">
        <v>1576</v>
      </c>
      <c r="AP132" s="1011" t="s">
        <v>1577</v>
      </c>
      <c r="AQ132" s="1011" t="s">
        <v>1578</v>
      </c>
    </row>
    <row r="133" spans="1:43" ht="15.75" customHeight="1" x14ac:dyDescent="0.2">
      <c r="A133" s="1018" t="s">
        <v>151</v>
      </c>
      <c r="B133" s="1019" t="s">
        <v>150</v>
      </c>
      <c r="C133" s="1020">
        <v>0.4</v>
      </c>
      <c r="D133" s="597" t="s">
        <v>692</v>
      </c>
      <c r="E133" s="597" t="s">
        <v>693</v>
      </c>
      <c r="F133" s="1020">
        <v>0.1</v>
      </c>
      <c r="G133" s="597" t="s">
        <v>600</v>
      </c>
      <c r="H133" s="597" t="s">
        <v>639</v>
      </c>
      <c r="I133" s="1020">
        <v>0</v>
      </c>
      <c r="J133" s="1020">
        <f t="shared" si="3"/>
        <v>0.5</v>
      </c>
      <c r="K133" s="1020"/>
      <c r="L133" s="1020">
        <v>0.4</v>
      </c>
      <c r="M133" s="597" t="s">
        <v>692</v>
      </c>
      <c r="N133" s="597" t="s">
        <v>693</v>
      </c>
      <c r="O133" s="1020">
        <v>0.1</v>
      </c>
      <c r="P133" s="597" t="s">
        <v>600</v>
      </c>
      <c r="Q133" s="597" t="s">
        <v>639</v>
      </c>
      <c r="R133" s="1020">
        <v>0</v>
      </c>
      <c r="S133" s="1020">
        <f t="shared" si="4"/>
        <v>0.5</v>
      </c>
      <c r="T133" s="947"/>
      <c r="U133" s="877"/>
      <c r="V133" s="877"/>
      <c r="W133" s="877"/>
      <c r="X133" s="1015"/>
      <c r="Y133" s="924"/>
      <c r="Z133" s="883"/>
      <c r="AA133" s="925"/>
      <c r="AB133" s="912"/>
      <c r="AC133" s="1011" t="s">
        <v>1206</v>
      </c>
      <c r="AD133" s="1011" t="s">
        <v>1206</v>
      </c>
      <c r="AE133" s="1011" t="s">
        <v>1206</v>
      </c>
      <c r="AF133" s="1011" t="s">
        <v>1206</v>
      </c>
      <c r="AH133" s="1011" t="b">
        <f t="shared" si="5"/>
        <v>1</v>
      </c>
      <c r="AI133" s="1011" t="s">
        <v>151</v>
      </c>
      <c r="AJ133" s="1011" t="s">
        <v>150</v>
      </c>
      <c r="AK133" s="1011" t="s">
        <v>1579</v>
      </c>
      <c r="AL133" s="1011" t="s">
        <v>1580</v>
      </c>
      <c r="AM133" s="1011" t="s">
        <v>1581</v>
      </c>
      <c r="AN133" s="1011" t="s">
        <v>1582</v>
      </c>
    </row>
    <row r="134" spans="1:43" ht="15.75" customHeight="1" x14ac:dyDescent="0.2">
      <c r="A134" s="1018" t="s">
        <v>153</v>
      </c>
      <c r="B134" s="1019" t="s">
        <v>152</v>
      </c>
      <c r="C134" s="1020">
        <v>0.4</v>
      </c>
      <c r="D134" s="597" t="s">
        <v>645</v>
      </c>
      <c r="E134" s="597" t="s">
        <v>646</v>
      </c>
      <c r="F134" s="1020">
        <v>0.09</v>
      </c>
      <c r="G134" s="597" t="s">
        <v>643</v>
      </c>
      <c r="H134" s="597" t="s">
        <v>644</v>
      </c>
      <c r="I134" s="1020">
        <v>0.01</v>
      </c>
      <c r="J134" s="1020">
        <f t="shared" ref="J134:J197" si="6">+C134+F134+I134</f>
        <v>0.5</v>
      </c>
      <c r="K134" s="1020"/>
      <c r="L134" s="1020">
        <v>0.4</v>
      </c>
      <c r="M134" s="597" t="s">
        <v>645</v>
      </c>
      <c r="N134" s="597" t="s">
        <v>646</v>
      </c>
      <c r="O134" s="1020">
        <v>0.09</v>
      </c>
      <c r="P134" s="597" t="s">
        <v>643</v>
      </c>
      <c r="Q134" s="597" t="s">
        <v>644</v>
      </c>
      <c r="R134" s="1020">
        <v>0.01</v>
      </c>
      <c r="S134" s="1020">
        <f t="shared" ref="S134:S197" si="7">+L134+O134+R134</f>
        <v>0.5</v>
      </c>
      <c r="T134" s="947"/>
      <c r="U134" s="877"/>
      <c r="V134" s="877"/>
      <c r="W134" s="877"/>
      <c r="X134" s="1015"/>
      <c r="Y134" s="924"/>
      <c r="Z134" s="883"/>
      <c r="AA134" s="925"/>
      <c r="AB134" s="912"/>
      <c r="AC134" s="1011" t="s">
        <v>1206</v>
      </c>
      <c r="AD134" s="1011" t="s">
        <v>1206</v>
      </c>
      <c r="AE134" s="1011" t="s">
        <v>1206</v>
      </c>
      <c r="AF134" s="1011" t="s">
        <v>1206</v>
      </c>
      <c r="AH134" s="1011" t="b">
        <f t="shared" ref="AH134:AH197" si="8">+A134=AI134</f>
        <v>1</v>
      </c>
      <c r="AI134" s="1011" t="s">
        <v>153</v>
      </c>
      <c r="AJ134" s="1011" t="s">
        <v>152</v>
      </c>
      <c r="AK134" s="1011" t="s">
        <v>1583</v>
      </c>
      <c r="AL134" s="1011" t="s">
        <v>1584</v>
      </c>
    </row>
    <row r="135" spans="1:43" ht="15.75" customHeight="1" x14ac:dyDescent="0.2">
      <c r="A135" s="1018" t="s">
        <v>155</v>
      </c>
      <c r="B135" s="1019" t="s">
        <v>154</v>
      </c>
      <c r="C135" s="1020">
        <v>0.3</v>
      </c>
      <c r="D135" s="597" t="s">
        <v>779</v>
      </c>
      <c r="E135" s="597" t="s">
        <v>780</v>
      </c>
      <c r="F135" s="1020">
        <v>0.37</v>
      </c>
      <c r="G135" s="597" t="s">
        <v>600</v>
      </c>
      <c r="H135" s="597" t="s">
        <v>600</v>
      </c>
      <c r="I135" s="1020">
        <v>0</v>
      </c>
      <c r="J135" s="1020">
        <f t="shared" si="6"/>
        <v>0.66999999999999993</v>
      </c>
      <c r="K135" s="1020"/>
      <c r="L135" s="1020">
        <v>0.3</v>
      </c>
      <c r="M135" s="597" t="s">
        <v>779</v>
      </c>
      <c r="N135" s="597" t="s">
        <v>780</v>
      </c>
      <c r="O135" s="1020">
        <v>0.2</v>
      </c>
      <c r="P135" s="597" t="s">
        <v>600</v>
      </c>
      <c r="Q135" s="597" t="s">
        <v>600</v>
      </c>
      <c r="R135" s="1020">
        <v>0</v>
      </c>
      <c r="S135" s="1020">
        <f t="shared" si="7"/>
        <v>0.5</v>
      </c>
      <c r="T135" s="947"/>
      <c r="U135" s="877"/>
      <c r="V135" s="877"/>
      <c r="W135" s="877"/>
      <c r="X135" s="937" t="s">
        <v>1005</v>
      </c>
      <c r="Y135" s="924"/>
      <c r="Z135" s="883"/>
      <c r="AA135" s="925"/>
      <c r="AB135" s="914" t="s">
        <v>1005</v>
      </c>
      <c r="AC135" s="1011" t="s">
        <v>1206</v>
      </c>
      <c r="AD135" s="1011" t="s">
        <v>1206</v>
      </c>
      <c r="AE135" s="1011" t="s">
        <v>1206</v>
      </c>
      <c r="AF135" s="1011" t="s">
        <v>1206</v>
      </c>
      <c r="AH135" s="1011" t="b">
        <f t="shared" si="8"/>
        <v>1</v>
      </c>
      <c r="AI135" s="1011" t="s">
        <v>155</v>
      </c>
      <c r="AJ135" s="1011" t="s">
        <v>154</v>
      </c>
      <c r="AK135" s="1011" t="s">
        <v>1585</v>
      </c>
      <c r="AL135" s="1011" t="s">
        <v>1586</v>
      </c>
    </row>
    <row r="136" spans="1:43" ht="15" x14ac:dyDescent="0.2">
      <c r="A136" s="1018" t="s">
        <v>157</v>
      </c>
      <c r="B136" s="1019" t="s">
        <v>719</v>
      </c>
      <c r="C136" s="1020">
        <v>0.4</v>
      </c>
      <c r="D136" s="597" t="s">
        <v>717</v>
      </c>
      <c r="E136" s="597" t="s">
        <v>718</v>
      </c>
      <c r="F136" s="1020">
        <v>0.09</v>
      </c>
      <c r="G136" s="597" t="s">
        <v>714</v>
      </c>
      <c r="H136" s="597" t="s">
        <v>715</v>
      </c>
      <c r="I136" s="1020">
        <v>0.01</v>
      </c>
      <c r="J136" s="1020">
        <f t="shared" si="6"/>
        <v>0.5</v>
      </c>
      <c r="K136" s="1020"/>
      <c r="L136" s="1020">
        <v>0.4</v>
      </c>
      <c r="M136" s="597" t="s">
        <v>717</v>
      </c>
      <c r="N136" s="597" t="s">
        <v>718</v>
      </c>
      <c r="O136" s="1020">
        <v>0.09</v>
      </c>
      <c r="P136" s="597" t="s">
        <v>714</v>
      </c>
      <c r="Q136" s="597" t="s">
        <v>715</v>
      </c>
      <c r="R136" s="1020">
        <v>0.01</v>
      </c>
      <c r="S136" s="1020">
        <f t="shared" si="7"/>
        <v>0.5</v>
      </c>
      <c r="T136" s="947" t="s">
        <v>1005</v>
      </c>
      <c r="U136" s="877" t="s">
        <v>987</v>
      </c>
      <c r="V136" s="877" t="s">
        <v>1204</v>
      </c>
      <c r="W136" s="877"/>
      <c r="X136" s="1015"/>
      <c r="Y136" s="926">
        <v>915012</v>
      </c>
      <c r="Z136" s="964">
        <v>0</v>
      </c>
      <c r="AA136" s="927"/>
      <c r="AB136" s="912"/>
      <c r="AC136" s="1011" t="s">
        <v>1206</v>
      </c>
      <c r="AD136" s="1011" t="s">
        <v>1206</v>
      </c>
      <c r="AE136" s="1011" t="s">
        <v>1206</v>
      </c>
      <c r="AF136" s="1011" t="s">
        <v>1206</v>
      </c>
      <c r="AH136" s="1011" t="b">
        <f t="shared" si="8"/>
        <v>1</v>
      </c>
      <c r="AI136" s="1011" t="s">
        <v>157</v>
      </c>
      <c r="AJ136" s="1011" t="s">
        <v>156</v>
      </c>
      <c r="AK136" s="1011" t="s">
        <v>1587</v>
      </c>
      <c r="AL136" s="1011" t="s">
        <v>1588</v>
      </c>
    </row>
    <row r="137" spans="1:43" ht="15.75" customHeight="1" x14ac:dyDescent="0.2">
      <c r="A137" s="1018" t="s">
        <v>159</v>
      </c>
      <c r="B137" s="1019" t="s">
        <v>158</v>
      </c>
      <c r="C137" s="1020">
        <v>0.4</v>
      </c>
      <c r="D137" s="597" t="s">
        <v>760</v>
      </c>
      <c r="E137" s="597" t="s">
        <v>761</v>
      </c>
      <c r="F137" s="1020">
        <v>0.1</v>
      </c>
      <c r="G137" s="597" t="s">
        <v>600</v>
      </c>
      <c r="H137" s="597" t="s">
        <v>639</v>
      </c>
      <c r="I137" s="1020">
        <v>0</v>
      </c>
      <c r="J137" s="1020">
        <f t="shared" si="6"/>
        <v>0.5</v>
      </c>
      <c r="K137" s="1020"/>
      <c r="L137" s="1020">
        <v>0.4</v>
      </c>
      <c r="M137" s="597" t="s">
        <v>760</v>
      </c>
      <c r="N137" s="597" t="s">
        <v>761</v>
      </c>
      <c r="O137" s="1020">
        <v>0.1</v>
      </c>
      <c r="P137" s="597" t="s">
        <v>600</v>
      </c>
      <c r="Q137" s="597" t="s">
        <v>639</v>
      </c>
      <c r="R137" s="1020">
        <v>0</v>
      </c>
      <c r="S137" s="1020">
        <f t="shared" si="7"/>
        <v>0.5</v>
      </c>
      <c r="T137" s="947"/>
      <c r="U137" s="877"/>
      <c r="V137" s="877"/>
      <c r="W137" s="877"/>
      <c r="X137" s="1015"/>
      <c r="Y137" s="924"/>
      <c r="Z137" s="883"/>
      <c r="AA137" s="925"/>
      <c r="AB137" s="912"/>
      <c r="AC137" s="1011" t="s">
        <v>1206</v>
      </c>
      <c r="AD137" s="1011" t="s">
        <v>1206</v>
      </c>
      <c r="AE137" s="1011" t="s">
        <v>1206</v>
      </c>
      <c r="AF137" s="1011" t="s">
        <v>1206</v>
      </c>
      <c r="AH137" s="1011" t="b">
        <f t="shared" si="8"/>
        <v>1</v>
      </c>
      <c r="AI137" s="1011" t="s">
        <v>159</v>
      </c>
      <c r="AJ137" s="1011" t="s">
        <v>158</v>
      </c>
      <c r="AK137" s="1011" t="s">
        <v>1215</v>
      </c>
      <c r="AL137" s="1011" t="s">
        <v>1216</v>
      </c>
    </row>
    <row r="138" spans="1:43" ht="15.75" customHeight="1" x14ac:dyDescent="0.2">
      <c r="A138" s="1018" t="s">
        <v>161</v>
      </c>
      <c r="B138" s="1019" t="s">
        <v>160</v>
      </c>
      <c r="C138" s="1020">
        <v>0.3</v>
      </c>
      <c r="D138" s="597" t="s">
        <v>779</v>
      </c>
      <c r="E138" s="597" t="s">
        <v>780</v>
      </c>
      <c r="F138" s="1020">
        <v>0.37</v>
      </c>
      <c r="G138" s="597" t="s">
        <v>600</v>
      </c>
      <c r="H138" s="597" t="s">
        <v>600</v>
      </c>
      <c r="I138" s="1020">
        <v>0</v>
      </c>
      <c r="J138" s="1020">
        <f t="shared" si="6"/>
        <v>0.66999999999999993</v>
      </c>
      <c r="K138" s="1020"/>
      <c r="L138" s="1020">
        <v>0.3</v>
      </c>
      <c r="M138" s="597" t="s">
        <v>779</v>
      </c>
      <c r="N138" s="597" t="s">
        <v>780</v>
      </c>
      <c r="O138" s="1020">
        <v>0.2</v>
      </c>
      <c r="P138" s="597" t="s">
        <v>600</v>
      </c>
      <c r="Q138" s="597" t="s">
        <v>600</v>
      </c>
      <c r="R138" s="1020">
        <v>0</v>
      </c>
      <c r="S138" s="1020">
        <f t="shared" si="7"/>
        <v>0.5</v>
      </c>
      <c r="T138" s="947"/>
      <c r="U138" s="877"/>
      <c r="V138" s="877"/>
      <c r="W138" s="877"/>
      <c r="X138" s="937" t="s">
        <v>1005</v>
      </c>
      <c r="Y138" s="924"/>
      <c r="Z138" s="883"/>
      <c r="AA138" s="925"/>
      <c r="AB138" s="914" t="s">
        <v>1005</v>
      </c>
      <c r="AC138" s="1011" t="s">
        <v>1206</v>
      </c>
      <c r="AD138" s="1011" t="s">
        <v>1206</v>
      </c>
      <c r="AE138" s="1011" t="s">
        <v>1206</v>
      </c>
      <c r="AF138" s="1011" t="s">
        <v>1206</v>
      </c>
      <c r="AH138" s="1011" t="b">
        <f t="shared" si="8"/>
        <v>1</v>
      </c>
      <c r="AI138" s="1011" t="s">
        <v>161</v>
      </c>
      <c r="AJ138" s="1011" t="s">
        <v>160</v>
      </c>
      <c r="AK138" s="1011" t="s">
        <v>1589</v>
      </c>
      <c r="AL138" s="1011" t="s">
        <v>1590</v>
      </c>
    </row>
    <row r="139" spans="1:43" ht="15" x14ac:dyDescent="0.2">
      <c r="A139" s="1018" t="s">
        <v>163</v>
      </c>
      <c r="B139" s="1019" t="s">
        <v>162</v>
      </c>
      <c r="C139" s="1020">
        <v>0.4</v>
      </c>
      <c r="D139" s="597" t="s">
        <v>626</v>
      </c>
      <c r="E139" s="597" t="s">
        <v>627</v>
      </c>
      <c r="F139" s="1020">
        <v>0.09</v>
      </c>
      <c r="G139" s="597" t="s">
        <v>624</v>
      </c>
      <c r="H139" s="597" t="s">
        <v>625</v>
      </c>
      <c r="I139" s="1020">
        <v>0.01</v>
      </c>
      <c r="J139" s="1020">
        <f t="shared" si="6"/>
        <v>0.5</v>
      </c>
      <c r="K139" s="1020"/>
      <c r="L139" s="1020">
        <v>0.4</v>
      </c>
      <c r="M139" s="597" t="s">
        <v>626</v>
      </c>
      <c r="N139" s="597" t="s">
        <v>627</v>
      </c>
      <c r="O139" s="1020">
        <v>0.09</v>
      </c>
      <c r="P139" s="597" t="s">
        <v>624</v>
      </c>
      <c r="Q139" s="597" t="s">
        <v>625</v>
      </c>
      <c r="R139" s="1020">
        <v>0.01</v>
      </c>
      <c r="S139" s="1020">
        <f t="shared" si="7"/>
        <v>0.5</v>
      </c>
      <c r="T139" s="947" t="s">
        <v>1005</v>
      </c>
      <c r="U139" s="877" t="s">
        <v>988</v>
      </c>
      <c r="V139" s="877"/>
      <c r="W139" s="877"/>
      <c r="X139" s="1015"/>
      <c r="Y139" s="926">
        <v>642108</v>
      </c>
      <c r="Z139" s="888"/>
      <c r="AA139" s="927"/>
      <c r="AB139" s="912"/>
      <c r="AC139" s="1011" t="s">
        <v>1206</v>
      </c>
      <c r="AD139" s="1011" t="s">
        <v>1206</v>
      </c>
      <c r="AE139" s="1011" t="s">
        <v>1206</v>
      </c>
      <c r="AF139" s="1011" t="s">
        <v>1005</v>
      </c>
      <c r="AG139" s="1112">
        <v>60290412.359207466</v>
      </c>
      <c r="AH139" s="1011" t="b">
        <f t="shared" si="8"/>
        <v>1</v>
      </c>
      <c r="AI139" s="1011" t="s">
        <v>163</v>
      </c>
      <c r="AJ139" s="1011" t="s">
        <v>162</v>
      </c>
      <c r="AK139" s="1011" t="s">
        <v>1591</v>
      </c>
      <c r="AL139" s="1011" t="s">
        <v>1592</v>
      </c>
      <c r="AM139" s="1011" t="s">
        <v>1593</v>
      </c>
      <c r="AN139" s="1011" t="s">
        <v>1592</v>
      </c>
    </row>
    <row r="140" spans="1:43" ht="15.75" customHeight="1" x14ac:dyDescent="0.2">
      <c r="A140" s="1018" t="s">
        <v>165</v>
      </c>
      <c r="B140" s="1019" t="s">
        <v>164</v>
      </c>
      <c r="C140" s="1020">
        <v>0.4</v>
      </c>
      <c r="D140" s="597" t="s">
        <v>711</v>
      </c>
      <c r="E140" s="597" t="s">
        <v>712</v>
      </c>
      <c r="F140" s="1020">
        <v>0.09</v>
      </c>
      <c r="G140" s="597" t="s">
        <v>708</v>
      </c>
      <c r="H140" s="597" t="s">
        <v>709</v>
      </c>
      <c r="I140" s="1020">
        <v>0.01</v>
      </c>
      <c r="J140" s="1020">
        <f t="shared" si="6"/>
        <v>0.5</v>
      </c>
      <c r="K140" s="1020"/>
      <c r="L140" s="1020">
        <v>0.4</v>
      </c>
      <c r="M140" s="597" t="s">
        <v>711</v>
      </c>
      <c r="N140" s="597" t="s">
        <v>712</v>
      </c>
      <c r="O140" s="1020">
        <v>0.09</v>
      </c>
      <c r="P140" s="597" t="s">
        <v>708</v>
      </c>
      <c r="Q140" s="597" t="s">
        <v>709</v>
      </c>
      <c r="R140" s="1020">
        <v>0.01</v>
      </c>
      <c r="S140" s="1020">
        <f t="shared" si="7"/>
        <v>0.5</v>
      </c>
      <c r="T140" s="947"/>
      <c r="U140" s="877"/>
      <c r="V140" s="877"/>
      <c r="W140" s="877"/>
      <c r="X140" s="1015"/>
      <c r="Y140" s="924"/>
      <c r="Z140" s="883"/>
      <c r="AA140" s="925"/>
      <c r="AB140" s="912"/>
      <c r="AC140" s="1011" t="s">
        <v>1206</v>
      </c>
      <c r="AD140" s="1011" t="s">
        <v>1206</v>
      </c>
      <c r="AE140" s="1011" t="s">
        <v>1206</v>
      </c>
      <c r="AF140" s="1011" t="s">
        <v>1206</v>
      </c>
      <c r="AH140" s="1011" t="b">
        <f t="shared" si="8"/>
        <v>1</v>
      </c>
      <c r="AI140" s="1011" t="s">
        <v>165</v>
      </c>
      <c r="AJ140" s="1011" t="s">
        <v>164</v>
      </c>
      <c r="AK140" s="1011" t="s">
        <v>1594</v>
      </c>
      <c r="AL140" s="1011" t="s">
        <v>1595</v>
      </c>
      <c r="AO140" s="1011" t="s">
        <v>1595</v>
      </c>
      <c r="AP140" s="1011" t="s">
        <v>1596</v>
      </c>
      <c r="AQ140" s="1011" t="s">
        <v>1597</v>
      </c>
    </row>
    <row r="141" spans="1:43" ht="15" x14ac:dyDescent="0.2">
      <c r="A141" s="1018" t="s">
        <v>167</v>
      </c>
      <c r="B141" s="1019" t="s">
        <v>166</v>
      </c>
      <c r="C141" s="1020">
        <v>0.4</v>
      </c>
      <c r="D141" s="597" t="s">
        <v>751</v>
      </c>
      <c r="E141" s="597" t="s">
        <v>752</v>
      </c>
      <c r="F141" s="1020">
        <v>0.1</v>
      </c>
      <c r="G141" s="597" t="s">
        <v>600</v>
      </c>
      <c r="H141" s="597" t="s">
        <v>639</v>
      </c>
      <c r="I141" s="1020">
        <v>0</v>
      </c>
      <c r="J141" s="1020">
        <f t="shared" si="6"/>
        <v>0.5</v>
      </c>
      <c r="K141" s="1020"/>
      <c r="L141" s="1020">
        <v>0.4</v>
      </c>
      <c r="M141" s="597" t="s">
        <v>751</v>
      </c>
      <c r="N141" s="597" t="s">
        <v>752</v>
      </c>
      <c r="O141" s="1020">
        <v>0.1</v>
      </c>
      <c r="P141" s="597" t="s">
        <v>600</v>
      </c>
      <c r="Q141" s="597" t="s">
        <v>639</v>
      </c>
      <c r="R141" s="1020">
        <v>0</v>
      </c>
      <c r="S141" s="1020">
        <f t="shared" si="7"/>
        <v>0.5</v>
      </c>
      <c r="T141" s="947" t="s">
        <v>1005</v>
      </c>
      <c r="U141" s="887" t="s">
        <v>1162</v>
      </c>
      <c r="V141" s="877"/>
      <c r="W141" s="877"/>
      <c r="X141" s="1015"/>
      <c r="Y141" s="1057">
        <v>186217</v>
      </c>
      <c r="Z141" s="964"/>
      <c r="AA141" s="1023"/>
      <c r="AB141" s="912"/>
      <c r="AC141" s="1011" t="s">
        <v>1206</v>
      </c>
      <c r="AD141" s="1011" t="s">
        <v>1206</v>
      </c>
      <c r="AE141" s="1011" t="s">
        <v>1206</v>
      </c>
      <c r="AF141" s="1011" t="s">
        <v>1206</v>
      </c>
      <c r="AH141" s="1011" t="b">
        <f t="shared" si="8"/>
        <v>1</v>
      </c>
      <c r="AI141" s="1011" t="s">
        <v>167</v>
      </c>
      <c r="AJ141" s="1011" t="s">
        <v>166</v>
      </c>
      <c r="AK141" s="1011" t="s">
        <v>1230</v>
      </c>
      <c r="AL141" s="1011" t="s">
        <v>1231</v>
      </c>
    </row>
    <row r="142" spans="1:43" ht="15.75" customHeight="1" x14ac:dyDescent="0.2">
      <c r="A142" s="1018" t="s">
        <v>169</v>
      </c>
      <c r="B142" s="1021" t="s">
        <v>700</v>
      </c>
      <c r="C142" s="1020">
        <v>0.5</v>
      </c>
      <c r="D142" s="597" t="s">
        <v>600</v>
      </c>
      <c r="E142" s="597" t="s">
        <v>601</v>
      </c>
      <c r="F142" s="1020">
        <v>0</v>
      </c>
      <c r="G142" s="597" t="s">
        <v>600</v>
      </c>
      <c r="H142" s="597" t="s">
        <v>639</v>
      </c>
      <c r="I142" s="1020">
        <v>0</v>
      </c>
      <c r="J142" s="1020">
        <f t="shared" si="6"/>
        <v>0.5</v>
      </c>
      <c r="K142" s="1020"/>
      <c r="L142" s="1020">
        <v>0.5</v>
      </c>
      <c r="M142" s="597" t="s">
        <v>600</v>
      </c>
      <c r="N142" s="597" t="s">
        <v>601</v>
      </c>
      <c r="O142" s="1020">
        <v>0</v>
      </c>
      <c r="P142" s="597" t="s">
        <v>600</v>
      </c>
      <c r="Q142" s="597" t="s">
        <v>639</v>
      </c>
      <c r="R142" s="1020">
        <v>0</v>
      </c>
      <c r="S142" s="1020">
        <f t="shared" si="7"/>
        <v>0.5</v>
      </c>
      <c r="T142" s="947"/>
      <c r="U142" s="877"/>
      <c r="V142" s="877"/>
      <c r="W142" s="877"/>
      <c r="X142" s="937" t="s">
        <v>1005</v>
      </c>
      <c r="Y142" s="924"/>
      <c r="Z142" s="883"/>
      <c r="AA142" s="925"/>
      <c r="AB142" s="914" t="s">
        <v>1005</v>
      </c>
      <c r="AC142" s="1011" t="s">
        <v>1206</v>
      </c>
      <c r="AD142" s="1011" t="s">
        <v>1206</v>
      </c>
      <c r="AE142" s="1011" t="s">
        <v>1206</v>
      </c>
      <c r="AF142" s="1011" t="s">
        <v>1206</v>
      </c>
      <c r="AH142" s="1011" t="b">
        <f t="shared" si="8"/>
        <v>1</v>
      </c>
      <c r="AI142" s="1011" t="s">
        <v>169</v>
      </c>
      <c r="AJ142" s="1011" t="s">
        <v>168</v>
      </c>
      <c r="AK142" s="1011" t="s">
        <v>1598</v>
      </c>
      <c r="AL142" s="1011" t="s">
        <v>1599</v>
      </c>
    </row>
    <row r="143" spans="1:43" ht="15.75" customHeight="1" x14ac:dyDescent="0.2">
      <c r="A143" s="1018" t="s">
        <v>171</v>
      </c>
      <c r="B143" s="1019" t="s">
        <v>170</v>
      </c>
      <c r="C143" s="1020">
        <v>0.5</v>
      </c>
      <c r="D143" s="597" t="s">
        <v>600</v>
      </c>
      <c r="E143" s="597" t="s">
        <v>601</v>
      </c>
      <c r="F143" s="1020">
        <v>0</v>
      </c>
      <c r="G143" s="597" t="s">
        <v>600</v>
      </c>
      <c r="H143" s="597" t="s">
        <v>639</v>
      </c>
      <c r="I143" s="1020">
        <v>0</v>
      </c>
      <c r="J143" s="1020">
        <f t="shared" si="6"/>
        <v>0.5</v>
      </c>
      <c r="K143" s="1020"/>
      <c r="L143" s="1020">
        <v>0.5</v>
      </c>
      <c r="M143" s="597" t="s">
        <v>600</v>
      </c>
      <c r="N143" s="597" t="s">
        <v>601</v>
      </c>
      <c r="O143" s="1020">
        <v>0</v>
      </c>
      <c r="P143" s="597" t="s">
        <v>600</v>
      </c>
      <c r="Q143" s="597" t="s">
        <v>639</v>
      </c>
      <c r="R143" s="1020">
        <v>0</v>
      </c>
      <c r="S143" s="1020">
        <f t="shared" si="7"/>
        <v>0.5</v>
      </c>
      <c r="T143" s="947"/>
      <c r="U143" s="877"/>
      <c r="V143" s="877"/>
      <c r="W143" s="877"/>
      <c r="X143" s="937" t="s">
        <v>1005</v>
      </c>
      <c r="Y143" s="924"/>
      <c r="Z143" s="883"/>
      <c r="AA143" s="925"/>
      <c r="AB143" s="914" t="s">
        <v>1005</v>
      </c>
      <c r="AC143" s="1011" t="s">
        <v>1206</v>
      </c>
      <c r="AD143" s="1011" t="s">
        <v>1206</v>
      </c>
      <c r="AE143" s="1011" t="s">
        <v>1206</v>
      </c>
      <c r="AF143" s="1011" t="s">
        <v>1206</v>
      </c>
      <c r="AH143" s="1011" t="b">
        <f t="shared" si="8"/>
        <v>1</v>
      </c>
      <c r="AI143" s="1011" t="s">
        <v>171</v>
      </c>
      <c r="AJ143" s="1011" t="s">
        <v>170</v>
      </c>
      <c r="AK143" s="1011" t="s">
        <v>1600</v>
      </c>
      <c r="AL143" s="1011" t="s">
        <v>1601</v>
      </c>
      <c r="AM143" s="1011" t="s">
        <v>1602</v>
      </c>
      <c r="AN143" s="1011" t="s">
        <v>1603</v>
      </c>
      <c r="AQ143" s="1011" t="s">
        <v>1604</v>
      </c>
    </row>
    <row r="144" spans="1:43" ht="15.75" customHeight="1" x14ac:dyDescent="0.2">
      <c r="A144" s="1018" t="s">
        <v>173</v>
      </c>
      <c r="B144" s="1019" t="s">
        <v>172</v>
      </c>
      <c r="C144" s="1020">
        <v>0.3</v>
      </c>
      <c r="D144" s="597" t="s">
        <v>779</v>
      </c>
      <c r="E144" s="597" t="s">
        <v>780</v>
      </c>
      <c r="F144" s="1020">
        <v>0.37</v>
      </c>
      <c r="G144" s="597" t="s">
        <v>600</v>
      </c>
      <c r="H144" s="597" t="s">
        <v>600</v>
      </c>
      <c r="I144" s="1020">
        <v>0</v>
      </c>
      <c r="J144" s="1020">
        <f t="shared" si="6"/>
        <v>0.66999999999999993</v>
      </c>
      <c r="K144" s="1020"/>
      <c r="L144" s="1020">
        <v>0.3</v>
      </c>
      <c r="M144" s="597" t="s">
        <v>779</v>
      </c>
      <c r="N144" s="597" t="s">
        <v>780</v>
      </c>
      <c r="O144" s="1020">
        <v>0.2</v>
      </c>
      <c r="P144" s="597" t="s">
        <v>600</v>
      </c>
      <c r="Q144" s="597" t="s">
        <v>600</v>
      </c>
      <c r="R144" s="1020">
        <v>0</v>
      </c>
      <c r="S144" s="1020">
        <f t="shared" si="7"/>
        <v>0.5</v>
      </c>
      <c r="T144" s="947"/>
      <c r="U144" s="877"/>
      <c r="V144" s="877"/>
      <c r="W144" s="877"/>
      <c r="X144" s="937" t="s">
        <v>1005</v>
      </c>
      <c r="Y144" s="924"/>
      <c r="Z144" s="883"/>
      <c r="AA144" s="925"/>
      <c r="AB144" s="914" t="s">
        <v>1005</v>
      </c>
      <c r="AC144" s="1011" t="s">
        <v>1206</v>
      </c>
      <c r="AD144" s="1011" t="s">
        <v>1206</v>
      </c>
      <c r="AE144" s="1011" t="s">
        <v>1206</v>
      </c>
      <c r="AF144" s="1011" t="s">
        <v>1206</v>
      </c>
      <c r="AH144" s="1011" t="b">
        <f t="shared" si="8"/>
        <v>1</v>
      </c>
      <c r="AI144" s="1011" t="s">
        <v>173</v>
      </c>
      <c r="AJ144" s="1011" t="s">
        <v>172</v>
      </c>
      <c r="AK144" s="1011" t="s">
        <v>1605</v>
      </c>
      <c r="AL144" s="1011" t="s">
        <v>1606</v>
      </c>
      <c r="AM144" s="1011" t="s">
        <v>1607</v>
      </c>
      <c r="AN144" s="1011" t="s">
        <v>1608</v>
      </c>
    </row>
    <row r="145" spans="1:43" ht="15.75" customHeight="1" x14ac:dyDescent="0.2">
      <c r="A145" s="1018" t="s">
        <v>175</v>
      </c>
      <c r="B145" s="1019" t="s">
        <v>782</v>
      </c>
      <c r="C145" s="1020">
        <v>0.3</v>
      </c>
      <c r="D145" s="597" t="s">
        <v>779</v>
      </c>
      <c r="E145" s="597" t="s">
        <v>780</v>
      </c>
      <c r="F145" s="1020">
        <v>0.37</v>
      </c>
      <c r="G145" s="597" t="s">
        <v>600</v>
      </c>
      <c r="H145" s="597" t="s">
        <v>600</v>
      </c>
      <c r="I145" s="1020">
        <v>0</v>
      </c>
      <c r="J145" s="1020">
        <f t="shared" si="6"/>
        <v>0.66999999999999993</v>
      </c>
      <c r="K145" s="1020"/>
      <c r="L145" s="1020">
        <v>0.3</v>
      </c>
      <c r="M145" s="597" t="s">
        <v>779</v>
      </c>
      <c r="N145" s="597" t="s">
        <v>780</v>
      </c>
      <c r="O145" s="1020">
        <v>0.2</v>
      </c>
      <c r="P145" s="597" t="s">
        <v>600</v>
      </c>
      <c r="Q145" s="597" t="s">
        <v>600</v>
      </c>
      <c r="R145" s="1020">
        <v>0</v>
      </c>
      <c r="S145" s="1020">
        <f t="shared" si="7"/>
        <v>0.5</v>
      </c>
      <c r="T145" s="947"/>
      <c r="U145" s="877"/>
      <c r="V145" s="877"/>
      <c r="W145" s="877"/>
      <c r="X145" s="937" t="s">
        <v>1005</v>
      </c>
      <c r="Y145" s="924"/>
      <c r="Z145" s="883"/>
      <c r="AA145" s="925"/>
      <c r="AB145" s="914" t="s">
        <v>1005</v>
      </c>
      <c r="AC145" s="1011" t="s">
        <v>1206</v>
      </c>
      <c r="AD145" s="1011" t="s">
        <v>1206</v>
      </c>
      <c r="AE145" s="1011" t="s">
        <v>1206</v>
      </c>
      <c r="AF145" s="1011" t="s">
        <v>1206</v>
      </c>
      <c r="AH145" s="1011" t="b">
        <f t="shared" si="8"/>
        <v>1</v>
      </c>
      <c r="AI145" s="1011" t="s">
        <v>175</v>
      </c>
      <c r="AJ145" s="1011" t="s">
        <v>174</v>
      </c>
      <c r="AK145" s="1011" t="s">
        <v>1609</v>
      </c>
      <c r="AL145" s="1011" t="s">
        <v>1610</v>
      </c>
      <c r="AM145" s="1011" t="s">
        <v>1611</v>
      </c>
      <c r="AN145" s="1011" t="s">
        <v>1612</v>
      </c>
    </row>
    <row r="146" spans="1:43" ht="15.75" customHeight="1" x14ac:dyDescent="0.2">
      <c r="A146" s="1018" t="s">
        <v>177</v>
      </c>
      <c r="B146" s="1019" t="s">
        <v>176</v>
      </c>
      <c r="C146" s="1020">
        <v>0.4</v>
      </c>
      <c r="D146" s="597" t="s">
        <v>731</v>
      </c>
      <c r="E146" s="597" t="s">
        <v>732</v>
      </c>
      <c r="F146" s="1020">
        <v>0.1</v>
      </c>
      <c r="G146" s="597" t="s">
        <v>600</v>
      </c>
      <c r="H146" s="597" t="s">
        <v>639</v>
      </c>
      <c r="I146" s="1020">
        <v>0</v>
      </c>
      <c r="J146" s="1020">
        <f t="shared" si="6"/>
        <v>0.5</v>
      </c>
      <c r="K146" s="1020"/>
      <c r="L146" s="1020">
        <v>0.4</v>
      </c>
      <c r="M146" s="597" t="s">
        <v>731</v>
      </c>
      <c r="N146" s="597" t="s">
        <v>732</v>
      </c>
      <c r="O146" s="1020">
        <v>0.1</v>
      </c>
      <c r="P146" s="597" t="s">
        <v>600</v>
      </c>
      <c r="Q146" s="597" t="s">
        <v>639</v>
      </c>
      <c r="R146" s="1020">
        <v>0</v>
      </c>
      <c r="S146" s="1020">
        <f t="shared" si="7"/>
        <v>0.5</v>
      </c>
      <c r="T146" s="947"/>
      <c r="U146" s="877"/>
      <c r="V146" s="877"/>
      <c r="W146" s="877"/>
      <c r="X146" s="1015"/>
      <c r="Y146" s="924"/>
      <c r="Z146" s="883"/>
      <c r="AA146" s="925"/>
      <c r="AB146" s="912"/>
      <c r="AC146" s="1011" t="s">
        <v>1206</v>
      </c>
      <c r="AD146" s="1011" t="s">
        <v>1206</v>
      </c>
      <c r="AE146" s="1011" t="s">
        <v>1206</v>
      </c>
      <c r="AF146" s="1011" t="s">
        <v>1206</v>
      </c>
      <c r="AH146" s="1011" t="b">
        <f t="shared" si="8"/>
        <v>1</v>
      </c>
      <c r="AI146" s="1011" t="s">
        <v>177</v>
      </c>
      <c r="AJ146" s="1011" t="s">
        <v>176</v>
      </c>
      <c r="AK146" s="1011" t="s">
        <v>1613</v>
      </c>
      <c r="AL146" s="1011" t="s">
        <v>1614</v>
      </c>
    </row>
    <row r="147" spans="1:43" ht="15" x14ac:dyDescent="0.2">
      <c r="A147" s="1018" t="s">
        <v>179</v>
      </c>
      <c r="B147" s="1019" t="s">
        <v>725</v>
      </c>
      <c r="C147" s="1020">
        <v>0.4</v>
      </c>
      <c r="D147" s="597" t="s">
        <v>723</v>
      </c>
      <c r="E147" s="597" t="s">
        <v>724</v>
      </c>
      <c r="F147" s="1020">
        <v>0.1</v>
      </c>
      <c r="G147" s="597" t="s">
        <v>600</v>
      </c>
      <c r="H147" s="597" t="s">
        <v>639</v>
      </c>
      <c r="I147" s="1020">
        <v>0</v>
      </c>
      <c r="J147" s="1020">
        <f t="shared" si="6"/>
        <v>0.5</v>
      </c>
      <c r="K147" s="1020"/>
      <c r="L147" s="1020">
        <v>0.4</v>
      </c>
      <c r="M147" s="597" t="s">
        <v>723</v>
      </c>
      <c r="N147" s="597" t="s">
        <v>724</v>
      </c>
      <c r="O147" s="1020">
        <v>0.1</v>
      </c>
      <c r="P147" s="597" t="s">
        <v>600</v>
      </c>
      <c r="Q147" s="597" t="s">
        <v>639</v>
      </c>
      <c r="R147" s="1020">
        <v>0</v>
      </c>
      <c r="S147" s="1020">
        <f t="shared" si="7"/>
        <v>0.5</v>
      </c>
      <c r="T147" s="949" t="s">
        <v>1005</v>
      </c>
      <c r="U147" s="885" t="s">
        <v>1162</v>
      </c>
      <c r="V147" s="885"/>
      <c r="W147" s="885"/>
      <c r="X147" s="1015"/>
      <c r="Y147" s="931">
        <v>0</v>
      </c>
      <c r="Z147" s="895"/>
      <c r="AA147" s="932"/>
      <c r="AB147" s="912"/>
      <c r="AC147" s="1011" t="s">
        <v>1206</v>
      </c>
      <c r="AD147" s="1011" t="s">
        <v>1206</v>
      </c>
      <c r="AE147" s="1011" t="s">
        <v>1206</v>
      </c>
      <c r="AF147" s="1011" t="s">
        <v>1206</v>
      </c>
      <c r="AH147" s="1011" t="b">
        <f t="shared" si="8"/>
        <v>1</v>
      </c>
      <c r="AI147" s="1011" t="s">
        <v>179</v>
      </c>
      <c r="AJ147" s="1011" t="s">
        <v>178</v>
      </c>
      <c r="AK147" s="1011" t="s">
        <v>1615</v>
      </c>
      <c r="AL147" s="1011" t="s">
        <v>1616</v>
      </c>
    </row>
    <row r="148" spans="1:43" ht="15" x14ac:dyDescent="0.2">
      <c r="A148" s="1018" t="s">
        <v>181</v>
      </c>
      <c r="B148" s="1021" t="s">
        <v>697</v>
      </c>
      <c r="C148" s="1020">
        <v>0.49</v>
      </c>
      <c r="D148" s="597" t="s">
        <v>600</v>
      </c>
      <c r="E148" s="597" t="s">
        <v>601</v>
      </c>
      <c r="F148" s="1020">
        <v>0</v>
      </c>
      <c r="G148" s="597" t="s">
        <v>695</v>
      </c>
      <c r="H148" s="597" t="s">
        <v>696</v>
      </c>
      <c r="I148" s="1020">
        <v>0.01</v>
      </c>
      <c r="J148" s="1020">
        <f t="shared" si="6"/>
        <v>0.5</v>
      </c>
      <c r="K148" s="1020"/>
      <c r="L148" s="1020">
        <v>0.49</v>
      </c>
      <c r="M148" s="597" t="s">
        <v>600</v>
      </c>
      <c r="N148" s="597" t="s">
        <v>601</v>
      </c>
      <c r="O148" s="1020">
        <v>0</v>
      </c>
      <c r="P148" s="597" t="s">
        <v>695</v>
      </c>
      <c r="Q148" s="597" t="s">
        <v>696</v>
      </c>
      <c r="R148" s="1020">
        <v>0.01</v>
      </c>
      <c r="S148" s="1020">
        <f t="shared" si="7"/>
        <v>0.5</v>
      </c>
      <c r="T148" s="947" t="s">
        <v>1005</v>
      </c>
      <c r="U148" s="889" t="s">
        <v>978</v>
      </c>
      <c r="V148" s="889" t="s">
        <v>979</v>
      </c>
      <c r="W148" s="1024" t="s">
        <v>1205</v>
      </c>
      <c r="X148" s="937" t="s">
        <v>1005</v>
      </c>
      <c r="Y148" s="926">
        <v>0</v>
      </c>
      <c r="Z148" s="888">
        <v>161831</v>
      </c>
      <c r="AA148" s="964">
        <v>171767</v>
      </c>
      <c r="AB148" s="914" t="s">
        <v>1005</v>
      </c>
      <c r="AC148" s="1011" t="s">
        <v>1206</v>
      </c>
      <c r="AD148" s="1011" t="s">
        <v>1206</v>
      </c>
      <c r="AE148" s="1011" t="s">
        <v>1206</v>
      </c>
      <c r="AF148" s="1011" t="s">
        <v>1206</v>
      </c>
      <c r="AH148" s="1011" t="b">
        <f t="shared" si="8"/>
        <v>1</v>
      </c>
      <c r="AI148" s="1011" t="s">
        <v>181</v>
      </c>
      <c r="AJ148" s="1011" t="s">
        <v>180</v>
      </c>
      <c r="AK148" s="1011" t="s">
        <v>1617</v>
      </c>
      <c r="AL148" s="1011" t="s">
        <v>1618</v>
      </c>
      <c r="AM148" s="1011" t="s">
        <v>1619</v>
      </c>
      <c r="AN148" s="1011" t="s">
        <v>1620</v>
      </c>
      <c r="AO148" s="1011" t="s">
        <v>1621</v>
      </c>
      <c r="AQ148" s="1011" t="s">
        <v>1622</v>
      </c>
    </row>
    <row r="149" spans="1:43" ht="15.75" customHeight="1" x14ac:dyDescent="0.2">
      <c r="A149" s="1018" t="s">
        <v>183</v>
      </c>
      <c r="B149" s="1021" t="s">
        <v>784</v>
      </c>
      <c r="C149" s="1020">
        <v>0.3</v>
      </c>
      <c r="D149" s="597" t="s">
        <v>779</v>
      </c>
      <c r="E149" s="597" t="s">
        <v>780</v>
      </c>
      <c r="F149" s="1020">
        <v>0.37</v>
      </c>
      <c r="G149" s="597" t="s">
        <v>600</v>
      </c>
      <c r="H149" s="597" t="s">
        <v>600</v>
      </c>
      <c r="I149" s="1020">
        <v>0</v>
      </c>
      <c r="J149" s="1020">
        <f t="shared" si="6"/>
        <v>0.66999999999999993</v>
      </c>
      <c r="K149" s="1020"/>
      <c r="L149" s="1020">
        <v>0.3</v>
      </c>
      <c r="M149" s="597" t="s">
        <v>779</v>
      </c>
      <c r="N149" s="597" t="s">
        <v>780</v>
      </c>
      <c r="O149" s="1020">
        <v>0.2</v>
      </c>
      <c r="P149" s="597" t="s">
        <v>600</v>
      </c>
      <c r="Q149" s="597" t="s">
        <v>600</v>
      </c>
      <c r="R149" s="1020">
        <v>0</v>
      </c>
      <c r="S149" s="1020">
        <f t="shared" si="7"/>
        <v>0.5</v>
      </c>
      <c r="T149" s="947"/>
      <c r="U149" s="877"/>
      <c r="V149" s="877"/>
      <c r="W149" s="877"/>
      <c r="X149" s="937" t="s">
        <v>1005</v>
      </c>
      <c r="Y149" s="924"/>
      <c r="Z149" s="883"/>
      <c r="AA149" s="925"/>
      <c r="AB149" s="914" t="s">
        <v>1005</v>
      </c>
      <c r="AC149" s="1011" t="s">
        <v>1206</v>
      </c>
      <c r="AD149" s="1011" t="s">
        <v>1206</v>
      </c>
      <c r="AE149" s="1011" t="s">
        <v>1206</v>
      </c>
      <c r="AF149" s="1011" t="s">
        <v>1206</v>
      </c>
      <c r="AH149" s="1011" t="b">
        <f t="shared" si="8"/>
        <v>1</v>
      </c>
      <c r="AI149" s="1011" t="s">
        <v>183</v>
      </c>
      <c r="AJ149" s="1011" t="s">
        <v>182</v>
      </c>
      <c r="AK149" s="1011" t="s">
        <v>1623</v>
      </c>
      <c r="AL149" s="1011" t="s">
        <v>1624</v>
      </c>
      <c r="AM149" s="1011" t="s">
        <v>1625</v>
      </c>
    </row>
    <row r="150" spans="1:43" ht="15.75" customHeight="1" x14ac:dyDescent="0.2">
      <c r="A150" s="1018" t="s">
        <v>185</v>
      </c>
      <c r="B150" s="1019" t="s">
        <v>184</v>
      </c>
      <c r="C150" s="1020">
        <v>0.49</v>
      </c>
      <c r="D150" s="597" t="s">
        <v>600</v>
      </c>
      <c r="E150" s="597" t="s">
        <v>765</v>
      </c>
      <c r="F150" s="1020">
        <v>0</v>
      </c>
      <c r="G150" s="597" t="s">
        <v>776</v>
      </c>
      <c r="H150" s="597" t="s">
        <v>777</v>
      </c>
      <c r="I150" s="1020">
        <v>0.01</v>
      </c>
      <c r="J150" s="1020">
        <f t="shared" si="6"/>
        <v>0.5</v>
      </c>
      <c r="K150" s="1020"/>
      <c r="L150" s="1020">
        <v>0.49</v>
      </c>
      <c r="M150" s="597" t="s">
        <v>600</v>
      </c>
      <c r="N150" s="597" t="s">
        <v>765</v>
      </c>
      <c r="O150" s="1020">
        <v>0</v>
      </c>
      <c r="P150" s="597" t="s">
        <v>776</v>
      </c>
      <c r="Q150" s="597" t="s">
        <v>777</v>
      </c>
      <c r="R150" s="1020">
        <v>0.01</v>
      </c>
      <c r="S150" s="1020">
        <f t="shared" si="7"/>
        <v>0.5</v>
      </c>
      <c r="T150" s="1106" t="s">
        <v>1005</v>
      </c>
      <c r="U150" s="1107" t="s">
        <v>2248</v>
      </c>
      <c r="V150" s="877"/>
      <c r="W150" s="877"/>
      <c r="X150" s="937" t="s">
        <v>1005</v>
      </c>
      <c r="Y150" s="924"/>
      <c r="Z150" s="883"/>
      <c r="AA150" s="925"/>
      <c r="AB150" s="914" t="s">
        <v>1005</v>
      </c>
      <c r="AC150" s="1011" t="s">
        <v>1005</v>
      </c>
      <c r="AD150" s="1011" t="s">
        <v>1206</v>
      </c>
      <c r="AE150" s="1011" t="s">
        <v>1206</v>
      </c>
      <c r="AF150" s="1011" t="s">
        <v>1206</v>
      </c>
      <c r="AH150" s="1011" t="b">
        <f t="shared" si="8"/>
        <v>1</v>
      </c>
      <c r="AI150" s="1011" t="s">
        <v>185</v>
      </c>
      <c r="AJ150" s="1011" t="s">
        <v>184</v>
      </c>
      <c r="AK150" s="1011" t="s">
        <v>1626</v>
      </c>
      <c r="AL150" s="1011" t="s">
        <v>1627</v>
      </c>
      <c r="AO150" s="1011" t="s">
        <v>1627</v>
      </c>
      <c r="AP150" s="1011" t="s">
        <v>1628</v>
      </c>
      <c r="AQ150" s="1011" t="s">
        <v>1626</v>
      </c>
    </row>
    <row r="151" spans="1:43" ht="15.75" customHeight="1" x14ac:dyDescent="0.2">
      <c r="A151" s="1018" t="s">
        <v>187</v>
      </c>
      <c r="B151" s="1019" t="s">
        <v>186</v>
      </c>
      <c r="C151" s="1020">
        <v>0.99</v>
      </c>
      <c r="D151" s="597" t="s">
        <v>600</v>
      </c>
      <c r="E151" s="597" t="s">
        <v>765</v>
      </c>
      <c r="F151" s="1020">
        <v>0</v>
      </c>
      <c r="G151" s="597" t="s">
        <v>768</v>
      </c>
      <c r="H151" s="597" t="s">
        <v>769</v>
      </c>
      <c r="I151" s="1020">
        <v>0.01</v>
      </c>
      <c r="J151" s="1020">
        <f t="shared" si="6"/>
        <v>1</v>
      </c>
      <c r="K151" s="1020"/>
      <c r="L151" s="1020">
        <v>0.49</v>
      </c>
      <c r="M151" s="597" t="s">
        <v>600</v>
      </c>
      <c r="N151" s="597" t="s">
        <v>765</v>
      </c>
      <c r="O151" s="1020">
        <v>0</v>
      </c>
      <c r="P151" s="597" t="s">
        <v>768</v>
      </c>
      <c r="Q151" s="597" t="s">
        <v>769</v>
      </c>
      <c r="R151" s="1020">
        <v>0.01</v>
      </c>
      <c r="S151" s="1020">
        <f t="shared" si="7"/>
        <v>0.5</v>
      </c>
      <c r="T151" s="947"/>
      <c r="U151" s="877"/>
      <c r="V151" s="877"/>
      <c r="W151" s="877"/>
      <c r="X151" s="937" t="s">
        <v>1005</v>
      </c>
      <c r="Y151" s="924"/>
      <c r="Z151" s="883"/>
      <c r="AA151" s="925"/>
      <c r="AB151" s="914" t="s">
        <v>1005</v>
      </c>
      <c r="AC151" s="1011" t="s">
        <v>1206</v>
      </c>
      <c r="AD151" s="1011" t="s">
        <v>1206</v>
      </c>
      <c r="AE151" s="1011" t="s">
        <v>1206</v>
      </c>
      <c r="AF151" s="1011" t="s">
        <v>1206</v>
      </c>
      <c r="AH151" s="1011" t="b">
        <f t="shared" si="8"/>
        <v>1</v>
      </c>
      <c r="AI151" s="1011" t="s">
        <v>187</v>
      </c>
      <c r="AJ151" s="1011" t="s">
        <v>186</v>
      </c>
      <c r="AK151" s="1011" t="s">
        <v>1629</v>
      </c>
      <c r="AL151" s="1011" t="s">
        <v>1630</v>
      </c>
    </row>
    <row r="152" spans="1:43" ht="15.75" customHeight="1" x14ac:dyDescent="0.2">
      <c r="A152" s="1018" t="s">
        <v>189</v>
      </c>
      <c r="B152" s="1019" t="s">
        <v>188</v>
      </c>
      <c r="C152" s="1020">
        <v>0.3</v>
      </c>
      <c r="D152" s="597" t="s">
        <v>779</v>
      </c>
      <c r="E152" s="597" t="s">
        <v>780</v>
      </c>
      <c r="F152" s="1020">
        <v>0.37</v>
      </c>
      <c r="G152" s="597" t="s">
        <v>600</v>
      </c>
      <c r="H152" s="597" t="s">
        <v>600</v>
      </c>
      <c r="I152" s="1020">
        <v>0</v>
      </c>
      <c r="J152" s="1020">
        <f t="shared" si="6"/>
        <v>0.66999999999999993</v>
      </c>
      <c r="K152" s="1020"/>
      <c r="L152" s="1020">
        <v>0.3</v>
      </c>
      <c r="M152" s="597" t="s">
        <v>779</v>
      </c>
      <c r="N152" s="597" t="s">
        <v>780</v>
      </c>
      <c r="O152" s="1020">
        <v>0.2</v>
      </c>
      <c r="P152" s="597" t="s">
        <v>600</v>
      </c>
      <c r="Q152" s="597" t="s">
        <v>600</v>
      </c>
      <c r="R152" s="1020">
        <v>0</v>
      </c>
      <c r="S152" s="1020">
        <f t="shared" si="7"/>
        <v>0.5</v>
      </c>
      <c r="T152" s="947" t="s">
        <v>1005</v>
      </c>
      <c r="U152" s="877" t="s">
        <v>2109</v>
      </c>
      <c r="V152" s="877"/>
      <c r="W152" s="877"/>
      <c r="X152" s="937" t="s">
        <v>1005</v>
      </c>
      <c r="Y152" s="965">
        <v>1327921</v>
      </c>
      <c r="Z152" s="883"/>
      <c r="AA152" s="925"/>
      <c r="AB152" s="914" t="s">
        <v>1005</v>
      </c>
      <c r="AC152" s="1011" t="s">
        <v>1005</v>
      </c>
      <c r="AD152" s="1011" t="s">
        <v>1206</v>
      </c>
      <c r="AE152" s="1011" t="s">
        <v>1206</v>
      </c>
      <c r="AF152" s="1011" t="s">
        <v>1206</v>
      </c>
      <c r="AH152" s="1011" t="b">
        <f t="shared" si="8"/>
        <v>1</v>
      </c>
      <c r="AI152" s="1011" t="s">
        <v>189</v>
      </c>
      <c r="AJ152" s="1011" t="s">
        <v>188</v>
      </c>
      <c r="AK152" s="1011" t="s">
        <v>1631</v>
      </c>
      <c r="AL152" s="1011" t="s">
        <v>1632</v>
      </c>
      <c r="AM152" s="1011" t="s">
        <v>1633</v>
      </c>
      <c r="AN152" s="1011" t="s">
        <v>1634</v>
      </c>
      <c r="AO152" s="1011" t="s">
        <v>1635</v>
      </c>
      <c r="AP152" s="1011" t="s">
        <v>1636</v>
      </c>
      <c r="AQ152" s="1011" t="s">
        <v>1637</v>
      </c>
    </row>
    <row r="153" spans="1:43" ht="15.75" customHeight="1" x14ac:dyDescent="0.2">
      <c r="A153" s="1018" t="s">
        <v>191</v>
      </c>
      <c r="B153" s="1019" t="s">
        <v>190</v>
      </c>
      <c r="C153" s="1020">
        <v>0.4</v>
      </c>
      <c r="D153" s="597" t="s">
        <v>711</v>
      </c>
      <c r="E153" s="597" t="s">
        <v>712</v>
      </c>
      <c r="F153" s="1020">
        <v>0.09</v>
      </c>
      <c r="G153" s="597" t="s">
        <v>708</v>
      </c>
      <c r="H153" s="597" t="s">
        <v>709</v>
      </c>
      <c r="I153" s="1020">
        <v>0.01</v>
      </c>
      <c r="J153" s="1020">
        <f t="shared" si="6"/>
        <v>0.5</v>
      </c>
      <c r="K153" s="1020"/>
      <c r="L153" s="1020">
        <v>0.4</v>
      </c>
      <c r="M153" s="597" t="s">
        <v>711</v>
      </c>
      <c r="N153" s="597" t="s">
        <v>712</v>
      </c>
      <c r="O153" s="1020">
        <v>0.09</v>
      </c>
      <c r="P153" s="597" t="s">
        <v>708</v>
      </c>
      <c r="Q153" s="597" t="s">
        <v>709</v>
      </c>
      <c r="R153" s="1020">
        <v>0.01</v>
      </c>
      <c r="S153" s="1020">
        <f t="shared" si="7"/>
        <v>0.5</v>
      </c>
      <c r="T153" s="947"/>
      <c r="U153" s="877"/>
      <c r="V153" s="877"/>
      <c r="W153" s="877"/>
      <c r="X153" s="1015"/>
      <c r="Y153" s="924"/>
      <c r="Z153" s="883"/>
      <c r="AA153" s="925"/>
      <c r="AB153" s="912"/>
      <c r="AC153" s="1011" t="s">
        <v>1206</v>
      </c>
      <c r="AD153" s="1011" t="s">
        <v>1206</v>
      </c>
      <c r="AE153" s="1011" t="s">
        <v>1206</v>
      </c>
      <c r="AF153" s="1011" t="s">
        <v>1206</v>
      </c>
      <c r="AH153" s="1011" t="b">
        <f t="shared" si="8"/>
        <v>1</v>
      </c>
      <c r="AI153" s="1011" t="s">
        <v>191</v>
      </c>
      <c r="AJ153" s="1011" t="s">
        <v>190</v>
      </c>
      <c r="AK153" s="1011" t="s">
        <v>1638</v>
      </c>
      <c r="AL153" s="1011" t="s">
        <v>1639</v>
      </c>
    </row>
    <row r="154" spans="1:43" ht="15" x14ac:dyDescent="0.2">
      <c r="A154" s="1018" t="s">
        <v>193</v>
      </c>
      <c r="B154" s="1019" t="s">
        <v>192</v>
      </c>
      <c r="C154" s="1020">
        <v>0.49</v>
      </c>
      <c r="D154" s="597" t="s">
        <v>600</v>
      </c>
      <c r="E154" s="597" t="s">
        <v>765</v>
      </c>
      <c r="F154" s="1020">
        <v>0</v>
      </c>
      <c r="G154" s="597" t="s">
        <v>776</v>
      </c>
      <c r="H154" s="597" t="s">
        <v>777</v>
      </c>
      <c r="I154" s="1020">
        <v>0.01</v>
      </c>
      <c r="J154" s="1020">
        <f t="shared" si="6"/>
        <v>0.5</v>
      </c>
      <c r="K154" s="1020"/>
      <c r="L154" s="1020">
        <v>0.49</v>
      </c>
      <c r="M154" s="597" t="s">
        <v>600</v>
      </c>
      <c r="N154" s="597" t="s">
        <v>765</v>
      </c>
      <c r="O154" s="1020">
        <v>0</v>
      </c>
      <c r="P154" s="597" t="s">
        <v>776</v>
      </c>
      <c r="Q154" s="597" t="s">
        <v>777</v>
      </c>
      <c r="R154" s="1020">
        <v>0.01</v>
      </c>
      <c r="S154" s="1020">
        <f t="shared" si="7"/>
        <v>0.5</v>
      </c>
      <c r="T154" s="947" t="s">
        <v>1005</v>
      </c>
      <c r="U154" s="877" t="s">
        <v>989</v>
      </c>
      <c r="V154" s="877" t="s">
        <v>989</v>
      </c>
      <c r="W154" s="877"/>
      <c r="X154" s="937" t="s">
        <v>1005</v>
      </c>
      <c r="Y154" s="926">
        <v>948075</v>
      </c>
      <c r="Z154" s="888">
        <v>0</v>
      </c>
      <c r="AA154" s="927"/>
      <c r="AB154" s="914" t="s">
        <v>1005</v>
      </c>
      <c r="AC154" s="1011" t="s">
        <v>1206</v>
      </c>
      <c r="AD154" s="1011" t="s">
        <v>1206</v>
      </c>
      <c r="AE154" s="1011" t="s">
        <v>1206</v>
      </c>
      <c r="AF154" s="1011" t="s">
        <v>1206</v>
      </c>
      <c r="AH154" s="1011" t="b">
        <f t="shared" si="8"/>
        <v>1</v>
      </c>
      <c r="AI154" s="1011" t="s">
        <v>193</v>
      </c>
      <c r="AJ154" s="1011" t="s">
        <v>192</v>
      </c>
      <c r="AK154" s="1011" t="s">
        <v>1640</v>
      </c>
      <c r="AL154" s="1011" t="s">
        <v>1641</v>
      </c>
    </row>
    <row r="155" spans="1:43" ht="15.75" customHeight="1" x14ac:dyDescent="0.2">
      <c r="A155" s="1018" t="s">
        <v>195</v>
      </c>
      <c r="B155" s="1021" t="s">
        <v>713</v>
      </c>
      <c r="C155" s="1020">
        <v>0.49</v>
      </c>
      <c r="D155" s="597" t="s">
        <v>600</v>
      </c>
      <c r="E155" s="597" t="s">
        <v>601</v>
      </c>
      <c r="F155" s="1020">
        <v>0</v>
      </c>
      <c r="G155" s="597" t="s">
        <v>714</v>
      </c>
      <c r="H155" s="597" t="s">
        <v>715</v>
      </c>
      <c r="I155" s="1020">
        <v>0.01</v>
      </c>
      <c r="J155" s="1020">
        <f t="shared" si="6"/>
        <v>0.5</v>
      </c>
      <c r="K155" s="1020"/>
      <c r="L155" s="1020">
        <v>0.49</v>
      </c>
      <c r="M155" s="597" t="s">
        <v>600</v>
      </c>
      <c r="N155" s="597" t="s">
        <v>601</v>
      </c>
      <c r="O155" s="1020">
        <v>0</v>
      </c>
      <c r="P155" s="597" t="s">
        <v>714</v>
      </c>
      <c r="Q155" s="597" t="s">
        <v>715</v>
      </c>
      <c r="R155" s="1020">
        <v>0.01</v>
      </c>
      <c r="S155" s="1020">
        <f t="shared" si="7"/>
        <v>0.5</v>
      </c>
      <c r="T155" s="947" t="s">
        <v>1005</v>
      </c>
      <c r="U155" s="877" t="s">
        <v>3083</v>
      </c>
      <c r="V155" s="877"/>
      <c r="W155" s="877"/>
      <c r="X155" s="937" t="s">
        <v>1005</v>
      </c>
      <c r="Y155" s="924"/>
      <c r="Z155" s="883"/>
      <c r="AA155" s="925"/>
      <c r="AB155" s="914" t="s">
        <v>1005</v>
      </c>
      <c r="AC155" s="1011" t="s">
        <v>1206</v>
      </c>
      <c r="AD155" s="1011" t="s">
        <v>1206</v>
      </c>
      <c r="AE155" s="1011" t="s">
        <v>1206</v>
      </c>
      <c r="AF155" s="1011" t="s">
        <v>1206</v>
      </c>
      <c r="AH155" s="1011" t="b">
        <f t="shared" si="8"/>
        <v>1</v>
      </c>
      <c r="AI155" s="1011" t="s">
        <v>195</v>
      </c>
      <c r="AJ155" s="1011" t="s">
        <v>194</v>
      </c>
      <c r="AK155" s="1011" t="s">
        <v>1642</v>
      </c>
      <c r="AL155" s="1011" t="s">
        <v>1643</v>
      </c>
    </row>
    <row r="156" spans="1:43" ht="15.75" customHeight="1" x14ac:dyDescent="0.2">
      <c r="A156" s="1018" t="s">
        <v>197</v>
      </c>
      <c r="B156" s="1019" t="s">
        <v>196</v>
      </c>
      <c r="C156" s="1020">
        <v>0.4</v>
      </c>
      <c r="D156" s="597" t="s">
        <v>667</v>
      </c>
      <c r="E156" s="597" t="s">
        <v>668</v>
      </c>
      <c r="F156" s="1020">
        <v>0.09</v>
      </c>
      <c r="G156" s="597" t="s">
        <v>665</v>
      </c>
      <c r="H156" s="597" t="s">
        <v>666</v>
      </c>
      <c r="I156" s="1020">
        <v>0.01</v>
      </c>
      <c r="J156" s="1020">
        <f t="shared" si="6"/>
        <v>0.5</v>
      </c>
      <c r="K156" s="1020"/>
      <c r="L156" s="1020">
        <v>0.4</v>
      </c>
      <c r="M156" s="597" t="s">
        <v>667</v>
      </c>
      <c r="N156" s="597" t="s">
        <v>668</v>
      </c>
      <c r="O156" s="1020">
        <v>0.09</v>
      </c>
      <c r="P156" s="597" t="s">
        <v>665</v>
      </c>
      <c r="Q156" s="597" t="s">
        <v>666</v>
      </c>
      <c r="R156" s="1020">
        <v>0.01</v>
      </c>
      <c r="S156" s="1020">
        <f t="shared" si="7"/>
        <v>0.5</v>
      </c>
      <c r="T156" s="1106" t="s">
        <v>1005</v>
      </c>
      <c r="U156" s="1107" t="s">
        <v>2251</v>
      </c>
      <c r="V156" s="877"/>
      <c r="W156" s="877"/>
      <c r="X156" s="1015"/>
      <c r="Y156" s="924"/>
      <c r="Z156" s="883"/>
      <c r="AA156" s="925"/>
      <c r="AB156" s="912"/>
      <c r="AC156" s="1011" t="s">
        <v>1005</v>
      </c>
      <c r="AD156" s="1011" t="s">
        <v>1206</v>
      </c>
      <c r="AE156" s="1011" t="s">
        <v>1206</v>
      </c>
      <c r="AF156" s="1011" t="s">
        <v>1206</v>
      </c>
      <c r="AH156" s="1011" t="b">
        <f t="shared" si="8"/>
        <v>1</v>
      </c>
      <c r="AI156" s="1011" t="s">
        <v>197</v>
      </c>
      <c r="AJ156" s="1011" t="s">
        <v>196</v>
      </c>
      <c r="AK156" s="1011" t="s">
        <v>1644</v>
      </c>
      <c r="AL156" s="1011" t="s">
        <v>1645</v>
      </c>
    </row>
    <row r="157" spans="1:43" ht="15.75" customHeight="1" x14ac:dyDescent="0.2">
      <c r="A157" s="1018" t="s">
        <v>199</v>
      </c>
      <c r="B157" s="1019" t="s">
        <v>198</v>
      </c>
      <c r="C157" s="1020">
        <v>0.3</v>
      </c>
      <c r="D157" s="597" t="s">
        <v>779</v>
      </c>
      <c r="E157" s="597" t="s">
        <v>780</v>
      </c>
      <c r="F157" s="1020">
        <v>0.37</v>
      </c>
      <c r="G157" s="597" t="s">
        <v>600</v>
      </c>
      <c r="H157" s="597" t="s">
        <v>600</v>
      </c>
      <c r="I157" s="1020">
        <v>0</v>
      </c>
      <c r="J157" s="1020">
        <f t="shared" si="6"/>
        <v>0.66999999999999993</v>
      </c>
      <c r="K157" s="1020"/>
      <c r="L157" s="1020">
        <v>0.3</v>
      </c>
      <c r="M157" s="597" t="s">
        <v>779</v>
      </c>
      <c r="N157" s="597" t="s">
        <v>780</v>
      </c>
      <c r="O157" s="1020">
        <v>0.2</v>
      </c>
      <c r="P157" s="597" t="s">
        <v>600</v>
      </c>
      <c r="Q157" s="597" t="s">
        <v>600</v>
      </c>
      <c r="R157" s="1020">
        <v>0</v>
      </c>
      <c r="S157" s="1020">
        <f t="shared" si="7"/>
        <v>0.5</v>
      </c>
      <c r="T157" s="947"/>
      <c r="U157" s="877"/>
      <c r="V157" s="877"/>
      <c r="W157" s="877"/>
      <c r="X157" s="937" t="s">
        <v>1005</v>
      </c>
      <c r="Y157" s="924"/>
      <c r="Z157" s="883"/>
      <c r="AA157" s="925"/>
      <c r="AB157" s="914" t="s">
        <v>1005</v>
      </c>
      <c r="AC157" s="1011" t="s">
        <v>1206</v>
      </c>
      <c r="AD157" s="1011" t="s">
        <v>1206</v>
      </c>
      <c r="AE157" s="1011" t="s">
        <v>1206</v>
      </c>
      <c r="AF157" s="1011" t="s">
        <v>1206</v>
      </c>
      <c r="AH157" s="1011" t="b">
        <f t="shared" si="8"/>
        <v>1</v>
      </c>
      <c r="AI157" s="1011" t="s">
        <v>199</v>
      </c>
      <c r="AJ157" s="1011" t="s">
        <v>198</v>
      </c>
      <c r="AK157" s="1011" t="s">
        <v>1646</v>
      </c>
      <c r="AL157" s="1011" t="s">
        <v>1647</v>
      </c>
    </row>
    <row r="158" spans="1:43" ht="15.75" customHeight="1" x14ac:dyDescent="0.2">
      <c r="A158" s="1018" t="s">
        <v>201</v>
      </c>
      <c r="B158" s="1019" t="s">
        <v>200</v>
      </c>
      <c r="C158" s="1020">
        <v>0.4</v>
      </c>
      <c r="D158" s="597" t="s">
        <v>749</v>
      </c>
      <c r="E158" s="597" t="s">
        <v>750</v>
      </c>
      <c r="F158" s="1020">
        <v>0.09</v>
      </c>
      <c r="G158" s="597" t="s">
        <v>747</v>
      </c>
      <c r="H158" s="597" t="s">
        <v>748</v>
      </c>
      <c r="I158" s="1020">
        <v>0.01</v>
      </c>
      <c r="J158" s="1020">
        <f t="shared" si="6"/>
        <v>0.5</v>
      </c>
      <c r="K158" s="1020"/>
      <c r="L158" s="1020">
        <v>0.4</v>
      </c>
      <c r="M158" s="597" t="s">
        <v>749</v>
      </c>
      <c r="N158" s="597" t="s">
        <v>750</v>
      </c>
      <c r="O158" s="1020">
        <v>0.09</v>
      </c>
      <c r="P158" s="597" t="s">
        <v>747</v>
      </c>
      <c r="Q158" s="597" t="s">
        <v>748</v>
      </c>
      <c r="R158" s="1020">
        <v>0.01</v>
      </c>
      <c r="S158" s="1020">
        <f t="shared" si="7"/>
        <v>0.5</v>
      </c>
      <c r="T158" s="947"/>
      <c r="U158" s="877"/>
      <c r="V158" s="877"/>
      <c r="W158" s="877"/>
      <c r="X158" s="1015"/>
      <c r="Y158" s="924"/>
      <c r="Z158" s="883"/>
      <c r="AA158" s="925"/>
      <c r="AB158" s="912"/>
      <c r="AC158" s="1011" t="s">
        <v>1206</v>
      </c>
      <c r="AD158" s="1011" t="s">
        <v>1206</v>
      </c>
      <c r="AE158" s="1011" t="s">
        <v>1206</v>
      </c>
      <c r="AF158" s="1011" t="s">
        <v>1206</v>
      </c>
      <c r="AH158" s="1011" t="b">
        <f t="shared" si="8"/>
        <v>1</v>
      </c>
      <c r="AI158" s="1011" t="s">
        <v>201</v>
      </c>
      <c r="AJ158" s="1011" t="s">
        <v>200</v>
      </c>
      <c r="AK158" s="1011" t="s">
        <v>1648</v>
      </c>
      <c r="AL158" s="1011" t="s">
        <v>1649</v>
      </c>
      <c r="AM158" s="1011" t="s">
        <v>1650</v>
      </c>
      <c r="AN158" s="1011" t="s">
        <v>1651</v>
      </c>
      <c r="AQ158" s="1011" t="s">
        <v>1652</v>
      </c>
    </row>
    <row r="159" spans="1:43" ht="15.75" customHeight="1" x14ac:dyDescent="0.2">
      <c r="A159" s="1018" t="s">
        <v>203</v>
      </c>
      <c r="B159" s="1019" t="s">
        <v>202</v>
      </c>
      <c r="C159" s="1020">
        <v>0.4</v>
      </c>
      <c r="D159" s="597" t="s">
        <v>721</v>
      </c>
      <c r="E159" s="597" t="s">
        <v>722</v>
      </c>
      <c r="F159" s="1020">
        <v>0.1</v>
      </c>
      <c r="G159" s="597" t="s">
        <v>600</v>
      </c>
      <c r="H159" s="597" t="s">
        <v>639</v>
      </c>
      <c r="I159" s="1020">
        <v>0</v>
      </c>
      <c r="J159" s="1020">
        <f t="shared" si="6"/>
        <v>0.5</v>
      </c>
      <c r="K159" s="1020"/>
      <c r="L159" s="1020">
        <v>0.4</v>
      </c>
      <c r="M159" s="597" t="s">
        <v>721</v>
      </c>
      <c r="N159" s="597" t="s">
        <v>722</v>
      </c>
      <c r="O159" s="1020">
        <v>0.1</v>
      </c>
      <c r="P159" s="597" t="s">
        <v>600</v>
      </c>
      <c r="Q159" s="597" t="s">
        <v>639</v>
      </c>
      <c r="R159" s="1020">
        <v>0</v>
      </c>
      <c r="S159" s="1020">
        <f t="shared" si="7"/>
        <v>0.5</v>
      </c>
      <c r="T159" s="947"/>
      <c r="U159" s="877"/>
      <c r="V159" s="877"/>
      <c r="W159" s="877"/>
      <c r="X159" s="1015"/>
      <c r="Y159" s="924"/>
      <c r="Z159" s="883"/>
      <c r="AA159" s="925"/>
      <c r="AB159" s="912"/>
      <c r="AC159" s="1011" t="s">
        <v>1206</v>
      </c>
      <c r="AD159" s="1011" t="s">
        <v>1206</v>
      </c>
      <c r="AE159" s="1011" t="s">
        <v>1206</v>
      </c>
      <c r="AF159" s="1011" t="s">
        <v>1206</v>
      </c>
      <c r="AH159" s="1011" t="b">
        <f t="shared" si="8"/>
        <v>1</v>
      </c>
      <c r="AI159" s="1011" t="s">
        <v>203</v>
      </c>
      <c r="AJ159" s="1011" t="s">
        <v>202</v>
      </c>
      <c r="AK159" s="1011" t="s">
        <v>1653</v>
      </c>
      <c r="AL159" s="1011" t="s">
        <v>1654</v>
      </c>
    </row>
    <row r="160" spans="1:43" ht="15" x14ac:dyDescent="0.2">
      <c r="A160" s="1018" t="s">
        <v>205</v>
      </c>
      <c r="B160" s="1019" t="s">
        <v>204</v>
      </c>
      <c r="C160" s="1020">
        <v>0.99</v>
      </c>
      <c r="D160" s="597" t="s">
        <v>600</v>
      </c>
      <c r="E160" s="597" t="s">
        <v>765</v>
      </c>
      <c r="F160" s="1020">
        <v>0</v>
      </c>
      <c r="G160" s="597" t="s">
        <v>768</v>
      </c>
      <c r="H160" s="597" t="s">
        <v>769</v>
      </c>
      <c r="I160" s="1020">
        <v>0.01</v>
      </c>
      <c r="J160" s="1020">
        <f t="shared" si="6"/>
        <v>1</v>
      </c>
      <c r="K160" s="1020"/>
      <c r="L160" s="1020">
        <v>0.49</v>
      </c>
      <c r="M160" s="597" t="s">
        <v>600</v>
      </c>
      <c r="N160" s="597" t="s">
        <v>765</v>
      </c>
      <c r="O160" s="1020">
        <v>0</v>
      </c>
      <c r="P160" s="597" t="s">
        <v>768</v>
      </c>
      <c r="Q160" s="597" t="s">
        <v>769</v>
      </c>
      <c r="R160" s="1020">
        <v>0.01</v>
      </c>
      <c r="S160" s="1020">
        <f t="shared" si="7"/>
        <v>0.5</v>
      </c>
      <c r="T160" s="947" t="s">
        <v>1005</v>
      </c>
      <c r="U160" s="877" t="s">
        <v>990</v>
      </c>
      <c r="V160" s="877" t="s">
        <v>991</v>
      </c>
      <c r="W160" s="877"/>
      <c r="X160" s="937" t="s">
        <v>1005</v>
      </c>
      <c r="Y160" s="926">
        <v>3693884</v>
      </c>
      <c r="Z160" s="888">
        <v>31648003</v>
      </c>
      <c r="AA160" s="1023"/>
      <c r="AB160" s="914" t="s">
        <v>1005</v>
      </c>
      <c r="AC160" s="1011" t="s">
        <v>1206</v>
      </c>
      <c r="AD160" s="1011" t="s">
        <v>1206</v>
      </c>
      <c r="AE160" s="1011" t="s">
        <v>1206</v>
      </c>
      <c r="AF160" s="1011" t="s">
        <v>1206</v>
      </c>
      <c r="AH160" s="1011" t="b">
        <f t="shared" si="8"/>
        <v>1</v>
      </c>
      <c r="AI160" s="1011" t="s">
        <v>205</v>
      </c>
      <c r="AJ160" s="1011" t="s">
        <v>204</v>
      </c>
      <c r="AK160" s="1011" t="s">
        <v>1655</v>
      </c>
      <c r="AL160" s="1011" t="s">
        <v>1656</v>
      </c>
      <c r="AM160" s="1011" t="s">
        <v>1657</v>
      </c>
      <c r="AN160" s="1011" t="s">
        <v>1658</v>
      </c>
      <c r="AO160" s="1011" t="s">
        <v>1659</v>
      </c>
      <c r="AQ160" s="1011" t="s">
        <v>1660</v>
      </c>
    </row>
    <row r="161" spans="1:43" ht="15" x14ac:dyDescent="0.2">
      <c r="A161" s="1018" t="s">
        <v>207</v>
      </c>
      <c r="B161" s="1019" t="s">
        <v>607</v>
      </c>
      <c r="C161" s="1020">
        <v>0.49</v>
      </c>
      <c r="D161" s="597" t="s">
        <v>600</v>
      </c>
      <c r="E161" s="597" t="s">
        <v>601</v>
      </c>
      <c r="F161" s="1020">
        <v>0</v>
      </c>
      <c r="G161" s="597" t="s">
        <v>608</v>
      </c>
      <c r="H161" s="597" t="s">
        <v>609</v>
      </c>
      <c r="I161" s="1020">
        <v>0.01</v>
      </c>
      <c r="J161" s="1020">
        <f t="shared" si="6"/>
        <v>0.5</v>
      </c>
      <c r="K161" s="1020"/>
      <c r="L161" s="1020">
        <v>0.49</v>
      </c>
      <c r="M161" s="597" t="s">
        <v>600</v>
      </c>
      <c r="N161" s="597" t="s">
        <v>601</v>
      </c>
      <c r="O161" s="1020">
        <v>0</v>
      </c>
      <c r="P161" s="597" t="s">
        <v>608</v>
      </c>
      <c r="Q161" s="597" t="s">
        <v>609</v>
      </c>
      <c r="R161" s="1020">
        <v>0.01</v>
      </c>
      <c r="S161" s="1020">
        <f t="shared" si="7"/>
        <v>0.5</v>
      </c>
      <c r="T161" s="947" t="s">
        <v>1005</v>
      </c>
      <c r="U161" s="886" t="s">
        <v>1168</v>
      </c>
      <c r="V161" s="877"/>
      <c r="W161" s="877"/>
      <c r="X161" s="937" t="s">
        <v>1005</v>
      </c>
      <c r="Y161" s="1057">
        <v>4781000</v>
      </c>
      <c r="Z161" s="1058"/>
      <c r="AA161" s="1059"/>
      <c r="AB161" s="914" t="s">
        <v>1005</v>
      </c>
      <c r="AC161" s="1011" t="s">
        <v>1206</v>
      </c>
      <c r="AD161" s="1011" t="s">
        <v>1206</v>
      </c>
      <c r="AE161" s="1011" t="s">
        <v>1206</v>
      </c>
      <c r="AF161" s="1011" t="s">
        <v>1206</v>
      </c>
      <c r="AH161" s="1011" t="b">
        <f t="shared" si="8"/>
        <v>1</v>
      </c>
      <c r="AI161" s="1011" t="s">
        <v>207</v>
      </c>
      <c r="AJ161" s="1011" t="s">
        <v>206</v>
      </c>
      <c r="AK161" s="1011" t="s">
        <v>1661</v>
      </c>
      <c r="AL161" s="1011" t="s">
        <v>1662</v>
      </c>
      <c r="AO161" s="1011">
        <v>0</v>
      </c>
      <c r="AP161" s="1011">
        <v>0</v>
      </c>
      <c r="AQ161" s="1011">
        <v>0</v>
      </c>
    </row>
    <row r="162" spans="1:43" ht="15.75" customHeight="1" x14ac:dyDescent="0.2">
      <c r="A162" s="1018" t="s">
        <v>209</v>
      </c>
      <c r="B162" s="1019" t="s">
        <v>208</v>
      </c>
      <c r="C162" s="1020">
        <v>0.4</v>
      </c>
      <c r="D162" s="597" t="s">
        <v>704</v>
      </c>
      <c r="E162" s="597" t="s">
        <v>705</v>
      </c>
      <c r="F162" s="1020">
        <v>0.09</v>
      </c>
      <c r="G162" s="597" t="s">
        <v>702</v>
      </c>
      <c r="H162" s="597" t="s">
        <v>703</v>
      </c>
      <c r="I162" s="1020">
        <v>0.01</v>
      </c>
      <c r="J162" s="1020">
        <f t="shared" si="6"/>
        <v>0.5</v>
      </c>
      <c r="K162" s="1020"/>
      <c r="L162" s="1020">
        <v>0.4</v>
      </c>
      <c r="M162" s="597" t="s">
        <v>704</v>
      </c>
      <c r="N162" s="597" t="s">
        <v>705</v>
      </c>
      <c r="O162" s="1020">
        <v>0.09</v>
      </c>
      <c r="P162" s="597" t="s">
        <v>702</v>
      </c>
      <c r="Q162" s="597" t="s">
        <v>703</v>
      </c>
      <c r="R162" s="1020">
        <v>0.01</v>
      </c>
      <c r="S162" s="1020">
        <f t="shared" si="7"/>
        <v>0.5</v>
      </c>
      <c r="T162" s="1106" t="s">
        <v>1005</v>
      </c>
      <c r="U162" s="1107" t="s">
        <v>2257</v>
      </c>
      <c r="V162" s="877"/>
      <c r="W162" s="877"/>
      <c r="X162" s="1015"/>
      <c r="Y162" s="924"/>
      <c r="Z162" s="883"/>
      <c r="AA162" s="925"/>
      <c r="AB162" s="912"/>
      <c r="AC162" s="1011" t="s">
        <v>1005</v>
      </c>
      <c r="AD162" s="1011" t="s">
        <v>1206</v>
      </c>
      <c r="AE162" s="1011" t="s">
        <v>1206</v>
      </c>
      <c r="AF162" s="1011" t="s">
        <v>1206</v>
      </c>
      <c r="AH162" s="1011" t="b">
        <f t="shared" si="8"/>
        <v>1</v>
      </c>
      <c r="AI162" s="1011" t="s">
        <v>209</v>
      </c>
      <c r="AJ162" s="1011" t="s">
        <v>208</v>
      </c>
      <c r="AK162" s="1011" t="s">
        <v>1663</v>
      </c>
      <c r="AL162" s="1011" t="s">
        <v>1664</v>
      </c>
    </row>
    <row r="163" spans="1:43" ht="15.75" customHeight="1" x14ac:dyDescent="0.2">
      <c r="A163" s="1018" t="s">
        <v>211</v>
      </c>
      <c r="B163" s="1019" t="s">
        <v>210</v>
      </c>
      <c r="C163" s="1020">
        <v>0.4</v>
      </c>
      <c r="D163" s="597" t="s">
        <v>673</v>
      </c>
      <c r="E163" s="597" t="s">
        <v>674</v>
      </c>
      <c r="F163" s="1020">
        <v>0.09</v>
      </c>
      <c r="G163" s="597" t="s">
        <v>670</v>
      </c>
      <c r="H163" s="597" t="s">
        <v>671</v>
      </c>
      <c r="I163" s="1020">
        <v>0.01</v>
      </c>
      <c r="J163" s="1020">
        <f t="shared" si="6"/>
        <v>0.5</v>
      </c>
      <c r="K163" s="1020"/>
      <c r="L163" s="1020">
        <v>0.4</v>
      </c>
      <c r="M163" s="597" t="s">
        <v>673</v>
      </c>
      <c r="N163" s="597" t="s">
        <v>674</v>
      </c>
      <c r="O163" s="1020">
        <v>0.09</v>
      </c>
      <c r="P163" s="597" t="s">
        <v>670</v>
      </c>
      <c r="Q163" s="597" t="s">
        <v>671</v>
      </c>
      <c r="R163" s="1020">
        <v>0.01</v>
      </c>
      <c r="S163" s="1020">
        <f t="shared" si="7"/>
        <v>0.5</v>
      </c>
      <c r="T163" s="947"/>
      <c r="U163" s="877"/>
      <c r="V163" s="877"/>
      <c r="W163" s="877"/>
      <c r="X163" s="1015"/>
      <c r="Y163" s="924"/>
      <c r="Z163" s="883"/>
      <c r="AA163" s="925"/>
      <c r="AB163" s="912"/>
      <c r="AC163" s="1011" t="s">
        <v>1206</v>
      </c>
      <c r="AD163" s="1011" t="s">
        <v>1206</v>
      </c>
      <c r="AE163" s="1011" t="s">
        <v>1206</v>
      </c>
      <c r="AF163" s="1011" t="s">
        <v>1206</v>
      </c>
      <c r="AH163" s="1011" t="b">
        <f t="shared" si="8"/>
        <v>1</v>
      </c>
      <c r="AI163" s="1011" t="s">
        <v>211</v>
      </c>
      <c r="AJ163" s="1011" t="s">
        <v>210</v>
      </c>
      <c r="AK163" s="1011" t="s">
        <v>1665</v>
      </c>
      <c r="AL163" s="1011" t="s">
        <v>1666</v>
      </c>
    </row>
    <row r="164" spans="1:43" ht="15.75" customHeight="1" x14ac:dyDescent="0.2">
      <c r="A164" s="1018" t="s">
        <v>213</v>
      </c>
      <c r="B164" s="1019" t="s">
        <v>212</v>
      </c>
      <c r="C164" s="1020">
        <v>0.4</v>
      </c>
      <c r="D164" s="597" t="s">
        <v>690</v>
      </c>
      <c r="E164" s="597" t="s">
        <v>691</v>
      </c>
      <c r="F164" s="1020">
        <v>0.09</v>
      </c>
      <c r="G164" s="597" t="s">
        <v>688</v>
      </c>
      <c r="H164" s="597" t="s">
        <v>689</v>
      </c>
      <c r="I164" s="1020">
        <v>0.01</v>
      </c>
      <c r="J164" s="1020">
        <f t="shared" si="6"/>
        <v>0.5</v>
      </c>
      <c r="K164" s="1020"/>
      <c r="L164" s="1020">
        <v>0.4</v>
      </c>
      <c r="M164" s="597" t="s">
        <v>690</v>
      </c>
      <c r="N164" s="597" t="s">
        <v>691</v>
      </c>
      <c r="O164" s="1020">
        <v>0.09</v>
      </c>
      <c r="P164" s="597" t="s">
        <v>688</v>
      </c>
      <c r="Q164" s="597" t="s">
        <v>689</v>
      </c>
      <c r="R164" s="1020">
        <v>0.01</v>
      </c>
      <c r="S164" s="1020">
        <f t="shared" si="7"/>
        <v>0.5</v>
      </c>
      <c r="T164" s="947"/>
      <c r="U164" s="877"/>
      <c r="V164" s="877"/>
      <c r="W164" s="877"/>
      <c r="X164" s="1015"/>
      <c r="Y164" s="924"/>
      <c r="Z164" s="883"/>
      <c r="AA164" s="925"/>
      <c r="AB164" s="912"/>
      <c r="AC164" s="1011" t="s">
        <v>1206</v>
      </c>
      <c r="AD164" s="1011" t="s">
        <v>1206</v>
      </c>
      <c r="AE164" s="1011" t="s">
        <v>1206</v>
      </c>
      <c r="AF164" s="1011" t="s">
        <v>1206</v>
      </c>
      <c r="AH164" s="1011" t="b">
        <f t="shared" si="8"/>
        <v>1</v>
      </c>
      <c r="AI164" s="1011" t="s">
        <v>213</v>
      </c>
      <c r="AJ164" s="1011" t="s">
        <v>212</v>
      </c>
      <c r="AK164" s="1011" t="s">
        <v>1667</v>
      </c>
      <c r="AL164" s="1011" t="s">
        <v>1668</v>
      </c>
    </row>
    <row r="165" spans="1:43" ht="15" x14ac:dyDescent="0.2">
      <c r="A165" s="1018" t="s">
        <v>215</v>
      </c>
      <c r="B165" s="1019" t="s">
        <v>214</v>
      </c>
      <c r="C165" s="1020">
        <v>0.99</v>
      </c>
      <c r="D165" s="597" t="s">
        <v>600</v>
      </c>
      <c r="E165" s="597" t="s">
        <v>765</v>
      </c>
      <c r="F165" s="1020">
        <v>0</v>
      </c>
      <c r="G165" s="597" t="s">
        <v>766</v>
      </c>
      <c r="H165" s="597" t="s">
        <v>767</v>
      </c>
      <c r="I165" s="1020">
        <v>0.01</v>
      </c>
      <c r="J165" s="1020">
        <f t="shared" si="6"/>
        <v>1</v>
      </c>
      <c r="K165" s="1020"/>
      <c r="L165" s="1020">
        <v>0.49</v>
      </c>
      <c r="M165" s="597" t="s">
        <v>600</v>
      </c>
      <c r="N165" s="597" t="s">
        <v>765</v>
      </c>
      <c r="O165" s="1020">
        <v>0</v>
      </c>
      <c r="P165" s="597" t="s">
        <v>766</v>
      </c>
      <c r="Q165" s="597" t="s">
        <v>767</v>
      </c>
      <c r="R165" s="1020">
        <v>0.01</v>
      </c>
      <c r="S165" s="1020">
        <f t="shared" si="7"/>
        <v>0.5</v>
      </c>
      <c r="T165" s="947" t="s">
        <v>1005</v>
      </c>
      <c r="U165" s="889" t="s">
        <v>992</v>
      </c>
      <c r="V165" s="886" t="s">
        <v>1169</v>
      </c>
      <c r="W165" s="877"/>
      <c r="X165" s="937" t="s">
        <v>1005</v>
      </c>
      <c r="Y165" s="1057">
        <f>6085584+810769</f>
        <v>6896353</v>
      </c>
      <c r="Z165" s="964">
        <v>5633897</v>
      </c>
      <c r="AA165" s="927"/>
      <c r="AB165" s="914" t="s">
        <v>1005</v>
      </c>
      <c r="AC165" s="1011" t="s">
        <v>1206</v>
      </c>
      <c r="AD165" s="1011" t="s">
        <v>1206</v>
      </c>
      <c r="AE165" s="1011" t="s">
        <v>1206</v>
      </c>
      <c r="AF165" s="1011" t="s">
        <v>1206</v>
      </c>
      <c r="AG165" s="1112"/>
      <c r="AH165" s="1011" t="b">
        <f t="shared" si="8"/>
        <v>1</v>
      </c>
      <c r="AI165" s="1011" t="s">
        <v>215</v>
      </c>
      <c r="AJ165" s="1011" t="s">
        <v>214</v>
      </c>
      <c r="AK165" s="1011" t="s">
        <v>1669</v>
      </c>
      <c r="AL165" s="1011" t="s">
        <v>1670</v>
      </c>
      <c r="AM165" s="1011" t="s">
        <v>1671</v>
      </c>
      <c r="AN165" s="1011" t="s">
        <v>1672</v>
      </c>
    </row>
    <row r="166" spans="1:43" ht="15.75" customHeight="1" x14ac:dyDescent="0.2">
      <c r="A166" s="1018" t="s">
        <v>217</v>
      </c>
      <c r="B166" s="1019" t="s">
        <v>216</v>
      </c>
      <c r="C166" s="1020">
        <v>0.4</v>
      </c>
      <c r="D166" s="597" t="s">
        <v>736</v>
      </c>
      <c r="E166" s="597" t="s">
        <v>737</v>
      </c>
      <c r="F166" s="1020">
        <v>0.09</v>
      </c>
      <c r="G166" s="597" t="s">
        <v>734</v>
      </c>
      <c r="H166" s="597" t="s">
        <v>735</v>
      </c>
      <c r="I166" s="1020">
        <v>0.01</v>
      </c>
      <c r="J166" s="1020">
        <f t="shared" si="6"/>
        <v>0.5</v>
      </c>
      <c r="K166" s="1020"/>
      <c r="L166" s="1020">
        <v>0.4</v>
      </c>
      <c r="M166" s="597" t="s">
        <v>736</v>
      </c>
      <c r="N166" s="597" t="s">
        <v>737</v>
      </c>
      <c r="O166" s="1020">
        <v>0.09</v>
      </c>
      <c r="P166" s="597" t="s">
        <v>734</v>
      </c>
      <c r="Q166" s="597" t="s">
        <v>735</v>
      </c>
      <c r="R166" s="1020">
        <v>0.01</v>
      </c>
      <c r="S166" s="1020">
        <f t="shared" si="7"/>
        <v>0.5</v>
      </c>
      <c r="T166" s="947"/>
      <c r="U166" s="877"/>
      <c r="V166" s="877"/>
      <c r="W166" s="877"/>
      <c r="X166" s="1015"/>
      <c r="Y166" s="924"/>
      <c r="Z166" s="883"/>
      <c r="AA166" s="925"/>
      <c r="AB166" s="912"/>
      <c r="AC166" s="1011" t="s">
        <v>1206</v>
      </c>
      <c r="AD166" s="1011" t="s">
        <v>1206</v>
      </c>
      <c r="AE166" s="1011" t="s">
        <v>1206</v>
      </c>
      <c r="AF166" s="1011" t="s">
        <v>1206</v>
      </c>
      <c r="AH166" s="1011" t="b">
        <f t="shared" si="8"/>
        <v>1</v>
      </c>
      <c r="AI166" s="1011" t="s">
        <v>217</v>
      </c>
      <c r="AJ166" s="1011" t="s">
        <v>216</v>
      </c>
      <c r="AK166" s="1011" t="s">
        <v>1673</v>
      </c>
      <c r="AL166" s="1011" t="s">
        <v>1674</v>
      </c>
    </row>
    <row r="167" spans="1:43" ht="15.75" customHeight="1" x14ac:dyDescent="0.2">
      <c r="A167" s="1018" t="s">
        <v>219</v>
      </c>
      <c r="B167" s="1019" t="s">
        <v>701</v>
      </c>
      <c r="C167" s="1020">
        <v>0.49</v>
      </c>
      <c r="D167" s="597" t="s">
        <v>600</v>
      </c>
      <c r="E167" s="597" t="s">
        <v>601</v>
      </c>
      <c r="F167" s="1020">
        <v>0</v>
      </c>
      <c r="G167" s="597" t="s">
        <v>702</v>
      </c>
      <c r="H167" s="597" t="s">
        <v>703</v>
      </c>
      <c r="I167" s="1020">
        <v>0.01</v>
      </c>
      <c r="J167" s="1020">
        <f t="shared" si="6"/>
        <v>0.5</v>
      </c>
      <c r="K167" s="1020"/>
      <c r="L167" s="1020">
        <v>0.49</v>
      </c>
      <c r="M167" s="597" t="s">
        <v>600</v>
      </c>
      <c r="N167" s="597" t="s">
        <v>601</v>
      </c>
      <c r="O167" s="1020">
        <v>0</v>
      </c>
      <c r="P167" s="597" t="s">
        <v>702</v>
      </c>
      <c r="Q167" s="597" t="s">
        <v>703</v>
      </c>
      <c r="R167" s="1020">
        <v>0.01</v>
      </c>
      <c r="S167" s="1020">
        <f t="shared" si="7"/>
        <v>0.5</v>
      </c>
      <c r="T167" s="1106" t="s">
        <v>1005</v>
      </c>
      <c r="U167" s="1107" t="s">
        <v>2257</v>
      </c>
      <c r="V167" s="877"/>
      <c r="W167" s="877"/>
      <c r="X167" s="937" t="s">
        <v>1005</v>
      </c>
      <c r="Y167" s="924"/>
      <c r="Z167" s="883"/>
      <c r="AA167" s="925"/>
      <c r="AB167" s="914" t="s">
        <v>1005</v>
      </c>
      <c r="AC167" s="1011" t="s">
        <v>1005</v>
      </c>
      <c r="AD167" s="1011" t="s">
        <v>1206</v>
      </c>
      <c r="AE167" s="1011" t="s">
        <v>1206</v>
      </c>
      <c r="AF167" s="1011" t="s">
        <v>1206</v>
      </c>
      <c r="AH167" s="1011" t="b">
        <f t="shared" si="8"/>
        <v>1</v>
      </c>
      <c r="AI167" s="1011" t="s">
        <v>219</v>
      </c>
      <c r="AJ167" s="1011" t="s">
        <v>218</v>
      </c>
      <c r="AK167" s="1011" t="s">
        <v>1675</v>
      </c>
      <c r="AL167" s="1011" t="s">
        <v>1676</v>
      </c>
    </row>
    <row r="168" spans="1:43" ht="15.75" customHeight="1" x14ac:dyDescent="0.2">
      <c r="A168" s="1018" t="s">
        <v>221</v>
      </c>
      <c r="B168" s="1019" t="s">
        <v>220</v>
      </c>
      <c r="C168" s="1020">
        <v>0.4</v>
      </c>
      <c r="D168" s="597" t="s">
        <v>717</v>
      </c>
      <c r="E168" s="597" t="s">
        <v>718</v>
      </c>
      <c r="F168" s="1020">
        <v>0.09</v>
      </c>
      <c r="G168" s="597" t="s">
        <v>714</v>
      </c>
      <c r="H168" s="597" t="s">
        <v>715</v>
      </c>
      <c r="I168" s="1020">
        <v>0.01</v>
      </c>
      <c r="J168" s="1020">
        <f t="shared" si="6"/>
        <v>0.5</v>
      </c>
      <c r="K168" s="1020"/>
      <c r="L168" s="1020">
        <v>0.4</v>
      </c>
      <c r="M168" s="597" t="s">
        <v>717</v>
      </c>
      <c r="N168" s="597" t="s">
        <v>718</v>
      </c>
      <c r="O168" s="1020">
        <v>0.09</v>
      </c>
      <c r="P168" s="597" t="s">
        <v>714</v>
      </c>
      <c r="Q168" s="597" t="s">
        <v>715</v>
      </c>
      <c r="R168" s="1020">
        <v>0.01</v>
      </c>
      <c r="S168" s="1020">
        <f t="shared" si="7"/>
        <v>0.5</v>
      </c>
      <c r="T168" s="949"/>
      <c r="U168" s="885"/>
      <c r="V168" s="885"/>
      <c r="W168" s="885"/>
      <c r="X168" s="1015"/>
      <c r="Y168" s="924"/>
      <c r="Z168" s="883"/>
      <c r="AA168" s="925"/>
      <c r="AB168" s="912"/>
      <c r="AC168" s="1011" t="s">
        <v>1206</v>
      </c>
      <c r="AD168" s="1011" t="s">
        <v>1206</v>
      </c>
      <c r="AE168" s="1011" t="s">
        <v>1206</v>
      </c>
      <c r="AF168" s="1011" t="s">
        <v>1206</v>
      </c>
      <c r="AH168" s="1011" t="b">
        <f t="shared" si="8"/>
        <v>1</v>
      </c>
      <c r="AI168" s="1011" t="s">
        <v>221</v>
      </c>
      <c r="AJ168" s="1011" t="s">
        <v>220</v>
      </c>
      <c r="AK168" s="1011" t="s">
        <v>1677</v>
      </c>
      <c r="AL168" s="1011" t="s">
        <v>1678</v>
      </c>
      <c r="AM168" s="1011" t="s">
        <v>1679</v>
      </c>
      <c r="AN168" s="1011" t="s">
        <v>1680</v>
      </c>
      <c r="AO168" s="1011" t="s">
        <v>1680</v>
      </c>
      <c r="AP168" s="1011" t="s">
        <v>1681</v>
      </c>
      <c r="AQ168" s="1011" t="s">
        <v>1682</v>
      </c>
    </row>
    <row r="169" spans="1:43" ht="15.75" customHeight="1" x14ac:dyDescent="0.2">
      <c r="A169" s="1018" t="s">
        <v>223</v>
      </c>
      <c r="B169" s="1019" t="s">
        <v>222</v>
      </c>
      <c r="C169" s="1020">
        <v>0.4</v>
      </c>
      <c r="D169" s="597" t="s">
        <v>744</v>
      </c>
      <c r="E169" s="597" t="s">
        <v>745</v>
      </c>
      <c r="F169" s="1020">
        <v>0.09</v>
      </c>
      <c r="G169" s="597" t="s">
        <v>649</v>
      </c>
      <c r="H169" s="597" t="s">
        <v>650</v>
      </c>
      <c r="I169" s="1020">
        <v>0.01</v>
      </c>
      <c r="J169" s="1020">
        <f t="shared" si="6"/>
        <v>0.5</v>
      </c>
      <c r="K169" s="1020"/>
      <c r="L169" s="1020">
        <v>0.4</v>
      </c>
      <c r="M169" s="597" t="s">
        <v>744</v>
      </c>
      <c r="N169" s="597" t="s">
        <v>745</v>
      </c>
      <c r="O169" s="1020">
        <v>0.09</v>
      </c>
      <c r="P169" s="597" t="s">
        <v>649</v>
      </c>
      <c r="Q169" s="597" t="s">
        <v>650</v>
      </c>
      <c r="R169" s="1020">
        <v>0.01</v>
      </c>
      <c r="S169" s="1020">
        <f t="shared" si="7"/>
        <v>0.5</v>
      </c>
      <c r="T169" s="947"/>
      <c r="U169" s="877"/>
      <c r="V169" s="877"/>
      <c r="W169" s="877"/>
      <c r="X169" s="1015"/>
      <c r="Y169" s="924"/>
      <c r="Z169" s="883"/>
      <c r="AA169" s="925"/>
      <c r="AB169" s="912"/>
      <c r="AC169" s="1011" t="s">
        <v>1206</v>
      </c>
      <c r="AD169" s="1011" t="s">
        <v>1206</v>
      </c>
      <c r="AE169" s="1011" t="s">
        <v>1206</v>
      </c>
      <c r="AF169" s="1011" t="s">
        <v>1206</v>
      </c>
      <c r="AH169" s="1011" t="b">
        <f t="shared" si="8"/>
        <v>1</v>
      </c>
      <c r="AI169" s="1011" t="s">
        <v>223</v>
      </c>
      <c r="AJ169" s="1011" t="s">
        <v>222</v>
      </c>
      <c r="AK169" s="1011" t="s">
        <v>1683</v>
      </c>
      <c r="AL169" s="1011" t="s">
        <v>1684</v>
      </c>
    </row>
    <row r="170" spans="1:43" ht="15.75" customHeight="1" x14ac:dyDescent="0.2">
      <c r="A170" s="1018" t="s">
        <v>225</v>
      </c>
      <c r="B170" s="1019" t="s">
        <v>224</v>
      </c>
      <c r="C170" s="1020">
        <v>0.3</v>
      </c>
      <c r="D170" s="597" t="s">
        <v>779</v>
      </c>
      <c r="E170" s="597" t="s">
        <v>780</v>
      </c>
      <c r="F170" s="1020">
        <v>0.37</v>
      </c>
      <c r="G170" s="597" t="s">
        <v>600</v>
      </c>
      <c r="H170" s="597" t="s">
        <v>600</v>
      </c>
      <c r="I170" s="1020">
        <v>0</v>
      </c>
      <c r="J170" s="1020">
        <f t="shared" si="6"/>
        <v>0.66999999999999993</v>
      </c>
      <c r="K170" s="1020"/>
      <c r="L170" s="1020">
        <v>0.3</v>
      </c>
      <c r="M170" s="597" t="s">
        <v>779</v>
      </c>
      <c r="N170" s="597" t="s">
        <v>780</v>
      </c>
      <c r="O170" s="1020">
        <v>0.2</v>
      </c>
      <c r="P170" s="597" t="s">
        <v>600</v>
      </c>
      <c r="Q170" s="597" t="s">
        <v>600</v>
      </c>
      <c r="R170" s="1020">
        <v>0</v>
      </c>
      <c r="S170" s="1020">
        <f t="shared" si="7"/>
        <v>0.5</v>
      </c>
      <c r="T170" s="947"/>
      <c r="U170" s="877"/>
      <c r="V170" s="877"/>
      <c r="W170" s="877"/>
      <c r="X170" s="937" t="s">
        <v>1005</v>
      </c>
      <c r="Y170" s="924"/>
      <c r="Z170" s="883"/>
      <c r="AA170" s="925"/>
      <c r="AB170" s="914" t="s">
        <v>1005</v>
      </c>
      <c r="AC170" s="1011" t="s">
        <v>1206</v>
      </c>
      <c r="AD170" s="1011" t="s">
        <v>1206</v>
      </c>
      <c r="AE170" s="1011" t="s">
        <v>1206</v>
      </c>
      <c r="AF170" s="1011" t="s">
        <v>1206</v>
      </c>
      <c r="AH170" s="1011" t="b">
        <f t="shared" si="8"/>
        <v>1</v>
      </c>
      <c r="AI170" s="1011" t="s">
        <v>225</v>
      </c>
      <c r="AJ170" s="1011" t="s">
        <v>224</v>
      </c>
      <c r="AK170" s="1011" t="s">
        <v>1685</v>
      </c>
      <c r="AL170" s="1011" t="s">
        <v>1686</v>
      </c>
    </row>
    <row r="171" spans="1:43" ht="15.75" customHeight="1" x14ac:dyDescent="0.2">
      <c r="A171" s="1018" t="s">
        <v>227</v>
      </c>
      <c r="B171" s="1019" t="s">
        <v>226</v>
      </c>
      <c r="C171" s="1020">
        <v>0.4</v>
      </c>
      <c r="D171" s="597" t="s">
        <v>652</v>
      </c>
      <c r="E171" s="597" t="s">
        <v>653</v>
      </c>
      <c r="F171" s="1020">
        <v>0.09</v>
      </c>
      <c r="G171" s="597" t="s">
        <v>649</v>
      </c>
      <c r="H171" s="597" t="s">
        <v>650</v>
      </c>
      <c r="I171" s="1020">
        <v>0.01</v>
      </c>
      <c r="J171" s="1020">
        <f t="shared" si="6"/>
        <v>0.5</v>
      </c>
      <c r="K171" s="1020"/>
      <c r="L171" s="1020">
        <v>0.4</v>
      </c>
      <c r="M171" s="597" t="s">
        <v>652</v>
      </c>
      <c r="N171" s="597" t="s">
        <v>653</v>
      </c>
      <c r="O171" s="1020">
        <v>0.09</v>
      </c>
      <c r="P171" s="597" t="s">
        <v>649</v>
      </c>
      <c r="Q171" s="597" t="s">
        <v>650</v>
      </c>
      <c r="R171" s="1020">
        <v>0.01</v>
      </c>
      <c r="S171" s="1020">
        <f t="shared" si="7"/>
        <v>0.5</v>
      </c>
      <c r="T171" s="947"/>
      <c r="U171" s="877"/>
      <c r="V171" s="877"/>
      <c r="W171" s="877"/>
      <c r="X171" s="1015"/>
      <c r="Y171" s="924"/>
      <c r="Z171" s="883"/>
      <c r="AA171" s="925"/>
      <c r="AB171" s="912"/>
      <c r="AC171" s="1011" t="s">
        <v>1206</v>
      </c>
      <c r="AD171" s="1011" t="s">
        <v>1206</v>
      </c>
      <c r="AE171" s="1011" t="s">
        <v>1206</v>
      </c>
      <c r="AF171" s="1011" t="s">
        <v>1206</v>
      </c>
      <c r="AH171" s="1011" t="b">
        <f t="shared" si="8"/>
        <v>1</v>
      </c>
      <c r="AI171" s="1011" t="s">
        <v>227</v>
      </c>
      <c r="AJ171" s="1011" t="s">
        <v>226</v>
      </c>
      <c r="AK171" s="1011" t="s">
        <v>1687</v>
      </c>
      <c r="AL171" s="1011" t="s">
        <v>1688</v>
      </c>
    </row>
    <row r="172" spans="1:43" ht="15" x14ac:dyDescent="0.2">
      <c r="A172" s="1018" t="s">
        <v>229</v>
      </c>
      <c r="B172" s="1019" t="s">
        <v>228</v>
      </c>
      <c r="C172" s="1020">
        <v>0.4</v>
      </c>
      <c r="D172" s="597" t="s">
        <v>751</v>
      </c>
      <c r="E172" s="597" t="s">
        <v>752</v>
      </c>
      <c r="F172" s="1020">
        <v>0.1</v>
      </c>
      <c r="G172" s="597" t="s">
        <v>600</v>
      </c>
      <c r="H172" s="597" t="s">
        <v>639</v>
      </c>
      <c r="I172" s="1020">
        <v>0</v>
      </c>
      <c r="J172" s="1020">
        <f t="shared" si="6"/>
        <v>0.5</v>
      </c>
      <c r="K172" s="1020"/>
      <c r="L172" s="1020">
        <v>0.4</v>
      </c>
      <c r="M172" s="597" t="s">
        <v>751</v>
      </c>
      <c r="N172" s="597" t="s">
        <v>752</v>
      </c>
      <c r="O172" s="1020">
        <v>0.1</v>
      </c>
      <c r="P172" s="597" t="s">
        <v>600</v>
      </c>
      <c r="Q172" s="597" t="s">
        <v>639</v>
      </c>
      <c r="R172" s="1020">
        <v>0</v>
      </c>
      <c r="S172" s="1020">
        <f t="shared" si="7"/>
        <v>0.5</v>
      </c>
      <c r="T172" s="947" t="s">
        <v>1005</v>
      </c>
      <c r="U172" s="887" t="s">
        <v>1162</v>
      </c>
      <c r="V172" s="877"/>
      <c r="W172" s="877"/>
      <c r="X172" s="1025"/>
      <c r="Y172" s="1057">
        <v>0</v>
      </c>
      <c r="Z172" s="964"/>
      <c r="AA172" s="1023"/>
      <c r="AB172" s="912"/>
      <c r="AC172" s="1011" t="s">
        <v>1206</v>
      </c>
      <c r="AD172" s="1011" t="s">
        <v>1206</v>
      </c>
      <c r="AE172" s="1011" t="s">
        <v>1206</v>
      </c>
      <c r="AF172" s="1011" t="s">
        <v>1206</v>
      </c>
      <c r="AH172" s="1011" t="b">
        <f t="shared" si="8"/>
        <v>1</v>
      </c>
      <c r="AI172" s="1011" t="s">
        <v>229</v>
      </c>
      <c r="AJ172" s="1011" t="s">
        <v>228</v>
      </c>
      <c r="AK172" s="1011" t="s">
        <v>1230</v>
      </c>
      <c r="AL172" s="1011" t="s">
        <v>1231</v>
      </c>
    </row>
    <row r="173" spans="1:43" ht="15.75" customHeight="1" x14ac:dyDescent="0.2">
      <c r="A173" s="1018" t="s">
        <v>231</v>
      </c>
      <c r="B173" s="1019" t="s">
        <v>230</v>
      </c>
      <c r="C173" s="1020">
        <v>0.4</v>
      </c>
      <c r="D173" s="597" t="s">
        <v>760</v>
      </c>
      <c r="E173" s="597" t="s">
        <v>761</v>
      </c>
      <c r="F173" s="1020">
        <v>0.1</v>
      </c>
      <c r="G173" s="597" t="s">
        <v>600</v>
      </c>
      <c r="H173" s="597" t="s">
        <v>639</v>
      </c>
      <c r="I173" s="1020">
        <v>0</v>
      </c>
      <c r="J173" s="1020">
        <f t="shared" si="6"/>
        <v>0.5</v>
      </c>
      <c r="K173" s="1020"/>
      <c r="L173" s="1020">
        <v>0.4</v>
      </c>
      <c r="M173" s="597" t="s">
        <v>760</v>
      </c>
      <c r="N173" s="597" t="s">
        <v>761</v>
      </c>
      <c r="O173" s="1020">
        <v>0.1</v>
      </c>
      <c r="P173" s="597" t="s">
        <v>600</v>
      </c>
      <c r="Q173" s="597" t="s">
        <v>639</v>
      </c>
      <c r="R173" s="1020">
        <v>0</v>
      </c>
      <c r="S173" s="1020">
        <f t="shared" si="7"/>
        <v>0.5</v>
      </c>
      <c r="T173" s="947"/>
      <c r="U173" s="877"/>
      <c r="V173" s="877"/>
      <c r="W173" s="877"/>
      <c r="X173" s="1015"/>
      <c r="Y173" s="924"/>
      <c r="Z173" s="883"/>
      <c r="AA173" s="925"/>
      <c r="AB173" s="912"/>
      <c r="AC173" s="1011" t="s">
        <v>1206</v>
      </c>
      <c r="AD173" s="1011" t="s">
        <v>1206</v>
      </c>
      <c r="AE173" s="1011" t="s">
        <v>1206</v>
      </c>
      <c r="AF173" s="1011" t="s">
        <v>1206</v>
      </c>
      <c r="AH173" s="1011" t="b">
        <f t="shared" si="8"/>
        <v>1</v>
      </c>
      <c r="AI173" s="1011" t="s">
        <v>231</v>
      </c>
      <c r="AJ173" s="1011" t="s">
        <v>230</v>
      </c>
      <c r="AK173" s="1011" t="s">
        <v>1689</v>
      </c>
      <c r="AL173" s="1011" t="s">
        <v>1690</v>
      </c>
    </row>
    <row r="174" spans="1:43" ht="15" x14ac:dyDescent="0.2">
      <c r="A174" s="1018" t="s">
        <v>233</v>
      </c>
      <c r="B174" s="1019" t="s">
        <v>636</v>
      </c>
      <c r="C174" s="1020">
        <v>0.49</v>
      </c>
      <c r="D174" s="597" t="s">
        <v>600</v>
      </c>
      <c r="E174" s="597" t="s">
        <v>601</v>
      </c>
      <c r="F174" s="1020">
        <v>0</v>
      </c>
      <c r="G174" s="597" t="s">
        <v>634</v>
      </c>
      <c r="H174" s="597" t="s">
        <v>635</v>
      </c>
      <c r="I174" s="1020">
        <v>0.01</v>
      </c>
      <c r="J174" s="1020">
        <f t="shared" si="6"/>
        <v>0.5</v>
      </c>
      <c r="K174" s="1020"/>
      <c r="L174" s="1020">
        <v>0.49</v>
      </c>
      <c r="M174" s="597" t="s">
        <v>600</v>
      </c>
      <c r="N174" s="597" t="s">
        <v>601</v>
      </c>
      <c r="O174" s="1020">
        <v>0</v>
      </c>
      <c r="P174" s="597" t="s">
        <v>634</v>
      </c>
      <c r="Q174" s="597" t="s">
        <v>635</v>
      </c>
      <c r="R174" s="1020">
        <v>0.01</v>
      </c>
      <c r="S174" s="1020">
        <f t="shared" si="7"/>
        <v>0.5</v>
      </c>
      <c r="T174" s="947" t="s">
        <v>1005</v>
      </c>
      <c r="U174" s="889" t="s">
        <v>985</v>
      </c>
      <c r="V174" s="890" t="s">
        <v>1166</v>
      </c>
      <c r="W174" s="877"/>
      <c r="X174" s="937" t="s">
        <v>1005</v>
      </c>
      <c r="Y174" s="926">
        <v>0</v>
      </c>
      <c r="Z174" s="964">
        <v>3303024</v>
      </c>
      <c r="AA174" s="927"/>
      <c r="AB174" s="914" t="s">
        <v>1005</v>
      </c>
      <c r="AC174" s="1011" t="s">
        <v>1206</v>
      </c>
      <c r="AD174" s="1011" t="s">
        <v>1206</v>
      </c>
      <c r="AE174" s="1011" t="s">
        <v>1206</v>
      </c>
      <c r="AF174" s="1011" t="s">
        <v>1206</v>
      </c>
      <c r="AH174" s="1011" t="b">
        <f t="shared" si="8"/>
        <v>1</v>
      </c>
      <c r="AI174" s="1011" t="s">
        <v>233</v>
      </c>
      <c r="AJ174" s="1011" t="s">
        <v>232</v>
      </c>
      <c r="AK174" s="1011" t="s">
        <v>1691</v>
      </c>
      <c r="AL174" s="1011" t="s">
        <v>1692</v>
      </c>
      <c r="AM174" s="1011" t="s">
        <v>1693</v>
      </c>
      <c r="AN174" s="1011" t="s">
        <v>1694</v>
      </c>
    </row>
    <row r="175" spans="1:43" ht="15.75" customHeight="1" x14ac:dyDescent="0.2">
      <c r="A175" s="1018" t="s">
        <v>235</v>
      </c>
      <c r="B175" s="1019" t="s">
        <v>618</v>
      </c>
      <c r="C175" s="1020">
        <v>0.49</v>
      </c>
      <c r="D175" s="597" t="s">
        <v>600</v>
      </c>
      <c r="E175" s="597" t="s">
        <v>601</v>
      </c>
      <c r="F175" s="1020">
        <v>0</v>
      </c>
      <c r="G175" s="597" t="s">
        <v>619</v>
      </c>
      <c r="H175" s="597" t="s">
        <v>620</v>
      </c>
      <c r="I175" s="1020">
        <v>0.01</v>
      </c>
      <c r="J175" s="1020">
        <f t="shared" si="6"/>
        <v>0.5</v>
      </c>
      <c r="K175" s="1020"/>
      <c r="L175" s="1020">
        <v>0.49</v>
      </c>
      <c r="M175" s="597" t="s">
        <v>600</v>
      </c>
      <c r="N175" s="597" t="s">
        <v>601</v>
      </c>
      <c r="O175" s="1020">
        <v>0</v>
      </c>
      <c r="P175" s="597" t="s">
        <v>619</v>
      </c>
      <c r="Q175" s="597" t="s">
        <v>620</v>
      </c>
      <c r="R175" s="1020">
        <v>0.01</v>
      </c>
      <c r="S175" s="1020">
        <f t="shared" si="7"/>
        <v>0.5</v>
      </c>
      <c r="T175" s="947"/>
      <c r="U175" s="877"/>
      <c r="V175" s="877"/>
      <c r="W175" s="877"/>
      <c r="X175" s="937" t="s">
        <v>1005</v>
      </c>
      <c r="Y175" s="918"/>
      <c r="Z175" s="878"/>
      <c r="AA175" s="919"/>
      <c r="AB175" s="914" t="s">
        <v>1005</v>
      </c>
      <c r="AC175" s="1011" t="s">
        <v>1206</v>
      </c>
      <c r="AD175" s="1011" t="s">
        <v>1206</v>
      </c>
      <c r="AE175" s="1011" t="s">
        <v>1206</v>
      </c>
      <c r="AF175" s="1011" t="s">
        <v>1206</v>
      </c>
      <c r="AH175" s="1011" t="b">
        <f t="shared" si="8"/>
        <v>1</v>
      </c>
      <c r="AI175" s="1011" t="s">
        <v>235</v>
      </c>
      <c r="AJ175" s="1011" t="s">
        <v>234</v>
      </c>
      <c r="AK175" s="1011" t="s">
        <v>1695</v>
      </c>
      <c r="AL175" s="1011" t="s">
        <v>1696</v>
      </c>
    </row>
    <row r="176" spans="1:43" ht="15.75" customHeight="1" x14ac:dyDescent="0.2">
      <c r="A176" s="1018" t="s">
        <v>237</v>
      </c>
      <c r="B176" s="1019" t="s">
        <v>236</v>
      </c>
      <c r="C176" s="1020">
        <v>0.4</v>
      </c>
      <c r="D176" s="597" t="s">
        <v>753</v>
      </c>
      <c r="E176" s="597" t="s">
        <v>754</v>
      </c>
      <c r="F176" s="1020">
        <v>0.1</v>
      </c>
      <c r="G176" s="597" t="s">
        <v>600</v>
      </c>
      <c r="H176" s="597" t="s">
        <v>639</v>
      </c>
      <c r="I176" s="1020">
        <v>0</v>
      </c>
      <c r="J176" s="1020">
        <f t="shared" si="6"/>
        <v>0.5</v>
      </c>
      <c r="K176" s="1020"/>
      <c r="L176" s="1020">
        <v>0.4</v>
      </c>
      <c r="M176" s="597" t="s">
        <v>753</v>
      </c>
      <c r="N176" s="597" t="s">
        <v>754</v>
      </c>
      <c r="O176" s="1020">
        <v>0.1</v>
      </c>
      <c r="P176" s="597" t="s">
        <v>600</v>
      </c>
      <c r="Q176" s="597" t="s">
        <v>639</v>
      </c>
      <c r="R176" s="1020">
        <v>0</v>
      </c>
      <c r="S176" s="1020">
        <f t="shared" si="7"/>
        <v>0.5</v>
      </c>
      <c r="T176" s="947"/>
      <c r="U176" s="877"/>
      <c r="V176" s="877"/>
      <c r="W176" s="877"/>
      <c r="X176" s="1015"/>
      <c r="Y176" s="924"/>
      <c r="Z176" s="883"/>
      <c r="AA176" s="925"/>
      <c r="AB176" s="912"/>
      <c r="AC176" s="1011" t="s">
        <v>1206</v>
      </c>
      <c r="AD176" s="1011" t="s">
        <v>1206</v>
      </c>
      <c r="AE176" s="1011" t="s">
        <v>1206</v>
      </c>
      <c r="AF176" s="1011" t="s">
        <v>1206</v>
      </c>
      <c r="AH176" s="1011" t="b">
        <f t="shared" si="8"/>
        <v>1</v>
      </c>
      <c r="AI176" s="1011" t="s">
        <v>237</v>
      </c>
      <c r="AJ176" s="1011" t="s">
        <v>236</v>
      </c>
      <c r="AK176" s="1011" t="s">
        <v>1697</v>
      </c>
      <c r="AL176" s="1011" t="s">
        <v>1698</v>
      </c>
      <c r="AO176" s="1011" t="s">
        <v>1699</v>
      </c>
      <c r="AP176" s="1011" t="s">
        <v>1700</v>
      </c>
      <c r="AQ176" s="1011" t="s">
        <v>1701</v>
      </c>
    </row>
    <row r="177" spans="1:43" ht="15.75" customHeight="1" x14ac:dyDescent="0.2">
      <c r="A177" s="1018" t="s">
        <v>239</v>
      </c>
      <c r="B177" s="1019" t="s">
        <v>238</v>
      </c>
      <c r="C177" s="1020">
        <v>0.4</v>
      </c>
      <c r="D177" s="597" t="s">
        <v>685</v>
      </c>
      <c r="E177" s="597" t="s">
        <v>686</v>
      </c>
      <c r="F177" s="1020">
        <v>0.09</v>
      </c>
      <c r="G177" s="597" t="s">
        <v>682</v>
      </c>
      <c r="H177" s="597" t="s">
        <v>683</v>
      </c>
      <c r="I177" s="1020">
        <v>0.01</v>
      </c>
      <c r="J177" s="1020">
        <f t="shared" si="6"/>
        <v>0.5</v>
      </c>
      <c r="K177" s="1020"/>
      <c r="L177" s="1020">
        <v>0.4</v>
      </c>
      <c r="M177" s="597" t="s">
        <v>685</v>
      </c>
      <c r="N177" s="597" t="s">
        <v>686</v>
      </c>
      <c r="O177" s="1020">
        <v>0.09</v>
      </c>
      <c r="P177" s="597" t="s">
        <v>682</v>
      </c>
      <c r="Q177" s="597" t="s">
        <v>683</v>
      </c>
      <c r="R177" s="1020">
        <v>0.01</v>
      </c>
      <c r="S177" s="1020">
        <f t="shared" si="7"/>
        <v>0.5</v>
      </c>
      <c r="T177" s="947"/>
      <c r="U177" s="877"/>
      <c r="V177" s="877"/>
      <c r="W177" s="877"/>
      <c r="X177" s="1015"/>
      <c r="Y177" s="924"/>
      <c r="Z177" s="883"/>
      <c r="AA177" s="925"/>
      <c r="AB177" s="912"/>
      <c r="AC177" s="1011" t="s">
        <v>1206</v>
      </c>
      <c r="AD177" s="1011" t="s">
        <v>1206</v>
      </c>
      <c r="AE177" s="1011" t="s">
        <v>1206</v>
      </c>
      <c r="AF177" s="1011" t="s">
        <v>1206</v>
      </c>
      <c r="AH177" s="1011" t="b">
        <f t="shared" si="8"/>
        <v>1</v>
      </c>
      <c r="AI177" s="1011" t="s">
        <v>239</v>
      </c>
      <c r="AJ177" s="1011" t="s">
        <v>238</v>
      </c>
      <c r="AK177" s="1011" t="s">
        <v>1702</v>
      </c>
      <c r="AL177" s="1011" t="s">
        <v>1703</v>
      </c>
    </row>
    <row r="178" spans="1:43" ht="15.75" customHeight="1" x14ac:dyDescent="0.2">
      <c r="A178" s="1018" t="s">
        <v>241</v>
      </c>
      <c r="B178" s="1019" t="s">
        <v>738</v>
      </c>
      <c r="C178" s="1020">
        <v>0.4</v>
      </c>
      <c r="D178" s="597" t="s">
        <v>736</v>
      </c>
      <c r="E178" s="597" t="s">
        <v>737</v>
      </c>
      <c r="F178" s="1020">
        <v>0.09</v>
      </c>
      <c r="G178" s="597" t="s">
        <v>734</v>
      </c>
      <c r="H178" s="597" t="s">
        <v>735</v>
      </c>
      <c r="I178" s="1020">
        <v>0.01</v>
      </c>
      <c r="J178" s="1020">
        <f t="shared" si="6"/>
        <v>0.5</v>
      </c>
      <c r="K178" s="1020"/>
      <c r="L178" s="1020">
        <v>0.4</v>
      </c>
      <c r="M178" s="597" t="s">
        <v>736</v>
      </c>
      <c r="N178" s="597" t="s">
        <v>737</v>
      </c>
      <c r="O178" s="1020">
        <v>0.09</v>
      </c>
      <c r="P178" s="597" t="s">
        <v>734</v>
      </c>
      <c r="Q178" s="597" t="s">
        <v>735</v>
      </c>
      <c r="R178" s="1020">
        <v>0.01</v>
      </c>
      <c r="S178" s="1020">
        <f t="shared" si="7"/>
        <v>0.5</v>
      </c>
      <c r="T178" s="947"/>
      <c r="U178" s="877"/>
      <c r="V178" s="877"/>
      <c r="W178" s="877"/>
      <c r="X178" s="1015"/>
      <c r="Y178" s="924"/>
      <c r="Z178" s="883"/>
      <c r="AA178" s="925"/>
      <c r="AB178" s="912"/>
      <c r="AC178" s="1011" t="s">
        <v>1206</v>
      </c>
      <c r="AD178" s="1011" t="s">
        <v>1206</v>
      </c>
      <c r="AE178" s="1011" t="s">
        <v>1206</v>
      </c>
      <c r="AF178" s="1011" t="s">
        <v>1206</v>
      </c>
      <c r="AH178" s="1011" t="b">
        <f t="shared" si="8"/>
        <v>1</v>
      </c>
      <c r="AI178" s="1011" t="s">
        <v>241</v>
      </c>
      <c r="AJ178" s="1011" t="s">
        <v>240</v>
      </c>
      <c r="AK178" s="1011" t="s">
        <v>1704</v>
      </c>
      <c r="AL178" s="1011" t="s">
        <v>1705</v>
      </c>
      <c r="AO178" s="1011" t="s">
        <v>1706</v>
      </c>
      <c r="AP178" s="1011" t="s">
        <v>1707</v>
      </c>
      <c r="AQ178" s="1011" t="s">
        <v>1708</v>
      </c>
    </row>
    <row r="179" spans="1:43" ht="15" x14ac:dyDescent="0.2">
      <c r="A179" s="1018" t="s">
        <v>245</v>
      </c>
      <c r="B179" s="1019" t="s">
        <v>244</v>
      </c>
      <c r="C179" s="1020">
        <v>0.4</v>
      </c>
      <c r="D179" s="597" t="s">
        <v>749</v>
      </c>
      <c r="E179" s="597" t="s">
        <v>750</v>
      </c>
      <c r="F179" s="1020">
        <v>0.09</v>
      </c>
      <c r="G179" s="597" t="s">
        <v>747</v>
      </c>
      <c r="H179" s="597" t="s">
        <v>748</v>
      </c>
      <c r="I179" s="1020">
        <v>0.01</v>
      </c>
      <c r="J179" s="1020">
        <f t="shared" si="6"/>
        <v>0.5</v>
      </c>
      <c r="K179" s="1020"/>
      <c r="L179" s="1020">
        <v>0.4</v>
      </c>
      <c r="M179" s="597" t="s">
        <v>749</v>
      </c>
      <c r="N179" s="597" t="s">
        <v>750</v>
      </c>
      <c r="O179" s="1020">
        <v>0.09</v>
      </c>
      <c r="P179" s="597" t="s">
        <v>747</v>
      </c>
      <c r="Q179" s="597" t="s">
        <v>748</v>
      </c>
      <c r="R179" s="1020">
        <v>0.01</v>
      </c>
      <c r="S179" s="1020">
        <f t="shared" si="7"/>
        <v>0.5</v>
      </c>
      <c r="T179" s="947" t="s">
        <v>1005</v>
      </c>
      <c r="U179" s="886" t="s">
        <v>1170</v>
      </c>
      <c r="V179" s="877"/>
      <c r="W179" s="877"/>
      <c r="X179" s="1015"/>
      <c r="Y179" s="1057">
        <v>0</v>
      </c>
      <c r="Z179" s="964"/>
      <c r="AA179" s="1023"/>
      <c r="AB179" s="912"/>
      <c r="AC179" s="1011" t="s">
        <v>1206</v>
      </c>
      <c r="AD179" s="1011" t="s">
        <v>1206</v>
      </c>
      <c r="AE179" s="1011" t="s">
        <v>1206</v>
      </c>
      <c r="AF179" s="1011" t="s">
        <v>1206</v>
      </c>
      <c r="AH179" s="1011" t="b">
        <f t="shared" si="8"/>
        <v>0</v>
      </c>
      <c r="AI179" s="1011" t="s">
        <v>243</v>
      </c>
      <c r="AJ179" s="1011" t="s">
        <v>1709</v>
      </c>
      <c r="AK179" s="1011" t="s">
        <v>1710</v>
      </c>
      <c r="AL179" s="1011" t="s">
        <v>1711</v>
      </c>
    </row>
    <row r="180" spans="1:43" ht="15" x14ac:dyDescent="0.2">
      <c r="A180" s="1018" t="s">
        <v>243</v>
      </c>
      <c r="B180" s="1021" t="s">
        <v>242</v>
      </c>
      <c r="C180" s="1020">
        <v>0.49</v>
      </c>
      <c r="D180" s="597" t="s">
        <v>600</v>
      </c>
      <c r="E180" s="597" t="s">
        <v>765</v>
      </c>
      <c r="F180" s="1020">
        <v>0</v>
      </c>
      <c r="G180" s="597" t="s">
        <v>772</v>
      </c>
      <c r="H180" s="597" t="s">
        <v>773</v>
      </c>
      <c r="I180" s="1020">
        <v>0.01</v>
      </c>
      <c r="J180" s="1020">
        <f t="shared" si="6"/>
        <v>0.5</v>
      </c>
      <c r="K180" s="1020"/>
      <c r="L180" s="1020">
        <v>0.49</v>
      </c>
      <c r="M180" s="597" t="s">
        <v>600</v>
      </c>
      <c r="N180" s="597" t="s">
        <v>765</v>
      </c>
      <c r="O180" s="1020">
        <v>0</v>
      </c>
      <c r="P180" s="597" t="s">
        <v>772</v>
      </c>
      <c r="Q180" s="597" t="s">
        <v>773</v>
      </c>
      <c r="R180" s="1020">
        <v>0.01</v>
      </c>
      <c r="S180" s="1020">
        <f t="shared" si="7"/>
        <v>0.5</v>
      </c>
      <c r="T180" s="947" t="s">
        <v>1005</v>
      </c>
      <c r="U180" s="877" t="s">
        <v>993</v>
      </c>
      <c r="V180" s="877" t="s">
        <v>982</v>
      </c>
      <c r="W180" s="1107" t="s">
        <v>2250</v>
      </c>
      <c r="X180" s="937" t="s">
        <v>1005</v>
      </c>
      <c r="Y180" s="926">
        <v>69741</v>
      </c>
      <c r="Z180" s="888">
        <v>6021755</v>
      </c>
      <c r="AA180" s="927"/>
      <c r="AB180" s="914" t="s">
        <v>1005</v>
      </c>
      <c r="AC180" s="1011" t="s">
        <v>1206</v>
      </c>
      <c r="AD180" s="1011" t="s">
        <v>1206</v>
      </c>
      <c r="AE180" s="1011" t="s">
        <v>1005</v>
      </c>
      <c r="AF180" s="1011" t="s">
        <v>1206</v>
      </c>
      <c r="AH180" s="1011" t="b">
        <f t="shared" si="8"/>
        <v>0</v>
      </c>
      <c r="AI180" s="1011" t="s">
        <v>245</v>
      </c>
      <c r="AJ180" s="1011" t="s">
        <v>244</v>
      </c>
      <c r="AK180" s="1011" t="s">
        <v>1712</v>
      </c>
      <c r="AL180" s="1011" t="s">
        <v>1713</v>
      </c>
      <c r="AO180" s="1011" t="s">
        <v>1714</v>
      </c>
      <c r="AP180" s="1011" t="s">
        <v>1715</v>
      </c>
      <c r="AQ180" s="1011" t="s">
        <v>1716</v>
      </c>
    </row>
    <row r="181" spans="1:43" ht="15" x14ac:dyDescent="0.2">
      <c r="A181" s="1018" t="s">
        <v>247</v>
      </c>
      <c r="B181" s="1019" t="s">
        <v>246</v>
      </c>
      <c r="C181" s="1020">
        <v>0.3</v>
      </c>
      <c r="D181" s="597" t="s">
        <v>779</v>
      </c>
      <c r="E181" s="597" t="s">
        <v>780</v>
      </c>
      <c r="F181" s="1020">
        <v>0.37</v>
      </c>
      <c r="G181" s="597" t="s">
        <v>600</v>
      </c>
      <c r="H181" s="597" t="s">
        <v>600</v>
      </c>
      <c r="I181" s="1020">
        <v>0</v>
      </c>
      <c r="J181" s="1020">
        <f t="shared" si="6"/>
        <v>0.66999999999999993</v>
      </c>
      <c r="K181" s="1020"/>
      <c r="L181" s="1020">
        <v>0.3</v>
      </c>
      <c r="M181" s="597" t="s">
        <v>779</v>
      </c>
      <c r="N181" s="597" t="s">
        <v>780</v>
      </c>
      <c r="O181" s="1020">
        <v>0.2</v>
      </c>
      <c r="P181" s="597" t="s">
        <v>600</v>
      </c>
      <c r="Q181" s="597" t="s">
        <v>600</v>
      </c>
      <c r="R181" s="1020">
        <v>0</v>
      </c>
      <c r="S181" s="1020">
        <f t="shared" si="7"/>
        <v>0.5</v>
      </c>
      <c r="T181" s="947" t="s">
        <v>1005</v>
      </c>
      <c r="U181" s="877" t="s">
        <v>994</v>
      </c>
      <c r="V181" s="877"/>
      <c r="W181" s="877"/>
      <c r="X181" s="937" t="s">
        <v>1005</v>
      </c>
      <c r="Y181" s="926">
        <v>241749</v>
      </c>
      <c r="Z181" s="888"/>
      <c r="AA181" s="927"/>
      <c r="AB181" s="914" t="s">
        <v>1005</v>
      </c>
      <c r="AC181" s="1011" t="s">
        <v>1206</v>
      </c>
      <c r="AD181" s="1011" t="s">
        <v>1206</v>
      </c>
      <c r="AE181" s="1011" t="s">
        <v>1206</v>
      </c>
      <c r="AF181" s="1011" t="s">
        <v>1206</v>
      </c>
      <c r="AH181" s="1011" t="b">
        <f t="shared" si="8"/>
        <v>1</v>
      </c>
      <c r="AI181" s="1011" t="s">
        <v>247</v>
      </c>
      <c r="AJ181" s="1011" t="s">
        <v>246</v>
      </c>
      <c r="AK181" s="1011" t="s">
        <v>1717</v>
      </c>
      <c r="AL181" s="1011" t="s">
        <v>1718</v>
      </c>
    </row>
    <row r="182" spans="1:43" ht="15.75" customHeight="1" x14ac:dyDescent="0.2">
      <c r="A182" s="1018" t="s">
        <v>249</v>
      </c>
      <c r="B182" s="1019" t="s">
        <v>248</v>
      </c>
      <c r="C182" s="1020">
        <v>0.4</v>
      </c>
      <c r="D182" s="597" t="s">
        <v>652</v>
      </c>
      <c r="E182" s="597" t="s">
        <v>653</v>
      </c>
      <c r="F182" s="1020">
        <v>0.09</v>
      </c>
      <c r="G182" s="597" t="s">
        <v>649</v>
      </c>
      <c r="H182" s="597" t="s">
        <v>650</v>
      </c>
      <c r="I182" s="1020">
        <v>0.01</v>
      </c>
      <c r="J182" s="1020">
        <f t="shared" si="6"/>
        <v>0.5</v>
      </c>
      <c r="K182" s="1020"/>
      <c r="L182" s="1020">
        <v>0.4</v>
      </c>
      <c r="M182" s="597" t="s">
        <v>652</v>
      </c>
      <c r="N182" s="597" t="s">
        <v>653</v>
      </c>
      <c r="O182" s="1020">
        <v>0.09</v>
      </c>
      <c r="P182" s="597" t="s">
        <v>649</v>
      </c>
      <c r="Q182" s="597" t="s">
        <v>650</v>
      </c>
      <c r="R182" s="1020">
        <v>0.01</v>
      </c>
      <c r="S182" s="1020">
        <f t="shared" si="7"/>
        <v>0.5</v>
      </c>
      <c r="T182" s="947"/>
      <c r="U182" s="877"/>
      <c r="V182" s="877"/>
      <c r="W182" s="877"/>
      <c r="X182" s="1015"/>
      <c r="Y182" s="924"/>
      <c r="Z182" s="883"/>
      <c r="AA182" s="925"/>
      <c r="AB182" s="912"/>
      <c r="AC182" s="1011" t="s">
        <v>1206</v>
      </c>
      <c r="AD182" s="1011" t="s">
        <v>1206</v>
      </c>
      <c r="AE182" s="1011" t="s">
        <v>1206</v>
      </c>
      <c r="AF182" s="1011" t="s">
        <v>1206</v>
      </c>
      <c r="AH182" s="1011" t="b">
        <f t="shared" si="8"/>
        <v>1</v>
      </c>
      <c r="AI182" s="1011" t="s">
        <v>249</v>
      </c>
      <c r="AJ182" s="1011" t="s">
        <v>248</v>
      </c>
      <c r="AK182" s="1011" t="s">
        <v>1719</v>
      </c>
      <c r="AL182" s="1011" t="s">
        <v>1720</v>
      </c>
    </row>
    <row r="183" spans="1:43" ht="15.75" customHeight="1" x14ac:dyDescent="0.2">
      <c r="A183" s="1018" t="s">
        <v>251</v>
      </c>
      <c r="B183" s="1019" t="s">
        <v>250</v>
      </c>
      <c r="C183" s="1020">
        <v>0.4</v>
      </c>
      <c r="D183" s="597" t="s">
        <v>658</v>
      </c>
      <c r="E183" s="597" t="s">
        <v>659</v>
      </c>
      <c r="F183" s="1020">
        <v>0.09</v>
      </c>
      <c r="G183" s="597" t="s">
        <v>655</v>
      </c>
      <c r="H183" s="597" t="s">
        <v>656</v>
      </c>
      <c r="I183" s="1020">
        <v>0.01</v>
      </c>
      <c r="J183" s="1020">
        <f t="shared" si="6"/>
        <v>0.5</v>
      </c>
      <c r="K183" s="1020"/>
      <c r="L183" s="1020">
        <v>0.4</v>
      </c>
      <c r="M183" s="597" t="s">
        <v>658</v>
      </c>
      <c r="N183" s="597" t="s">
        <v>659</v>
      </c>
      <c r="O183" s="1020">
        <v>0.09</v>
      </c>
      <c r="P183" s="597" t="s">
        <v>655</v>
      </c>
      <c r="Q183" s="597" t="s">
        <v>656</v>
      </c>
      <c r="R183" s="1020">
        <v>0.01</v>
      </c>
      <c r="S183" s="1020">
        <f t="shared" si="7"/>
        <v>0.5</v>
      </c>
      <c r="T183" s="947"/>
      <c r="U183" s="877"/>
      <c r="V183" s="877"/>
      <c r="W183" s="877"/>
      <c r="X183" s="1015"/>
      <c r="Y183" s="924"/>
      <c r="Z183" s="883"/>
      <c r="AA183" s="925"/>
      <c r="AB183" s="912"/>
      <c r="AC183" s="1011" t="s">
        <v>1206</v>
      </c>
      <c r="AD183" s="1011" t="s">
        <v>1206</v>
      </c>
      <c r="AE183" s="1011" t="s">
        <v>1206</v>
      </c>
      <c r="AF183" s="1011" t="s">
        <v>1206</v>
      </c>
      <c r="AH183" s="1011" t="b">
        <f t="shared" si="8"/>
        <v>1</v>
      </c>
      <c r="AI183" s="1011" t="s">
        <v>251</v>
      </c>
      <c r="AJ183" s="1011" t="s">
        <v>250</v>
      </c>
      <c r="AK183" s="1011" t="s">
        <v>1721</v>
      </c>
      <c r="AL183" s="1011" t="s">
        <v>1722</v>
      </c>
    </row>
    <row r="184" spans="1:43" ht="15.75" customHeight="1" x14ac:dyDescent="0.2">
      <c r="A184" s="1018" t="s">
        <v>253</v>
      </c>
      <c r="B184" s="1019" t="s">
        <v>252</v>
      </c>
      <c r="C184" s="1020">
        <v>0.4</v>
      </c>
      <c r="D184" s="597" t="s">
        <v>645</v>
      </c>
      <c r="E184" s="597" t="s">
        <v>646</v>
      </c>
      <c r="F184" s="1020">
        <v>0.09</v>
      </c>
      <c r="G184" s="597" t="s">
        <v>643</v>
      </c>
      <c r="H184" s="597" t="s">
        <v>644</v>
      </c>
      <c r="I184" s="1020">
        <v>0.01</v>
      </c>
      <c r="J184" s="1020">
        <f t="shared" si="6"/>
        <v>0.5</v>
      </c>
      <c r="K184" s="1020"/>
      <c r="L184" s="1020">
        <v>0.4</v>
      </c>
      <c r="M184" s="597" t="s">
        <v>645</v>
      </c>
      <c r="N184" s="597" t="s">
        <v>646</v>
      </c>
      <c r="O184" s="1020">
        <v>0.09</v>
      </c>
      <c r="P184" s="597" t="s">
        <v>643</v>
      </c>
      <c r="Q184" s="597" t="s">
        <v>644</v>
      </c>
      <c r="R184" s="1020">
        <v>0.01</v>
      </c>
      <c r="S184" s="1020">
        <f t="shared" si="7"/>
        <v>0.5</v>
      </c>
      <c r="T184" s="947"/>
      <c r="U184" s="877"/>
      <c r="V184" s="877"/>
      <c r="W184" s="877"/>
      <c r="X184" s="1015"/>
      <c r="Y184" s="924"/>
      <c r="Z184" s="883"/>
      <c r="AA184" s="925"/>
      <c r="AB184" s="912"/>
      <c r="AC184" s="1011" t="s">
        <v>1206</v>
      </c>
      <c r="AD184" s="1011" t="s">
        <v>1206</v>
      </c>
      <c r="AE184" s="1011" t="s">
        <v>1206</v>
      </c>
      <c r="AF184" s="1011" t="s">
        <v>1206</v>
      </c>
      <c r="AH184" s="1011" t="b">
        <f t="shared" si="8"/>
        <v>1</v>
      </c>
      <c r="AI184" s="1011" t="s">
        <v>253</v>
      </c>
      <c r="AJ184" s="1011" t="s">
        <v>252</v>
      </c>
      <c r="AK184" s="1011" t="s">
        <v>1723</v>
      </c>
      <c r="AL184" s="1011" t="s">
        <v>1724</v>
      </c>
    </row>
    <row r="185" spans="1:43" customFormat="1" ht="15" x14ac:dyDescent="0.2">
      <c r="A185" s="989" t="s">
        <v>255</v>
      </c>
      <c r="B185" s="891" t="s">
        <v>698</v>
      </c>
      <c r="C185" s="944">
        <v>0.49</v>
      </c>
      <c r="D185" s="891" t="s">
        <v>600</v>
      </c>
      <c r="E185" s="891" t="s">
        <v>601</v>
      </c>
      <c r="F185" s="944">
        <v>0</v>
      </c>
      <c r="G185" s="891" t="s">
        <v>695</v>
      </c>
      <c r="H185" s="891" t="s">
        <v>696</v>
      </c>
      <c r="I185" s="944">
        <v>0.01</v>
      </c>
      <c r="J185" s="945">
        <f t="shared" si="6"/>
        <v>0.5</v>
      </c>
      <c r="K185" s="945"/>
      <c r="L185" s="944">
        <v>0.49</v>
      </c>
      <c r="M185" s="891" t="s">
        <v>600</v>
      </c>
      <c r="N185" s="891" t="s">
        <v>601</v>
      </c>
      <c r="O185" s="944">
        <v>0</v>
      </c>
      <c r="P185" s="891" t="s">
        <v>695</v>
      </c>
      <c r="Q185" s="891" t="s">
        <v>696</v>
      </c>
      <c r="R185" s="944">
        <v>0.01</v>
      </c>
      <c r="S185" s="945">
        <f t="shared" si="7"/>
        <v>0.5</v>
      </c>
      <c r="T185" s="950" t="s">
        <v>1005</v>
      </c>
      <c r="U185" s="889" t="s">
        <v>978</v>
      </c>
      <c r="V185" s="889" t="s">
        <v>979</v>
      </c>
      <c r="W185" s="886" t="s">
        <v>1167</v>
      </c>
      <c r="X185" s="938" t="s">
        <v>1005</v>
      </c>
      <c r="Y185" s="929">
        <v>0</v>
      </c>
      <c r="Z185" s="1060">
        <v>0</v>
      </c>
      <c r="AA185" s="964">
        <v>0</v>
      </c>
      <c r="AB185" s="915" t="s">
        <v>1005</v>
      </c>
      <c r="AC185" s="1011" t="s">
        <v>1206</v>
      </c>
      <c r="AD185" s="1011" t="s">
        <v>1206</v>
      </c>
      <c r="AE185" s="1011" t="s">
        <v>1206</v>
      </c>
      <c r="AF185" s="1011" t="s">
        <v>1206</v>
      </c>
      <c r="AG185" s="1011"/>
      <c r="AH185" s="1011" t="b">
        <f t="shared" si="8"/>
        <v>1</v>
      </c>
      <c r="AI185" t="s">
        <v>255</v>
      </c>
      <c r="AJ185" t="s">
        <v>254</v>
      </c>
      <c r="AK185" t="s">
        <v>1725</v>
      </c>
      <c r="AL185" t="s">
        <v>1726</v>
      </c>
    </row>
    <row r="186" spans="1:43" ht="15.75" customHeight="1" x14ac:dyDescent="0.2">
      <c r="A186" s="1018" t="s">
        <v>257</v>
      </c>
      <c r="B186" s="1019" t="s">
        <v>256</v>
      </c>
      <c r="C186" s="1020">
        <v>0.4</v>
      </c>
      <c r="D186" s="597" t="s">
        <v>692</v>
      </c>
      <c r="E186" s="597" t="s">
        <v>693</v>
      </c>
      <c r="F186" s="1020">
        <v>0.1</v>
      </c>
      <c r="G186" s="597" t="s">
        <v>600</v>
      </c>
      <c r="H186" s="597" t="s">
        <v>639</v>
      </c>
      <c r="I186" s="1020">
        <v>0</v>
      </c>
      <c r="J186" s="1020">
        <f t="shared" si="6"/>
        <v>0.5</v>
      </c>
      <c r="K186" s="1020"/>
      <c r="L186" s="1020">
        <v>0.4</v>
      </c>
      <c r="M186" s="597" t="s">
        <v>692</v>
      </c>
      <c r="N186" s="597" t="s">
        <v>693</v>
      </c>
      <c r="O186" s="1020">
        <v>0.1</v>
      </c>
      <c r="P186" s="597" t="s">
        <v>600</v>
      </c>
      <c r="Q186" s="597" t="s">
        <v>639</v>
      </c>
      <c r="R186" s="1020">
        <v>0</v>
      </c>
      <c r="S186" s="1020">
        <f t="shared" si="7"/>
        <v>0.5</v>
      </c>
      <c r="T186" s="947"/>
      <c r="U186" s="877"/>
      <c r="V186" s="877"/>
      <c r="W186" s="877"/>
      <c r="X186" s="937"/>
      <c r="Y186" s="928"/>
      <c r="Z186" s="893"/>
      <c r="AA186" s="925"/>
      <c r="AB186" s="913"/>
      <c r="AC186" s="1011" t="s">
        <v>1206</v>
      </c>
      <c r="AD186" s="1011" t="s">
        <v>1206</v>
      </c>
      <c r="AE186" s="1011" t="s">
        <v>1206</v>
      </c>
      <c r="AF186" s="1011" t="s">
        <v>1206</v>
      </c>
      <c r="AH186" s="1011" t="b">
        <f t="shared" si="8"/>
        <v>1</v>
      </c>
      <c r="AI186" s="1011" t="s">
        <v>257</v>
      </c>
      <c r="AJ186" s="1011" t="s">
        <v>256</v>
      </c>
      <c r="AK186" s="1011" t="s">
        <v>1727</v>
      </c>
      <c r="AL186" s="1011" t="s">
        <v>1728</v>
      </c>
    </row>
    <row r="187" spans="1:43" ht="15.75" customHeight="1" x14ac:dyDescent="0.2">
      <c r="A187" s="1018" t="s">
        <v>259</v>
      </c>
      <c r="B187" s="1019" t="s">
        <v>258</v>
      </c>
      <c r="C187" s="1020">
        <v>0.4</v>
      </c>
      <c r="D187" s="597" t="s">
        <v>721</v>
      </c>
      <c r="E187" s="597" t="s">
        <v>722</v>
      </c>
      <c r="F187" s="1020">
        <v>0.1</v>
      </c>
      <c r="G187" s="597" t="s">
        <v>600</v>
      </c>
      <c r="H187" s="597" t="s">
        <v>639</v>
      </c>
      <c r="I187" s="1020">
        <v>0</v>
      </c>
      <c r="J187" s="1020">
        <f t="shared" si="6"/>
        <v>0.5</v>
      </c>
      <c r="K187" s="1020"/>
      <c r="L187" s="1020">
        <v>0.4</v>
      </c>
      <c r="M187" s="597" t="s">
        <v>721</v>
      </c>
      <c r="N187" s="597" t="s">
        <v>722</v>
      </c>
      <c r="O187" s="1020">
        <v>0.1</v>
      </c>
      <c r="P187" s="597" t="s">
        <v>600</v>
      </c>
      <c r="Q187" s="597" t="s">
        <v>639</v>
      </c>
      <c r="R187" s="1020">
        <v>0</v>
      </c>
      <c r="S187" s="1020">
        <f t="shared" si="7"/>
        <v>0.5</v>
      </c>
      <c r="T187" s="947"/>
      <c r="U187" s="877"/>
      <c r="V187" s="877"/>
      <c r="W187" s="877"/>
      <c r="X187" s="937"/>
      <c r="Y187" s="928"/>
      <c r="Z187" s="893"/>
      <c r="AA187" s="925"/>
      <c r="AB187" s="913"/>
      <c r="AC187" s="1011" t="s">
        <v>1206</v>
      </c>
      <c r="AD187" s="1011" t="s">
        <v>1206</v>
      </c>
      <c r="AE187" s="1011" t="s">
        <v>1206</v>
      </c>
      <c r="AF187" s="1011" t="s">
        <v>1206</v>
      </c>
      <c r="AH187" s="1011" t="b">
        <f t="shared" si="8"/>
        <v>1</v>
      </c>
      <c r="AI187" s="1011" t="s">
        <v>259</v>
      </c>
      <c r="AJ187" s="1011" t="s">
        <v>258</v>
      </c>
      <c r="AK187" s="1011" t="s">
        <v>1653</v>
      </c>
      <c r="AL187" s="1011" t="s">
        <v>1654</v>
      </c>
    </row>
    <row r="188" spans="1:43" customFormat="1" ht="15" x14ac:dyDescent="0.2">
      <c r="A188" s="989" t="s">
        <v>261</v>
      </c>
      <c r="B188" s="891" t="s">
        <v>699</v>
      </c>
      <c r="C188" s="944">
        <v>0.49</v>
      </c>
      <c r="D188" s="891" t="s">
        <v>600</v>
      </c>
      <c r="E188" s="891" t="s">
        <v>601</v>
      </c>
      <c r="F188" s="944">
        <v>0</v>
      </c>
      <c r="G188" s="891" t="s">
        <v>695</v>
      </c>
      <c r="H188" s="891" t="s">
        <v>696</v>
      </c>
      <c r="I188" s="944">
        <v>0.01</v>
      </c>
      <c r="J188" s="945">
        <f t="shared" si="6"/>
        <v>0.5</v>
      </c>
      <c r="K188" s="945"/>
      <c r="L188" s="944">
        <v>0.49</v>
      </c>
      <c r="M188" s="891" t="s">
        <v>600</v>
      </c>
      <c r="N188" s="891" t="s">
        <v>601</v>
      </c>
      <c r="O188" s="944">
        <v>0</v>
      </c>
      <c r="P188" s="891" t="s">
        <v>695</v>
      </c>
      <c r="Q188" s="891" t="s">
        <v>696</v>
      </c>
      <c r="R188" s="944">
        <v>0.01</v>
      </c>
      <c r="S188" s="945">
        <f t="shared" si="7"/>
        <v>0.5</v>
      </c>
      <c r="T188" s="950" t="s">
        <v>1005</v>
      </c>
      <c r="U188" s="889" t="s">
        <v>979</v>
      </c>
      <c r="V188" s="886" t="s">
        <v>1167</v>
      </c>
      <c r="W188" s="892"/>
      <c r="X188" s="938" t="s">
        <v>1005</v>
      </c>
      <c r="Y188" s="929">
        <v>983459</v>
      </c>
      <c r="Z188" s="964">
        <v>17551</v>
      </c>
      <c r="AA188" s="1061"/>
      <c r="AB188" s="915" t="s">
        <v>1005</v>
      </c>
      <c r="AC188" s="1011" t="s">
        <v>1206</v>
      </c>
      <c r="AD188" s="1011" t="s">
        <v>1206</v>
      </c>
      <c r="AE188" s="1011" t="s">
        <v>1206</v>
      </c>
      <c r="AF188" s="1011" t="s">
        <v>1206</v>
      </c>
      <c r="AG188" s="1011"/>
      <c r="AH188" s="1011" t="b">
        <f t="shared" si="8"/>
        <v>1</v>
      </c>
      <c r="AI188" t="s">
        <v>261</v>
      </c>
      <c r="AJ188" t="s">
        <v>260</v>
      </c>
      <c r="AK188" t="s">
        <v>1729</v>
      </c>
      <c r="AL188" t="s">
        <v>1730</v>
      </c>
    </row>
    <row r="189" spans="1:43" ht="15" x14ac:dyDescent="0.2">
      <c r="A189" s="1018" t="s">
        <v>263</v>
      </c>
      <c r="B189" s="1019" t="s">
        <v>262</v>
      </c>
      <c r="C189" s="1020">
        <v>0.4</v>
      </c>
      <c r="D189" s="597" t="s">
        <v>723</v>
      </c>
      <c r="E189" s="597" t="s">
        <v>724</v>
      </c>
      <c r="F189" s="1020">
        <v>0.1</v>
      </c>
      <c r="G189" s="597" t="s">
        <v>600</v>
      </c>
      <c r="H189" s="597" t="s">
        <v>639</v>
      </c>
      <c r="I189" s="1020">
        <v>0</v>
      </c>
      <c r="J189" s="1020">
        <f t="shared" si="6"/>
        <v>0.5</v>
      </c>
      <c r="K189" s="1020"/>
      <c r="L189" s="1020">
        <v>0.4</v>
      </c>
      <c r="M189" s="597" t="s">
        <v>723</v>
      </c>
      <c r="N189" s="597" t="s">
        <v>724</v>
      </c>
      <c r="O189" s="1020">
        <v>0.1</v>
      </c>
      <c r="P189" s="597" t="s">
        <v>600</v>
      </c>
      <c r="Q189" s="597" t="s">
        <v>639</v>
      </c>
      <c r="R189" s="1020">
        <v>0</v>
      </c>
      <c r="S189" s="1020">
        <f t="shared" si="7"/>
        <v>0.5</v>
      </c>
      <c r="T189" s="947" t="s">
        <v>1005</v>
      </c>
      <c r="U189" s="887" t="s">
        <v>1162</v>
      </c>
      <c r="V189" s="877"/>
      <c r="W189" s="877"/>
      <c r="X189" s="1015"/>
      <c r="Y189" s="1057">
        <v>0</v>
      </c>
      <c r="Z189" s="964"/>
      <c r="AA189" s="1023"/>
      <c r="AB189" s="912"/>
      <c r="AC189" s="1011" t="s">
        <v>1206</v>
      </c>
      <c r="AD189" s="1011" t="s">
        <v>1206</v>
      </c>
      <c r="AE189" s="1011" t="s">
        <v>1206</v>
      </c>
      <c r="AF189" s="1011" t="s">
        <v>1206</v>
      </c>
      <c r="AH189" s="1011" t="b">
        <f t="shared" si="8"/>
        <v>1</v>
      </c>
      <c r="AI189" s="1011" t="s">
        <v>263</v>
      </c>
      <c r="AJ189" s="1011" t="s">
        <v>262</v>
      </c>
      <c r="AK189" s="1011" t="s">
        <v>1731</v>
      </c>
      <c r="AL189" s="1011" t="s">
        <v>1732</v>
      </c>
    </row>
    <row r="190" spans="1:43" ht="15" x14ac:dyDescent="0.2">
      <c r="A190" s="1018" t="s">
        <v>265</v>
      </c>
      <c r="B190" s="1019" t="s">
        <v>606</v>
      </c>
      <c r="C190" s="1020">
        <v>0.49</v>
      </c>
      <c r="D190" s="597" t="s">
        <v>600</v>
      </c>
      <c r="E190" s="597" t="s">
        <v>601</v>
      </c>
      <c r="F190" s="1020">
        <v>0</v>
      </c>
      <c r="G190" s="597" t="s">
        <v>602</v>
      </c>
      <c r="H190" s="597" t="s">
        <v>603</v>
      </c>
      <c r="I190" s="1020">
        <v>0.01</v>
      </c>
      <c r="J190" s="1020">
        <f t="shared" si="6"/>
        <v>0.5</v>
      </c>
      <c r="K190" s="1020"/>
      <c r="L190" s="1020">
        <v>0.49</v>
      </c>
      <c r="M190" s="597" t="s">
        <v>600</v>
      </c>
      <c r="N190" s="597" t="s">
        <v>601</v>
      </c>
      <c r="O190" s="1020">
        <v>0</v>
      </c>
      <c r="P190" s="597" t="s">
        <v>602</v>
      </c>
      <c r="Q190" s="597" t="s">
        <v>603</v>
      </c>
      <c r="R190" s="1020">
        <v>0.01</v>
      </c>
      <c r="S190" s="1020">
        <f t="shared" si="7"/>
        <v>0.5</v>
      </c>
      <c r="T190" s="947" t="s">
        <v>1005</v>
      </c>
      <c r="U190" s="877" t="s">
        <v>973</v>
      </c>
      <c r="V190" s="877"/>
      <c r="W190" s="877"/>
      <c r="X190" s="937" t="s">
        <v>1005</v>
      </c>
      <c r="Y190" s="1055">
        <v>200354</v>
      </c>
      <c r="Z190" s="888"/>
      <c r="AA190" s="927"/>
      <c r="AB190" s="914" t="s">
        <v>1005</v>
      </c>
      <c r="AC190" s="1011" t="s">
        <v>1206</v>
      </c>
      <c r="AD190" s="1011" t="s">
        <v>1206</v>
      </c>
      <c r="AE190" s="1011" t="s">
        <v>1206</v>
      </c>
      <c r="AF190" s="1011" t="s">
        <v>1206</v>
      </c>
      <c r="AH190" s="1011" t="b">
        <f t="shared" si="8"/>
        <v>1</v>
      </c>
      <c r="AI190" s="1011" t="s">
        <v>265</v>
      </c>
      <c r="AJ190" s="1011" t="s">
        <v>264</v>
      </c>
      <c r="AK190" s="1011" t="s">
        <v>1733</v>
      </c>
      <c r="AL190" s="1011" t="s">
        <v>1734</v>
      </c>
    </row>
    <row r="191" spans="1:43" ht="15" x14ac:dyDescent="0.2">
      <c r="A191" s="1018" t="s">
        <v>267</v>
      </c>
      <c r="B191" s="1019" t="s">
        <v>266</v>
      </c>
      <c r="C191" s="1020">
        <v>0.49</v>
      </c>
      <c r="D191" s="597" t="s">
        <v>600</v>
      </c>
      <c r="E191" s="597" t="s">
        <v>765</v>
      </c>
      <c r="F191" s="1020">
        <v>0</v>
      </c>
      <c r="G191" s="597" t="s">
        <v>772</v>
      </c>
      <c r="H191" s="597" t="s">
        <v>773</v>
      </c>
      <c r="I191" s="1020">
        <v>0.01</v>
      </c>
      <c r="J191" s="1020">
        <f t="shared" si="6"/>
        <v>0.5</v>
      </c>
      <c r="K191" s="1020"/>
      <c r="L191" s="1020">
        <v>0.49</v>
      </c>
      <c r="M191" s="597" t="s">
        <v>600</v>
      </c>
      <c r="N191" s="597" t="s">
        <v>765</v>
      </c>
      <c r="O191" s="1020">
        <v>0</v>
      </c>
      <c r="P191" s="597" t="s">
        <v>772</v>
      </c>
      <c r="Q191" s="597" t="s">
        <v>773</v>
      </c>
      <c r="R191" s="1020">
        <v>0.01</v>
      </c>
      <c r="S191" s="1020">
        <f t="shared" si="7"/>
        <v>0.5</v>
      </c>
      <c r="T191" s="947" t="s">
        <v>1005</v>
      </c>
      <c r="U191" s="877" t="s">
        <v>995</v>
      </c>
      <c r="V191" s="877"/>
      <c r="W191" s="877"/>
      <c r="X191" s="937" t="s">
        <v>1005</v>
      </c>
      <c r="Y191" s="926">
        <v>555434</v>
      </c>
      <c r="Z191" s="888"/>
      <c r="AA191" s="927"/>
      <c r="AB191" s="914" t="s">
        <v>1005</v>
      </c>
      <c r="AC191" s="1011" t="s">
        <v>1206</v>
      </c>
      <c r="AD191" s="1011" t="s">
        <v>1206</v>
      </c>
      <c r="AE191" s="1011" t="s">
        <v>1206</v>
      </c>
      <c r="AF191" s="1011" t="s">
        <v>1206</v>
      </c>
      <c r="AH191" s="1011" t="b">
        <f t="shared" si="8"/>
        <v>1</v>
      </c>
      <c r="AI191" s="1011" t="s">
        <v>267</v>
      </c>
      <c r="AJ191" s="1011" t="s">
        <v>266</v>
      </c>
      <c r="AK191" s="1011" t="s">
        <v>1735</v>
      </c>
      <c r="AL191" s="1011" t="s">
        <v>1736</v>
      </c>
    </row>
    <row r="192" spans="1:43" ht="15.75" customHeight="1" x14ac:dyDescent="0.2">
      <c r="A192" s="1018" t="s">
        <v>269</v>
      </c>
      <c r="B192" s="1019" t="s">
        <v>268</v>
      </c>
      <c r="C192" s="1020">
        <v>0.4</v>
      </c>
      <c r="D192" s="597" t="s">
        <v>756</v>
      </c>
      <c r="E192" s="597" t="s">
        <v>757</v>
      </c>
      <c r="F192" s="1020">
        <v>0.1</v>
      </c>
      <c r="G192" s="597" t="s">
        <v>600</v>
      </c>
      <c r="H192" s="597" t="s">
        <v>639</v>
      </c>
      <c r="I192" s="1020">
        <v>0</v>
      </c>
      <c r="J192" s="1020">
        <f t="shared" si="6"/>
        <v>0.5</v>
      </c>
      <c r="K192" s="1020"/>
      <c r="L192" s="1020">
        <v>0.4</v>
      </c>
      <c r="M192" s="597" t="s">
        <v>756</v>
      </c>
      <c r="N192" s="597" t="s">
        <v>757</v>
      </c>
      <c r="O192" s="1020">
        <v>0.1</v>
      </c>
      <c r="P192" s="597" t="s">
        <v>600</v>
      </c>
      <c r="Q192" s="597" t="s">
        <v>639</v>
      </c>
      <c r="R192" s="1020">
        <v>0</v>
      </c>
      <c r="S192" s="1020">
        <f t="shared" si="7"/>
        <v>0.5</v>
      </c>
      <c r="T192" s="947"/>
      <c r="U192" s="877"/>
      <c r="V192" s="877"/>
      <c r="W192" s="877"/>
      <c r="X192" s="1015"/>
      <c r="Y192" s="924"/>
      <c r="Z192" s="883"/>
      <c r="AA192" s="925"/>
      <c r="AB192" s="912"/>
      <c r="AC192" s="1011" t="s">
        <v>1206</v>
      </c>
      <c r="AD192" s="1011" t="s">
        <v>1206</v>
      </c>
      <c r="AE192" s="1011" t="s">
        <v>1206</v>
      </c>
      <c r="AF192" s="1011" t="s">
        <v>1206</v>
      </c>
      <c r="AH192" s="1011" t="b">
        <f t="shared" si="8"/>
        <v>1</v>
      </c>
      <c r="AI192" s="1011" t="s">
        <v>269</v>
      </c>
      <c r="AJ192" s="1011" t="s">
        <v>268</v>
      </c>
      <c r="AK192" s="1011" t="s">
        <v>1737</v>
      </c>
      <c r="AL192" s="1011" t="s">
        <v>1738</v>
      </c>
    </row>
    <row r="193" spans="1:43" ht="15.75" customHeight="1" x14ac:dyDescent="0.2">
      <c r="A193" s="1018" t="s">
        <v>287</v>
      </c>
      <c r="B193" s="1019" t="s">
        <v>286</v>
      </c>
      <c r="C193" s="1020">
        <v>0.4</v>
      </c>
      <c r="D193" s="597" t="s">
        <v>717</v>
      </c>
      <c r="E193" s="597" t="s">
        <v>718</v>
      </c>
      <c r="F193" s="1020">
        <v>0.09</v>
      </c>
      <c r="G193" s="597" t="s">
        <v>714</v>
      </c>
      <c r="H193" s="597" t="s">
        <v>715</v>
      </c>
      <c r="I193" s="1020">
        <v>0.01</v>
      </c>
      <c r="J193" s="1020">
        <f t="shared" si="6"/>
        <v>0.5</v>
      </c>
      <c r="K193" s="1020"/>
      <c r="L193" s="1020">
        <v>0.4</v>
      </c>
      <c r="M193" s="597" t="s">
        <v>717</v>
      </c>
      <c r="N193" s="597" t="s">
        <v>718</v>
      </c>
      <c r="O193" s="1020">
        <v>0.09</v>
      </c>
      <c r="P193" s="597" t="s">
        <v>714</v>
      </c>
      <c r="Q193" s="597" t="s">
        <v>715</v>
      </c>
      <c r="R193" s="1020">
        <v>0.01</v>
      </c>
      <c r="S193" s="1020">
        <f t="shared" si="7"/>
        <v>0.5</v>
      </c>
      <c r="T193" s="947"/>
      <c r="U193" s="877"/>
      <c r="V193" s="877"/>
      <c r="W193" s="877"/>
      <c r="X193" s="1015"/>
      <c r="Y193" s="924"/>
      <c r="Z193" s="883"/>
      <c r="AA193" s="925"/>
      <c r="AB193" s="912"/>
      <c r="AC193" s="1011" t="s">
        <v>1206</v>
      </c>
      <c r="AD193" s="1011" t="s">
        <v>1206</v>
      </c>
      <c r="AE193" s="1011" t="s">
        <v>1206</v>
      </c>
      <c r="AF193" s="1011" t="s">
        <v>1206</v>
      </c>
      <c r="AH193" s="1011" t="b">
        <f t="shared" si="8"/>
        <v>1</v>
      </c>
      <c r="AI193" s="1011" t="s">
        <v>287</v>
      </c>
      <c r="AJ193" s="1011" t="s">
        <v>286</v>
      </c>
      <c r="AK193" s="1011" t="s">
        <v>1739</v>
      </c>
      <c r="AL193" s="1011" t="s">
        <v>1740</v>
      </c>
    </row>
    <row r="194" spans="1:43" ht="15" x14ac:dyDescent="0.2">
      <c r="A194" s="1018" t="s">
        <v>289</v>
      </c>
      <c r="B194" s="1019" t="s">
        <v>288</v>
      </c>
      <c r="C194" s="1020">
        <v>0.4</v>
      </c>
      <c r="D194" s="597" t="s">
        <v>731</v>
      </c>
      <c r="E194" s="597" t="s">
        <v>732</v>
      </c>
      <c r="F194" s="1020">
        <v>0.1</v>
      </c>
      <c r="G194" s="597" t="s">
        <v>600</v>
      </c>
      <c r="H194" s="597" t="s">
        <v>639</v>
      </c>
      <c r="I194" s="1020">
        <v>0</v>
      </c>
      <c r="J194" s="1020">
        <f t="shared" si="6"/>
        <v>0.5</v>
      </c>
      <c r="K194" s="1020"/>
      <c r="L194" s="1020">
        <v>0.4</v>
      </c>
      <c r="M194" s="597" t="s">
        <v>731</v>
      </c>
      <c r="N194" s="597" t="s">
        <v>732</v>
      </c>
      <c r="O194" s="1020">
        <v>0.1</v>
      </c>
      <c r="P194" s="597" t="s">
        <v>600</v>
      </c>
      <c r="Q194" s="597" t="s">
        <v>639</v>
      </c>
      <c r="R194" s="1020">
        <v>0</v>
      </c>
      <c r="S194" s="1020">
        <f t="shared" si="7"/>
        <v>0.5</v>
      </c>
      <c r="T194" s="947" t="s">
        <v>1005</v>
      </c>
      <c r="U194" s="877" t="s">
        <v>996</v>
      </c>
      <c r="V194" s="877"/>
      <c r="W194" s="877"/>
      <c r="X194" s="1015"/>
      <c r="Y194" s="926">
        <v>3435842</v>
      </c>
      <c r="Z194" s="888"/>
      <c r="AA194" s="927"/>
      <c r="AB194" s="912"/>
      <c r="AC194" s="1011" t="s">
        <v>1206</v>
      </c>
      <c r="AD194" s="1011" t="s">
        <v>1206</v>
      </c>
      <c r="AE194" s="1011" t="s">
        <v>1206</v>
      </c>
      <c r="AF194" s="1011" t="s">
        <v>1206</v>
      </c>
      <c r="AH194" s="1011" t="b">
        <f t="shared" si="8"/>
        <v>1</v>
      </c>
      <c r="AI194" s="1011" t="s">
        <v>289</v>
      </c>
      <c r="AJ194" s="1011" t="s">
        <v>288</v>
      </c>
      <c r="AK194" s="1011" t="s">
        <v>1741</v>
      </c>
      <c r="AL194" s="1011" t="s">
        <v>1742</v>
      </c>
    </row>
    <row r="195" spans="1:43" ht="15" x14ac:dyDescent="0.2">
      <c r="A195" s="1018" t="s">
        <v>291</v>
      </c>
      <c r="B195" s="1019" t="s">
        <v>290</v>
      </c>
      <c r="C195" s="1020">
        <v>0.5</v>
      </c>
      <c r="D195" s="597" t="s">
        <v>600</v>
      </c>
      <c r="E195" s="597" t="s">
        <v>601</v>
      </c>
      <c r="F195" s="1020">
        <v>0</v>
      </c>
      <c r="G195" s="597" t="s">
        <v>600</v>
      </c>
      <c r="H195" s="597" t="s">
        <v>639</v>
      </c>
      <c r="I195" s="1020">
        <v>0</v>
      </c>
      <c r="J195" s="1020">
        <f t="shared" si="6"/>
        <v>0.5</v>
      </c>
      <c r="K195" s="1020"/>
      <c r="L195" s="1020">
        <v>0.5</v>
      </c>
      <c r="M195" s="597" t="s">
        <v>600</v>
      </c>
      <c r="N195" s="597" t="s">
        <v>601</v>
      </c>
      <c r="O195" s="1020">
        <v>0</v>
      </c>
      <c r="P195" s="597" t="s">
        <v>600</v>
      </c>
      <c r="Q195" s="597" t="s">
        <v>639</v>
      </c>
      <c r="R195" s="1020">
        <v>0</v>
      </c>
      <c r="S195" s="1020">
        <f t="shared" si="7"/>
        <v>0.5</v>
      </c>
      <c r="T195" s="947" t="s">
        <v>1005</v>
      </c>
      <c r="U195" s="877" t="s">
        <v>997</v>
      </c>
      <c r="V195" s="877"/>
      <c r="W195" s="877"/>
      <c r="X195" s="937" t="s">
        <v>1005</v>
      </c>
      <c r="Y195" s="926">
        <v>11945</v>
      </c>
      <c r="Z195" s="888"/>
      <c r="AA195" s="927"/>
      <c r="AB195" s="914" t="s">
        <v>1005</v>
      </c>
      <c r="AC195" s="1011" t="s">
        <v>1206</v>
      </c>
      <c r="AD195" s="1011" t="s">
        <v>1206</v>
      </c>
      <c r="AE195" s="1011" t="s">
        <v>1206</v>
      </c>
      <c r="AF195" s="1011" t="s">
        <v>1206</v>
      </c>
      <c r="AH195" s="1011" t="b">
        <f t="shared" si="8"/>
        <v>1</v>
      </c>
      <c r="AI195" s="1011" t="s">
        <v>291</v>
      </c>
      <c r="AJ195" s="1011" t="s">
        <v>1743</v>
      </c>
      <c r="AK195" s="1011" t="s">
        <v>1744</v>
      </c>
      <c r="AL195" s="1011" t="s">
        <v>1745</v>
      </c>
    </row>
    <row r="196" spans="1:43" ht="15.75" customHeight="1" x14ac:dyDescent="0.2">
      <c r="A196" s="1018" t="s">
        <v>293</v>
      </c>
      <c r="B196" s="1019" t="s">
        <v>292</v>
      </c>
      <c r="C196" s="1020">
        <v>0.4</v>
      </c>
      <c r="D196" s="597" t="s">
        <v>723</v>
      </c>
      <c r="E196" s="597" t="s">
        <v>724</v>
      </c>
      <c r="F196" s="1020">
        <v>0.1</v>
      </c>
      <c r="G196" s="597" t="s">
        <v>600</v>
      </c>
      <c r="H196" s="597" t="s">
        <v>639</v>
      </c>
      <c r="I196" s="1020">
        <v>0</v>
      </c>
      <c r="J196" s="1020">
        <f t="shared" si="6"/>
        <v>0.5</v>
      </c>
      <c r="K196" s="1020"/>
      <c r="L196" s="1020">
        <v>0.4</v>
      </c>
      <c r="M196" s="597" t="s">
        <v>723</v>
      </c>
      <c r="N196" s="597" t="s">
        <v>724</v>
      </c>
      <c r="O196" s="1020">
        <v>0.1</v>
      </c>
      <c r="P196" s="597" t="s">
        <v>600</v>
      </c>
      <c r="Q196" s="597" t="s">
        <v>639</v>
      </c>
      <c r="R196" s="1020">
        <v>0</v>
      </c>
      <c r="S196" s="1020">
        <f t="shared" si="7"/>
        <v>0.5</v>
      </c>
      <c r="T196" s="947"/>
      <c r="U196" s="887"/>
      <c r="V196" s="877"/>
      <c r="W196" s="877"/>
      <c r="X196" s="1015"/>
      <c r="Y196" s="965"/>
      <c r="Z196" s="966"/>
      <c r="AA196" s="967"/>
      <c r="AB196" s="912"/>
      <c r="AC196" s="1011" t="s">
        <v>1206</v>
      </c>
      <c r="AD196" s="1011" t="s">
        <v>1206</v>
      </c>
      <c r="AE196" s="1011" t="s">
        <v>1206</v>
      </c>
      <c r="AF196" s="1011" t="s">
        <v>1206</v>
      </c>
      <c r="AH196" s="1011" t="b">
        <f t="shared" si="8"/>
        <v>1</v>
      </c>
      <c r="AI196" s="1011" t="s">
        <v>293</v>
      </c>
      <c r="AJ196" s="1011" t="s">
        <v>292</v>
      </c>
      <c r="AK196" s="1011" t="s">
        <v>1746</v>
      </c>
      <c r="AL196" s="1011" t="s">
        <v>1747</v>
      </c>
      <c r="AM196" s="1011" t="s">
        <v>1748</v>
      </c>
      <c r="AN196" s="1011" t="s">
        <v>1749</v>
      </c>
    </row>
    <row r="197" spans="1:43" ht="15" x14ac:dyDescent="0.2">
      <c r="A197" s="1018" t="s">
        <v>295</v>
      </c>
      <c r="B197" s="1019" t="s">
        <v>733</v>
      </c>
      <c r="C197" s="1020">
        <v>0.49</v>
      </c>
      <c r="D197" s="597" t="s">
        <v>600</v>
      </c>
      <c r="E197" s="597" t="s">
        <v>601</v>
      </c>
      <c r="F197" s="1020">
        <v>0</v>
      </c>
      <c r="G197" s="597" t="s">
        <v>734</v>
      </c>
      <c r="H197" s="597" t="s">
        <v>735</v>
      </c>
      <c r="I197" s="1020">
        <v>0.01</v>
      </c>
      <c r="J197" s="1020">
        <f t="shared" si="6"/>
        <v>0.5</v>
      </c>
      <c r="K197" s="1020"/>
      <c r="L197" s="1020">
        <v>0.49</v>
      </c>
      <c r="M197" s="597" t="s">
        <v>600</v>
      </c>
      <c r="N197" s="597" t="s">
        <v>601</v>
      </c>
      <c r="O197" s="1020">
        <v>0</v>
      </c>
      <c r="P197" s="597" t="s">
        <v>734</v>
      </c>
      <c r="Q197" s="597" t="s">
        <v>735</v>
      </c>
      <c r="R197" s="1020">
        <v>0.01</v>
      </c>
      <c r="S197" s="1020">
        <f t="shared" si="7"/>
        <v>0.5</v>
      </c>
      <c r="T197" s="947" t="s">
        <v>1005</v>
      </c>
      <c r="U197" s="877" t="s">
        <v>998</v>
      </c>
      <c r="V197" s="877" t="s">
        <v>999</v>
      </c>
      <c r="W197" s="877"/>
      <c r="X197" s="937" t="s">
        <v>1005</v>
      </c>
      <c r="Y197" s="926">
        <v>4137735</v>
      </c>
      <c r="Z197" s="888">
        <v>5904735</v>
      </c>
      <c r="AA197" s="927"/>
      <c r="AB197" s="914" t="s">
        <v>1005</v>
      </c>
      <c r="AC197" s="1011" t="s">
        <v>1206</v>
      </c>
      <c r="AD197" s="1011" t="s">
        <v>1206</v>
      </c>
      <c r="AE197" s="1011" t="s">
        <v>1206</v>
      </c>
      <c r="AF197" s="1011" t="s">
        <v>1206</v>
      </c>
      <c r="AH197" s="1011" t="b">
        <f t="shared" si="8"/>
        <v>1</v>
      </c>
      <c r="AI197" s="1011" t="s">
        <v>295</v>
      </c>
      <c r="AJ197" s="1011" t="s">
        <v>294</v>
      </c>
      <c r="AK197" s="1011" t="s">
        <v>1750</v>
      </c>
      <c r="AL197" s="1011" t="s">
        <v>1751</v>
      </c>
      <c r="AM197" s="1011" t="s">
        <v>1752</v>
      </c>
      <c r="AN197" s="1011" t="s">
        <v>1753</v>
      </c>
    </row>
    <row r="198" spans="1:43" ht="15.75" customHeight="1" x14ac:dyDescent="0.2">
      <c r="A198" s="1018" t="s">
        <v>297</v>
      </c>
      <c r="B198" s="1019" t="s">
        <v>759</v>
      </c>
      <c r="C198" s="1020">
        <v>0.4</v>
      </c>
      <c r="D198" s="597" t="s">
        <v>756</v>
      </c>
      <c r="E198" s="597" t="s">
        <v>757</v>
      </c>
      <c r="F198" s="1020">
        <v>0.1</v>
      </c>
      <c r="G198" s="597" t="s">
        <v>600</v>
      </c>
      <c r="H198" s="597" t="s">
        <v>639</v>
      </c>
      <c r="I198" s="1020">
        <v>0</v>
      </c>
      <c r="J198" s="1020">
        <f t="shared" ref="J198:J261" si="9">+C198+F198+I198</f>
        <v>0.5</v>
      </c>
      <c r="K198" s="1020"/>
      <c r="L198" s="1020">
        <v>0.4</v>
      </c>
      <c r="M198" s="597" t="s">
        <v>756</v>
      </c>
      <c r="N198" s="597" t="s">
        <v>757</v>
      </c>
      <c r="O198" s="1020">
        <v>0.1</v>
      </c>
      <c r="P198" s="597" t="s">
        <v>600</v>
      </c>
      <c r="Q198" s="597" t="s">
        <v>639</v>
      </c>
      <c r="R198" s="1020">
        <v>0</v>
      </c>
      <c r="S198" s="1020">
        <f t="shared" ref="S198:S261" si="10">+L198+O198+R198</f>
        <v>0.5</v>
      </c>
      <c r="T198" s="947"/>
      <c r="U198" s="877"/>
      <c r="V198" s="877"/>
      <c r="W198" s="877"/>
      <c r="X198" s="1015"/>
      <c r="Y198" s="924"/>
      <c r="Z198" s="883"/>
      <c r="AA198" s="925"/>
      <c r="AB198" s="912"/>
      <c r="AC198" s="1011" t="s">
        <v>1206</v>
      </c>
      <c r="AD198" s="1011" t="s">
        <v>1206</v>
      </c>
      <c r="AE198" s="1011" t="s">
        <v>1206</v>
      </c>
      <c r="AF198" s="1011" t="s">
        <v>1206</v>
      </c>
      <c r="AH198" s="1011" t="b">
        <f t="shared" ref="AH198:AH261" si="11">+A198=AI198</f>
        <v>1</v>
      </c>
      <c r="AI198" s="1011" t="s">
        <v>297</v>
      </c>
      <c r="AJ198" s="1011" t="s">
        <v>296</v>
      </c>
      <c r="AK198" s="1011" t="s">
        <v>1754</v>
      </c>
      <c r="AL198" s="1011" t="s">
        <v>1755</v>
      </c>
      <c r="AM198" s="1011" t="s">
        <v>1756</v>
      </c>
      <c r="AO198" s="1011" t="s">
        <v>1757</v>
      </c>
      <c r="AP198" s="1011" t="s">
        <v>1758</v>
      </c>
      <c r="AQ198" s="1011" t="s">
        <v>1759</v>
      </c>
    </row>
    <row r="199" spans="1:43" ht="15.75" customHeight="1" x14ac:dyDescent="0.2">
      <c r="A199" s="1018" t="s">
        <v>299</v>
      </c>
      <c r="B199" s="1019" t="s">
        <v>720</v>
      </c>
      <c r="C199" s="1020">
        <v>0.4</v>
      </c>
      <c r="D199" s="597" t="s">
        <v>717</v>
      </c>
      <c r="E199" s="597" t="s">
        <v>718</v>
      </c>
      <c r="F199" s="1020">
        <v>0.09</v>
      </c>
      <c r="G199" s="597" t="s">
        <v>714</v>
      </c>
      <c r="H199" s="597" t="s">
        <v>715</v>
      </c>
      <c r="I199" s="1020">
        <v>0.01</v>
      </c>
      <c r="J199" s="1020">
        <f t="shared" si="9"/>
        <v>0.5</v>
      </c>
      <c r="K199" s="1020"/>
      <c r="L199" s="1020">
        <v>0.4</v>
      </c>
      <c r="M199" s="597" t="s">
        <v>717</v>
      </c>
      <c r="N199" s="597" t="s">
        <v>718</v>
      </c>
      <c r="O199" s="1020">
        <v>0.09</v>
      </c>
      <c r="P199" s="597" t="s">
        <v>714</v>
      </c>
      <c r="Q199" s="597" t="s">
        <v>715</v>
      </c>
      <c r="R199" s="1020">
        <v>0.01</v>
      </c>
      <c r="S199" s="1020">
        <f t="shared" si="10"/>
        <v>0.5</v>
      </c>
      <c r="T199" s="947"/>
      <c r="U199" s="877"/>
      <c r="V199" s="877"/>
      <c r="W199" s="877"/>
      <c r="X199" s="1015"/>
      <c r="Y199" s="924"/>
      <c r="Z199" s="883"/>
      <c r="AA199" s="925"/>
      <c r="AB199" s="912"/>
      <c r="AC199" s="1011" t="s">
        <v>1206</v>
      </c>
      <c r="AD199" s="1011" t="s">
        <v>1206</v>
      </c>
      <c r="AE199" s="1011" t="s">
        <v>1206</v>
      </c>
      <c r="AF199" s="1011" t="s">
        <v>1206</v>
      </c>
      <c r="AH199" s="1011" t="b">
        <f t="shared" si="11"/>
        <v>1</v>
      </c>
      <c r="AI199" s="1011" t="s">
        <v>299</v>
      </c>
      <c r="AJ199" s="1011" t="s">
        <v>298</v>
      </c>
      <c r="AK199" s="1011" t="s">
        <v>1760</v>
      </c>
      <c r="AL199" s="1011" t="s">
        <v>1761</v>
      </c>
    </row>
    <row r="200" spans="1:43" ht="15.75" customHeight="1" x14ac:dyDescent="0.2">
      <c r="A200" s="1018" t="s">
        <v>301</v>
      </c>
      <c r="B200" s="1019" t="s">
        <v>300</v>
      </c>
      <c r="C200" s="1020">
        <v>0.99</v>
      </c>
      <c r="D200" s="597" t="s">
        <v>600</v>
      </c>
      <c r="E200" s="597" t="s">
        <v>765</v>
      </c>
      <c r="F200" s="1020">
        <v>0</v>
      </c>
      <c r="G200" s="597" t="s">
        <v>766</v>
      </c>
      <c r="H200" s="597" t="s">
        <v>767</v>
      </c>
      <c r="I200" s="1020">
        <v>0.01</v>
      </c>
      <c r="J200" s="1020">
        <f t="shared" si="9"/>
        <v>1</v>
      </c>
      <c r="K200" s="1020"/>
      <c r="L200" s="1020">
        <v>0.49</v>
      </c>
      <c r="M200" s="597" t="s">
        <v>600</v>
      </c>
      <c r="N200" s="597" t="s">
        <v>765</v>
      </c>
      <c r="O200" s="1020">
        <v>0</v>
      </c>
      <c r="P200" s="597" t="s">
        <v>766</v>
      </c>
      <c r="Q200" s="597" t="s">
        <v>767</v>
      </c>
      <c r="R200" s="1020">
        <v>0.01</v>
      </c>
      <c r="S200" s="1020">
        <f t="shared" si="10"/>
        <v>0.5</v>
      </c>
      <c r="T200" s="949"/>
      <c r="U200" s="885"/>
      <c r="V200" s="885"/>
      <c r="W200" s="885"/>
      <c r="X200" s="937" t="s">
        <v>1005</v>
      </c>
      <c r="Y200" s="924"/>
      <c r="Z200" s="883"/>
      <c r="AA200" s="925"/>
      <c r="AB200" s="914" t="s">
        <v>1005</v>
      </c>
      <c r="AC200" s="1011" t="s">
        <v>1206</v>
      </c>
      <c r="AD200" s="1011" t="s">
        <v>1206</v>
      </c>
      <c r="AE200" s="1011" t="s">
        <v>1206</v>
      </c>
      <c r="AF200" s="1011" t="s">
        <v>1206</v>
      </c>
      <c r="AG200" s="1112"/>
      <c r="AH200" s="1011" t="b">
        <f t="shared" si="11"/>
        <v>1</v>
      </c>
      <c r="AI200" s="1011" t="s">
        <v>301</v>
      </c>
      <c r="AJ200" s="1011" t="s">
        <v>300</v>
      </c>
      <c r="AK200" s="1011" t="s">
        <v>1762</v>
      </c>
      <c r="AL200" s="1011" t="s">
        <v>1763</v>
      </c>
    </row>
    <row r="201" spans="1:43" ht="15.75" customHeight="1" x14ac:dyDescent="0.2">
      <c r="A201" s="1018" t="s">
        <v>303</v>
      </c>
      <c r="B201" s="1019" t="s">
        <v>302</v>
      </c>
      <c r="C201" s="1020">
        <v>0.4</v>
      </c>
      <c r="D201" s="597" t="s">
        <v>739</v>
      </c>
      <c r="E201" s="597" t="s">
        <v>740</v>
      </c>
      <c r="F201" s="1020">
        <v>0.1</v>
      </c>
      <c r="G201" s="597" t="s">
        <v>600</v>
      </c>
      <c r="H201" s="597" t="s">
        <v>639</v>
      </c>
      <c r="I201" s="1020">
        <v>0</v>
      </c>
      <c r="J201" s="1020">
        <f t="shared" si="9"/>
        <v>0.5</v>
      </c>
      <c r="K201" s="1020"/>
      <c r="L201" s="1020">
        <v>0.4</v>
      </c>
      <c r="M201" s="597" t="s">
        <v>739</v>
      </c>
      <c r="N201" s="597" t="s">
        <v>740</v>
      </c>
      <c r="O201" s="1020">
        <v>0.1</v>
      </c>
      <c r="P201" s="597" t="s">
        <v>600</v>
      </c>
      <c r="Q201" s="597" t="s">
        <v>639</v>
      </c>
      <c r="R201" s="1020">
        <v>0</v>
      </c>
      <c r="S201" s="1020">
        <f t="shared" si="10"/>
        <v>0.5</v>
      </c>
      <c r="T201" s="947"/>
      <c r="U201" s="877"/>
      <c r="V201" s="877"/>
      <c r="W201" s="877"/>
      <c r="X201" s="1015"/>
      <c r="Y201" s="924"/>
      <c r="Z201" s="883"/>
      <c r="AA201" s="925"/>
      <c r="AB201" s="912"/>
      <c r="AC201" s="1011" t="s">
        <v>1206</v>
      </c>
      <c r="AD201" s="1011" t="s">
        <v>1206</v>
      </c>
      <c r="AE201" s="1011" t="s">
        <v>1206</v>
      </c>
      <c r="AF201" s="1011" t="s">
        <v>1206</v>
      </c>
      <c r="AH201" s="1011" t="b">
        <f t="shared" si="11"/>
        <v>1</v>
      </c>
      <c r="AI201" s="1011" t="s">
        <v>303</v>
      </c>
      <c r="AJ201" s="1011" t="s">
        <v>302</v>
      </c>
      <c r="AK201" s="1011" t="s">
        <v>1764</v>
      </c>
      <c r="AL201" s="1011" t="s">
        <v>1765</v>
      </c>
      <c r="AM201" s="1011" t="s">
        <v>1766</v>
      </c>
    </row>
    <row r="202" spans="1:43" ht="15.75" customHeight="1" x14ac:dyDescent="0.2">
      <c r="A202" s="1018" t="s">
        <v>305</v>
      </c>
      <c r="B202" s="1019" t="s">
        <v>304</v>
      </c>
      <c r="C202" s="1020">
        <v>0.4</v>
      </c>
      <c r="D202" s="597" t="s">
        <v>711</v>
      </c>
      <c r="E202" s="597" t="s">
        <v>712</v>
      </c>
      <c r="F202" s="1020">
        <v>0.09</v>
      </c>
      <c r="G202" s="597" t="s">
        <v>708</v>
      </c>
      <c r="H202" s="597" t="s">
        <v>709</v>
      </c>
      <c r="I202" s="1020">
        <v>0.01</v>
      </c>
      <c r="J202" s="1020">
        <f t="shared" si="9"/>
        <v>0.5</v>
      </c>
      <c r="K202" s="1020"/>
      <c r="L202" s="1020">
        <v>0.4</v>
      </c>
      <c r="M202" s="597" t="s">
        <v>711</v>
      </c>
      <c r="N202" s="597" t="s">
        <v>712</v>
      </c>
      <c r="O202" s="1020">
        <v>0.09</v>
      </c>
      <c r="P202" s="597" t="s">
        <v>708</v>
      </c>
      <c r="Q202" s="597" t="s">
        <v>709</v>
      </c>
      <c r="R202" s="1020">
        <v>0.01</v>
      </c>
      <c r="S202" s="1020">
        <f t="shared" si="10"/>
        <v>0.5</v>
      </c>
      <c r="T202" s="947"/>
      <c r="U202" s="877"/>
      <c r="V202" s="877"/>
      <c r="W202" s="877"/>
      <c r="X202" s="1015"/>
      <c r="Y202" s="924"/>
      <c r="Z202" s="883"/>
      <c r="AA202" s="925"/>
      <c r="AB202" s="912"/>
      <c r="AC202" s="1011" t="s">
        <v>1206</v>
      </c>
      <c r="AD202" s="1011" t="s">
        <v>1206</v>
      </c>
      <c r="AE202" s="1011" t="s">
        <v>1206</v>
      </c>
      <c r="AF202" s="1011" t="s">
        <v>1206</v>
      </c>
      <c r="AH202" s="1011" t="b">
        <f t="shared" si="11"/>
        <v>1</v>
      </c>
      <c r="AI202" s="1011" t="s">
        <v>305</v>
      </c>
      <c r="AJ202" s="1011" t="s">
        <v>304</v>
      </c>
      <c r="AK202" s="1011" t="s">
        <v>1767</v>
      </c>
      <c r="AL202" s="1011" t="s">
        <v>1768</v>
      </c>
    </row>
    <row r="203" spans="1:43" ht="15.75" customHeight="1" x14ac:dyDescent="0.2">
      <c r="A203" s="1018" t="s">
        <v>307</v>
      </c>
      <c r="B203" s="1019" t="s">
        <v>623</v>
      </c>
      <c r="C203" s="1020">
        <v>0.49</v>
      </c>
      <c r="D203" s="597" t="s">
        <v>600</v>
      </c>
      <c r="E203" s="597" t="s">
        <v>601</v>
      </c>
      <c r="F203" s="1020">
        <v>0</v>
      </c>
      <c r="G203" s="597" t="s">
        <v>624</v>
      </c>
      <c r="H203" s="597" t="s">
        <v>625</v>
      </c>
      <c r="I203" s="1020">
        <v>0.01</v>
      </c>
      <c r="J203" s="1020">
        <f t="shared" si="9"/>
        <v>0.5</v>
      </c>
      <c r="K203" s="1020"/>
      <c r="L203" s="1020">
        <v>0.49</v>
      </c>
      <c r="M203" s="597" t="s">
        <v>600</v>
      </c>
      <c r="N203" s="597" t="s">
        <v>601</v>
      </c>
      <c r="O203" s="1020">
        <v>0</v>
      </c>
      <c r="P203" s="597" t="s">
        <v>624</v>
      </c>
      <c r="Q203" s="597" t="s">
        <v>625</v>
      </c>
      <c r="R203" s="1020">
        <v>0.01</v>
      </c>
      <c r="S203" s="1020">
        <f t="shared" si="10"/>
        <v>0.5</v>
      </c>
      <c r="T203" s="947"/>
      <c r="U203" s="877"/>
      <c r="V203" s="877"/>
      <c r="W203" s="877"/>
      <c r="X203" s="937" t="s">
        <v>1005</v>
      </c>
      <c r="Y203" s="924"/>
      <c r="Z203" s="883"/>
      <c r="AA203" s="925"/>
      <c r="AB203" s="914" t="s">
        <v>1005</v>
      </c>
      <c r="AC203" s="1011" t="s">
        <v>1206</v>
      </c>
      <c r="AD203" s="1011" t="s">
        <v>1206</v>
      </c>
      <c r="AE203" s="1011" t="s">
        <v>1206</v>
      </c>
      <c r="AF203" s="1011" t="s">
        <v>1005</v>
      </c>
      <c r="AG203" s="1112">
        <v>97366338.817728028</v>
      </c>
      <c r="AH203" s="1011" t="b">
        <f t="shared" si="11"/>
        <v>1</v>
      </c>
      <c r="AI203" s="1011" t="s">
        <v>307</v>
      </c>
      <c r="AJ203" s="1011" t="s">
        <v>306</v>
      </c>
      <c r="AK203" s="1011" t="s">
        <v>1769</v>
      </c>
      <c r="AL203" s="1011" t="s">
        <v>1770</v>
      </c>
      <c r="AM203" s="1011" t="s">
        <v>1771</v>
      </c>
      <c r="AN203" s="1011" t="s">
        <v>1770</v>
      </c>
    </row>
    <row r="204" spans="1:43" ht="15.75" customHeight="1" x14ac:dyDescent="0.2">
      <c r="A204" s="1018" t="s">
        <v>309</v>
      </c>
      <c r="B204" s="1019" t="s">
        <v>648</v>
      </c>
      <c r="C204" s="1020">
        <v>0.49</v>
      </c>
      <c r="D204" s="597" t="s">
        <v>600</v>
      </c>
      <c r="E204" s="597" t="s">
        <v>601</v>
      </c>
      <c r="F204" s="1020">
        <v>0</v>
      </c>
      <c r="G204" s="597" t="s">
        <v>649</v>
      </c>
      <c r="H204" s="597" t="s">
        <v>650</v>
      </c>
      <c r="I204" s="1020">
        <v>0.01</v>
      </c>
      <c r="J204" s="1020">
        <f t="shared" si="9"/>
        <v>0.5</v>
      </c>
      <c r="K204" s="1020"/>
      <c r="L204" s="1020">
        <v>0.49</v>
      </c>
      <c r="M204" s="597" t="s">
        <v>600</v>
      </c>
      <c r="N204" s="597" t="s">
        <v>601</v>
      </c>
      <c r="O204" s="1020">
        <v>0</v>
      </c>
      <c r="P204" s="597" t="s">
        <v>649</v>
      </c>
      <c r="Q204" s="597" t="s">
        <v>650</v>
      </c>
      <c r="R204" s="1020">
        <v>0.01</v>
      </c>
      <c r="S204" s="1020">
        <f t="shared" si="10"/>
        <v>0.5</v>
      </c>
      <c r="T204" s="1106" t="s">
        <v>1005</v>
      </c>
      <c r="U204" s="1107" t="s">
        <v>2258</v>
      </c>
      <c r="V204" s="877"/>
      <c r="W204" s="877"/>
      <c r="X204" s="937" t="s">
        <v>1005</v>
      </c>
      <c r="Y204" s="924"/>
      <c r="Z204" s="883"/>
      <c r="AA204" s="925"/>
      <c r="AB204" s="914" t="s">
        <v>1005</v>
      </c>
      <c r="AC204" s="1011" t="s">
        <v>1005</v>
      </c>
      <c r="AD204" s="1011" t="s">
        <v>1206</v>
      </c>
      <c r="AE204" s="1011" t="s">
        <v>1206</v>
      </c>
      <c r="AF204" s="1011" t="s">
        <v>1206</v>
      </c>
      <c r="AH204" s="1011" t="b">
        <f t="shared" si="11"/>
        <v>1</v>
      </c>
      <c r="AI204" s="1011" t="s">
        <v>309</v>
      </c>
      <c r="AJ204" s="1011" t="s">
        <v>308</v>
      </c>
      <c r="AK204" s="1011" t="s">
        <v>1772</v>
      </c>
      <c r="AL204" s="1011" t="s">
        <v>1773</v>
      </c>
    </row>
    <row r="205" spans="1:43" ht="15.75" customHeight="1" x14ac:dyDescent="0.2">
      <c r="A205" s="1018" t="s">
        <v>311</v>
      </c>
      <c r="B205" s="1019" t="s">
        <v>654</v>
      </c>
      <c r="C205" s="1020">
        <v>0.49</v>
      </c>
      <c r="D205" s="597" t="s">
        <v>600</v>
      </c>
      <c r="E205" s="597" t="s">
        <v>601</v>
      </c>
      <c r="F205" s="1020">
        <v>0</v>
      </c>
      <c r="G205" s="597" t="s">
        <v>655</v>
      </c>
      <c r="H205" s="597" t="s">
        <v>656</v>
      </c>
      <c r="I205" s="1020">
        <v>0.01</v>
      </c>
      <c r="J205" s="1020">
        <f t="shared" si="9"/>
        <v>0.5</v>
      </c>
      <c r="K205" s="1020"/>
      <c r="L205" s="1020">
        <v>0.49</v>
      </c>
      <c r="M205" s="597" t="s">
        <v>600</v>
      </c>
      <c r="N205" s="597" t="s">
        <v>601</v>
      </c>
      <c r="O205" s="1020">
        <v>0</v>
      </c>
      <c r="P205" s="597" t="s">
        <v>655</v>
      </c>
      <c r="Q205" s="597" t="s">
        <v>656</v>
      </c>
      <c r="R205" s="1020">
        <v>0.01</v>
      </c>
      <c r="S205" s="1020">
        <f t="shared" si="10"/>
        <v>0.5</v>
      </c>
      <c r="T205" s="947"/>
      <c r="U205" s="877"/>
      <c r="V205" s="877"/>
      <c r="W205" s="877"/>
      <c r="X205" s="937" t="s">
        <v>1005</v>
      </c>
      <c r="Y205" s="924"/>
      <c r="Z205" s="883"/>
      <c r="AA205" s="925"/>
      <c r="AB205" s="914" t="s">
        <v>1005</v>
      </c>
      <c r="AC205" s="1011" t="s">
        <v>1206</v>
      </c>
      <c r="AD205" s="1011" t="s">
        <v>1206</v>
      </c>
      <c r="AE205" s="1011" t="s">
        <v>1206</v>
      </c>
      <c r="AF205" s="1011" t="s">
        <v>1206</v>
      </c>
      <c r="AH205" s="1011" t="b">
        <f t="shared" si="11"/>
        <v>1</v>
      </c>
      <c r="AI205" s="1011" t="s">
        <v>311</v>
      </c>
      <c r="AJ205" s="1011" t="s">
        <v>310</v>
      </c>
      <c r="AK205" s="1011" t="s">
        <v>1774</v>
      </c>
      <c r="AL205" s="1011" t="s">
        <v>1775</v>
      </c>
    </row>
    <row r="206" spans="1:43" ht="15.75" customHeight="1" x14ac:dyDescent="0.2">
      <c r="A206" s="1018" t="s">
        <v>313</v>
      </c>
      <c r="B206" s="1019" t="s">
        <v>681</v>
      </c>
      <c r="C206" s="1020">
        <v>0.49</v>
      </c>
      <c r="D206" s="597" t="s">
        <v>600</v>
      </c>
      <c r="E206" s="597" t="s">
        <v>601</v>
      </c>
      <c r="F206" s="1020">
        <v>0</v>
      </c>
      <c r="G206" s="597" t="s">
        <v>682</v>
      </c>
      <c r="H206" s="597" t="s">
        <v>683</v>
      </c>
      <c r="I206" s="1020">
        <v>0.01</v>
      </c>
      <c r="J206" s="1020">
        <f t="shared" si="9"/>
        <v>0.5</v>
      </c>
      <c r="K206" s="1020"/>
      <c r="L206" s="1020">
        <v>0.49</v>
      </c>
      <c r="M206" s="597" t="s">
        <v>600</v>
      </c>
      <c r="N206" s="597" t="s">
        <v>601</v>
      </c>
      <c r="O206" s="1020">
        <v>0</v>
      </c>
      <c r="P206" s="597" t="s">
        <v>682</v>
      </c>
      <c r="Q206" s="597" t="s">
        <v>683</v>
      </c>
      <c r="R206" s="1020">
        <v>0.01</v>
      </c>
      <c r="S206" s="1020">
        <f t="shared" si="10"/>
        <v>0.5</v>
      </c>
      <c r="T206" s="947"/>
      <c r="U206" s="877"/>
      <c r="V206" s="877"/>
      <c r="W206" s="877"/>
      <c r="X206" s="937" t="s">
        <v>1005</v>
      </c>
      <c r="Y206" s="924"/>
      <c r="Z206" s="883"/>
      <c r="AA206" s="925"/>
      <c r="AB206" s="914" t="s">
        <v>1005</v>
      </c>
      <c r="AC206" s="1011" t="s">
        <v>1206</v>
      </c>
      <c r="AD206" s="1011" t="s">
        <v>1206</v>
      </c>
      <c r="AE206" s="1011" t="s">
        <v>1206</v>
      </c>
      <c r="AF206" s="1011" t="s">
        <v>1206</v>
      </c>
      <c r="AH206" s="1011" t="b">
        <f t="shared" si="11"/>
        <v>1</v>
      </c>
      <c r="AI206" s="1011" t="s">
        <v>313</v>
      </c>
      <c r="AJ206" s="1011" t="s">
        <v>312</v>
      </c>
      <c r="AK206" s="1011" t="s">
        <v>1776</v>
      </c>
      <c r="AL206" s="1011" t="s">
        <v>1777</v>
      </c>
    </row>
    <row r="207" spans="1:43" ht="15.75" customHeight="1" x14ac:dyDescent="0.2">
      <c r="A207" s="1018" t="s">
        <v>315</v>
      </c>
      <c r="B207" s="1019" t="s">
        <v>314</v>
      </c>
      <c r="C207" s="1020">
        <v>0.4</v>
      </c>
      <c r="D207" s="597" t="s">
        <v>711</v>
      </c>
      <c r="E207" s="597" t="s">
        <v>712</v>
      </c>
      <c r="F207" s="1020">
        <v>0.09</v>
      </c>
      <c r="G207" s="597" t="s">
        <v>708</v>
      </c>
      <c r="H207" s="597" t="s">
        <v>709</v>
      </c>
      <c r="I207" s="1020">
        <v>0.01</v>
      </c>
      <c r="J207" s="1020">
        <f t="shared" si="9"/>
        <v>0.5</v>
      </c>
      <c r="K207" s="1020"/>
      <c r="L207" s="1020">
        <v>0.4</v>
      </c>
      <c r="M207" s="597" t="s">
        <v>711</v>
      </c>
      <c r="N207" s="597" t="s">
        <v>712</v>
      </c>
      <c r="O207" s="1020">
        <v>0.09</v>
      </c>
      <c r="P207" s="597" t="s">
        <v>708</v>
      </c>
      <c r="Q207" s="597" t="s">
        <v>709</v>
      </c>
      <c r="R207" s="1020">
        <v>0.01</v>
      </c>
      <c r="S207" s="1020">
        <f t="shared" si="10"/>
        <v>0.5</v>
      </c>
      <c r="T207" s="947"/>
      <c r="U207" s="877"/>
      <c r="V207" s="877"/>
      <c r="W207" s="877"/>
      <c r="X207" s="1015"/>
      <c r="Y207" s="924"/>
      <c r="Z207" s="883"/>
      <c r="AA207" s="925"/>
      <c r="AB207" s="912"/>
      <c r="AC207" s="1011" t="s">
        <v>1206</v>
      </c>
      <c r="AD207" s="1011" t="s">
        <v>1206</v>
      </c>
      <c r="AE207" s="1011" t="s">
        <v>1206</v>
      </c>
      <c r="AF207" s="1011" t="s">
        <v>1206</v>
      </c>
      <c r="AH207" s="1011" t="b">
        <f t="shared" si="11"/>
        <v>1</v>
      </c>
      <c r="AI207" s="1011" t="s">
        <v>315</v>
      </c>
      <c r="AJ207" s="1011" t="s">
        <v>314</v>
      </c>
      <c r="AK207" s="1011" t="s">
        <v>1778</v>
      </c>
      <c r="AL207" s="1011" t="s">
        <v>1779</v>
      </c>
      <c r="AM207" s="1011" t="s">
        <v>1780</v>
      </c>
      <c r="AQ207" s="1011" t="s">
        <v>1781</v>
      </c>
    </row>
    <row r="208" spans="1:43" ht="15.75" customHeight="1" x14ac:dyDescent="0.2">
      <c r="A208" s="1018" t="s">
        <v>317</v>
      </c>
      <c r="B208" s="1019" t="s">
        <v>316</v>
      </c>
      <c r="C208" s="1020">
        <v>0.4</v>
      </c>
      <c r="D208" s="597" t="s">
        <v>658</v>
      </c>
      <c r="E208" s="597" t="s">
        <v>659</v>
      </c>
      <c r="F208" s="1020">
        <v>0.09</v>
      </c>
      <c r="G208" s="597" t="s">
        <v>655</v>
      </c>
      <c r="H208" s="597" t="s">
        <v>656</v>
      </c>
      <c r="I208" s="1020">
        <v>0.01</v>
      </c>
      <c r="J208" s="1020">
        <f t="shared" si="9"/>
        <v>0.5</v>
      </c>
      <c r="K208" s="1020"/>
      <c r="L208" s="1020">
        <v>0.4</v>
      </c>
      <c r="M208" s="597" t="s">
        <v>658</v>
      </c>
      <c r="N208" s="597" t="s">
        <v>659</v>
      </c>
      <c r="O208" s="1020">
        <v>0.09</v>
      </c>
      <c r="P208" s="597" t="s">
        <v>655</v>
      </c>
      <c r="Q208" s="597" t="s">
        <v>656</v>
      </c>
      <c r="R208" s="1020">
        <v>0.01</v>
      </c>
      <c r="S208" s="1020">
        <f t="shared" si="10"/>
        <v>0.5</v>
      </c>
      <c r="T208" s="1106" t="s">
        <v>1005</v>
      </c>
      <c r="U208" s="1107" t="s">
        <v>2247</v>
      </c>
      <c r="V208" s="877"/>
      <c r="W208" s="877"/>
      <c r="X208" s="1015"/>
      <c r="Y208" s="924"/>
      <c r="Z208" s="883"/>
      <c r="AA208" s="925"/>
      <c r="AB208" s="912"/>
      <c r="AC208" s="1011" t="s">
        <v>1005</v>
      </c>
      <c r="AD208" s="1011" t="s">
        <v>1206</v>
      </c>
      <c r="AE208" s="1011" t="s">
        <v>1206</v>
      </c>
      <c r="AF208" s="1011" t="s">
        <v>1206</v>
      </c>
      <c r="AH208" s="1011" t="b">
        <f t="shared" si="11"/>
        <v>1</v>
      </c>
      <c r="AI208" s="1011" t="s">
        <v>317</v>
      </c>
      <c r="AJ208" s="1011" t="s">
        <v>316</v>
      </c>
      <c r="AK208" s="1011" t="s">
        <v>1782</v>
      </c>
      <c r="AL208" s="1011" t="s">
        <v>1783</v>
      </c>
    </row>
    <row r="209" spans="1:43" ht="15.75" customHeight="1" x14ac:dyDescent="0.2">
      <c r="A209" s="1018" t="s">
        <v>319</v>
      </c>
      <c r="B209" s="1019" t="s">
        <v>614</v>
      </c>
      <c r="C209" s="1020">
        <v>0.49</v>
      </c>
      <c r="D209" s="597" t="s">
        <v>600</v>
      </c>
      <c r="E209" s="597" t="s">
        <v>601</v>
      </c>
      <c r="F209" s="1020">
        <v>0</v>
      </c>
      <c r="G209" s="597" t="s">
        <v>611</v>
      </c>
      <c r="H209" s="597" t="s">
        <v>612</v>
      </c>
      <c r="I209" s="1020">
        <v>0.01</v>
      </c>
      <c r="J209" s="1020">
        <f t="shared" si="9"/>
        <v>0.5</v>
      </c>
      <c r="K209" s="1020"/>
      <c r="L209" s="1020">
        <v>0.49</v>
      </c>
      <c r="M209" s="597" t="s">
        <v>600</v>
      </c>
      <c r="N209" s="597" t="s">
        <v>601</v>
      </c>
      <c r="O209" s="1020">
        <v>0</v>
      </c>
      <c r="P209" s="597" t="s">
        <v>611</v>
      </c>
      <c r="Q209" s="597" t="s">
        <v>612</v>
      </c>
      <c r="R209" s="1020">
        <v>0.01</v>
      </c>
      <c r="S209" s="1020">
        <f t="shared" si="10"/>
        <v>0.5</v>
      </c>
      <c r="T209" s="947"/>
      <c r="U209" s="877"/>
      <c r="V209" s="877"/>
      <c r="W209" s="877"/>
      <c r="X209" s="937" t="s">
        <v>1005</v>
      </c>
      <c r="Y209" s="918"/>
      <c r="Z209" s="878"/>
      <c r="AA209" s="919"/>
      <c r="AB209" s="914" t="s">
        <v>1005</v>
      </c>
      <c r="AC209" s="1011" t="s">
        <v>1206</v>
      </c>
      <c r="AD209" s="1011" t="s">
        <v>1206</v>
      </c>
      <c r="AE209" s="1011" t="s">
        <v>1206</v>
      </c>
      <c r="AF209" s="1011" t="s">
        <v>1206</v>
      </c>
      <c r="AH209" s="1011" t="b">
        <f t="shared" si="11"/>
        <v>1</v>
      </c>
      <c r="AI209" s="1011" t="s">
        <v>319</v>
      </c>
      <c r="AJ209" s="1011" t="s">
        <v>318</v>
      </c>
      <c r="AK209" s="1011" t="s">
        <v>1784</v>
      </c>
      <c r="AL209" s="1011" t="s">
        <v>1785</v>
      </c>
    </row>
    <row r="210" spans="1:43" ht="15.75" customHeight="1" x14ac:dyDescent="0.2">
      <c r="A210" s="1018" t="s">
        <v>321</v>
      </c>
      <c r="B210" s="1019" t="s">
        <v>320</v>
      </c>
      <c r="C210" s="1020">
        <v>0.3</v>
      </c>
      <c r="D210" s="597" t="s">
        <v>779</v>
      </c>
      <c r="E210" s="597" t="s">
        <v>780</v>
      </c>
      <c r="F210" s="1020">
        <v>0.37</v>
      </c>
      <c r="G210" s="597" t="s">
        <v>600</v>
      </c>
      <c r="H210" s="597" t="s">
        <v>600</v>
      </c>
      <c r="I210" s="1020">
        <v>0</v>
      </c>
      <c r="J210" s="1020">
        <f t="shared" si="9"/>
        <v>0.66999999999999993</v>
      </c>
      <c r="K210" s="1020"/>
      <c r="L210" s="1020">
        <v>0.3</v>
      </c>
      <c r="M210" s="597" t="s">
        <v>779</v>
      </c>
      <c r="N210" s="597" t="s">
        <v>780</v>
      </c>
      <c r="O210" s="1020">
        <v>0.2</v>
      </c>
      <c r="P210" s="597" t="s">
        <v>600</v>
      </c>
      <c r="Q210" s="597" t="s">
        <v>600</v>
      </c>
      <c r="R210" s="1020">
        <v>0</v>
      </c>
      <c r="S210" s="1020">
        <f t="shared" si="10"/>
        <v>0.5</v>
      </c>
      <c r="T210" s="947"/>
      <c r="U210" s="877"/>
      <c r="V210" s="877"/>
      <c r="W210" s="877"/>
      <c r="X210" s="937" t="s">
        <v>1005</v>
      </c>
      <c r="Y210" s="924"/>
      <c r="Z210" s="883"/>
      <c r="AA210" s="925"/>
      <c r="AB210" s="914" t="s">
        <v>1005</v>
      </c>
      <c r="AC210" s="1011" t="s">
        <v>1206</v>
      </c>
      <c r="AD210" s="1011" t="s">
        <v>1206</v>
      </c>
      <c r="AE210" s="1011" t="s">
        <v>1206</v>
      </c>
      <c r="AF210" s="1011" t="s">
        <v>1206</v>
      </c>
      <c r="AH210" s="1011" t="b">
        <f t="shared" si="11"/>
        <v>1</v>
      </c>
      <c r="AI210" s="1011" t="s">
        <v>321</v>
      </c>
      <c r="AJ210" s="1011" t="s">
        <v>320</v>
      </c>
      <c r="AK210" s="1011" t="s">
        <v>1786</v>
      </c>
      <c r="AL210" s="1011" t="s">
        <v>1787</v>
      </c>
      <c r="AM210" s="1011" t="s">
        <v>1788</v>
      </c>
      <c r="AN210" s="1011" t="s">
        <v>1789</v>
      </c>
    </row>
    <row r="211" spans="1:43" ht="15" x14ac:dyDescent="0.2">
      <c r="A211" s="1018" t="s">
        <v>323</v>
      </c>
      <c r="B211" s="1019" t="s">
        <v>637</v>
      </c>
      <c r="C211" s="1020">
        <v>0.49</v>
      </c>
      <c r="D211" s="597" t="s">
        <v>600</v>
      </c>
      <c r="E211" s="597" t="s">
        <v>601</v>
      </c>
      <c r="F211" s="1020">
        <v>0</v>
      </c>
      <c r="G211" s="597" t="s">
        <v>634</v>
      </c>
      <c r="H211" s="597" t="s">
        <v>635</v>
      </c>
      <c r="I211" s="1020">
        <v>0.01</v>
      </c>
      <c r="J211" s="1020">
        <f t="shared" si="9"/>
        <v>0.5</v>
      </c>
      <c r="K211" s="1020"/>
      <c r="L211" s="1020">
        <v>0.49</v>
      </c>
      <c r="M211" s="597" t="s">
        <v>600</v>
      </c>
      <c r="N211" s="597" t="s">
        <v>601</v>
      </c>
      <c r="O211" s="1020">
        <v>0</v>
      </c>
      <c r="P211" s="597" t="s">
        <v>634</v>
      </c>
      <c r="Q211" s="597" t="s">
        <v>635</v>
      </c>
      <c r="R211" s="1020">
        <v>0.01</v>
      </c>
      <c r="S211" s="1020">
        <f t="shared" si="10"/>
        <v>0.5</v>
      </c>
      <c r="T211" s="947" t="s">
        <v>1005</v>
      </c>
      <c r="U211" s="877" t="s">
        <v>985</v>
      </c>
      <c r="V211" s="877"/>
      <c r="W211" s="877"/>
      <c r="X211" s="937" t="s">
        <v>1005</v>
      </c>
      <c r="Y211" s="926">
        <v>0</v>
      </c>
      <c r="Z211" s="888"/>
      <c r="AA211" s="927"/>
      <c r="AB211" s="914" t="s">
        <v>1005</v>
      </c>
      <c r="AC211" s="1011" t="s">
        <v>1206</v>
      </c>
      <c r="AD211" s="1011" t="s">
        <v>1206</v>
      </c>
      <c r="AE211" s="1011" t="s">
        <v>1206</v>
      </c>
      <c r="AF211" s="1011" t="s">
        <v>1206</v>
      </c>
      <c r="AH211" s="1011" t="b">
        <f t="shared" si="11"/>
        <v>1</v>
      </c>
      <c r="AI211" s="1011" t="s">
        <v>323</v>
      </c>
      <c r="AJ211" s="1011" t="s">
        <v>322</v>
      </c>
      <c r="AK211" s="1011" t="s">
        <v>1790</v>
      </c>
      <c r="AL211" s="1011" t="s">
        <v>1791</v>
      </c>
    </row>
    <row r="212" spans="1:43" ht="15.75" customHeight="1" x14ac:dyDescent="0.2">
      <c r="A212" s="1018" t="s">
        <v>325</v>
      </c>
      <c r="B212" s="1019" t="s">
        <v>324</v>
      </c>
      <c r="C212" s="1020">
        <v>0.4</v>
      </c>
      <c r="D212" s="597" t="s">
        <v>690</v>
      </c>
      <c r="E212" s="597" t="s">
        <v>691</v>
      </c>
      <c r="F212" s="1020">
        <v>0.09</v>
      </c>
      <c r="G212" s="597" t="s">
        <v>688</v>
      </c>
      <c r="H212" s="597" t="s">
        <v>689</v>
      </c>
      <c r="I212" s="1020">
        <v>0.01</v>
      </c>
      <c r="J212" s="1020">
        <f t="shared" si="9"/>
        <v>0.5</v>
      </c>
      <c r="K212" s="1020"/>
      <c r="L212" s="1020">
        <v>0.4</v>
      </c>
      <c r="M212" s="597" t="s">
        <v>690</v>
      </c>
      <c r="N212" s="597" t="s">
        <v>691</v>
      </c>
      <c r="O212" s="1020">
        <v>0.09</v>
      </c>
      <c r="P212" s="597" t="s">
        <v>688</v>
      </c>
      <c r="Q212" s="597" t="s">
        <v>689</v>
      </c>
      <c r="R212" s="1020">
        <v>0.01</v>
      </c>
      <c r="S212" s="1020">
        <f t="shared" si="10"/>
        <v>0.5</v>
      </c>
      <c r="T212" s="947"/>
      <c r="U212" s="877"/>
      <c r="V212" s="877"/>
      <c r="W212" s="877"/>
      <c r="X212" s="1015"/>
      <c r="Y212" s="924"/>
      <c r="Z212" s="883"/>
      <c r="AA212" s="925"/>
      <c r="AB212" s="912"/>
      <c r="AC212" s="1011" t="s">
        <v>1206</v>
      </c>
      <c r="AD212" s="1011" t="s">
        <v>1206</v>
      </c>
      <c r="AE212" s="1011" t="s">
        <v>1206</v>
      </c>
      <c r="AF212" s="1011" t="s">
        <v>1206</v>
      </c>
      <c r="AH212" s="1011" t="b">
        <f t="shared" si="11"/>
        <v>1</v>
      </c>
      <c r="AI212" s="1011" t="s">
        <v>325</v>
      </c>
      <c r="AJ212" s="1011" t="s">
        <v>324</v>
      </c>
      <c r="AK212" s="1011" t="s">
        <v>1321</v>
      </c>
      <c r="AL212" s="1011" t="s">
        <v>1322</v>
      </c>
    </row>
    <row r="213" spans="1:43" ht="15.75" customHeight="1" x14ac:dyDescent="0.2">
      <c r="A213" s="1018" t="s">
        <v>327</v>
      </c>
      <c r="B213" s="1019" t="s">
        <v>755</v>
      </c>
      <c r="C213" s="1020">
        <v>0.4</v>
      </c>
      <c r="D213" s="597" t="s">
        <v>753</v>
      </c>
      <c r="E213" s="597" t="s">
        <v>754</v>
      </c>
      <c r="F213" s="1020">
        <v>0.1</v>
      </c>
      <c r="G213" s="597" t="s">
        <v>600</v>
      </c>
      <c r="H213" s="597" t="s">
        <v>639</v>
      </c>
      <c r="I213" s="1020">
        <v>0</v>
      </c>
      <c r="J213" s="1020">
        <f t="shared" si="9"/>
        <v>0.5</v>
      </c>
      <c r="K213" s="1020"/>
      <c r="L213" s="1020">
        <v>0.4</v>
      </c>
      <c r="M213" s="597" t="s">
        <v>753</v>
      </c>
      <c r="N213" s="597" t="s">
        <v>754</v>
      </c>
      <c r="O213" s="1020">
        <v>0.1</v>
      </c>
      <c r="P213" s="597" t="s">
        <v>600</v>
      </c>
      <c r="Q213" s="597" t="s">
        <v>639</v>
      </c>
      <c r="R213" s="1020">
        <v>0</v>
      </c>
      <c r="S213" s="1020">
        <f t="shared" si="10"/>
        <v>0.5</v>
      </c>
      <c r="T213" s="947"/>
      <c r="U213" s="877"/>
      <c r="V213" s="877"/>
      <c r="W213" s="877"/>
      <c r="X213" s="1015"/>
      <c r="Y213" s="924"/>
      <c r="Z213" s="883"/>
      <c r="AA213" s="925"/>
      <c r="AB213" s="912"/>
      <c r="AC213" s="1011" t="s">
        <v>1206</v>
      </c>
      <c r="AD213" s="1011" t="s">
        <v>1206</v>
      </c>
      <c r="AE213" s="1011" t="s">
        <v>1206</v>
      </c>
      <c r="AF213" s="1011" t="s">
        <v>1206</v>
      </c>
      <c r="AH213" s="1011" t="b">
        <f t="shared" si="11"/>
        <v>1</v>
      </c>
      <c r="AI213" s="1011" t="s">
        <v>327</v>
      </c>
      <c r="AJ213" s="1011" t="s">
        <v>326</v>
      </c>
      <c r="AK213" s="1011" t="s">
        <v>1792</v>
      </c>
      <c r="AL213" s="1011" t="s">
        <v>1793</v>
      </c>
    </row>
    <row r="214" spans="1:43" ht="15" x14ac:dyDescent="0.2">
      <c r="A214" s="1018" t="s">
        <v>329</v>
      </c>
      <c r="B214" s="1019" t="s">
        <v>328</v>
      </c>
      <c r="C214" s="1020">
        <v>0.4</v>
      </c>
      <c r="D214" s="597" t="s">
        <v>711</v>
      </c>
      <c r="E214" s="597" t="s">
        <v>712</v>
      </c>
      <c r="F214" s="1020">
        <v>0.09</v>
      </c>
      <c r="G214" s="597" t="s">
        <v>708</v>
      </c>
      <c r="H214" s="597" t="s">
        <v>709</v>
      </c>
      <c r="I214" s="1020">
        <v>0.01</v>
      </c>
      <c r="J214" s="1020">
        <f t="shared" si="9"/>
        <v>0.5</v>
      </c>
      <c r="K214" s="1020"/>
      <c r="L214" s="1020">
        <v>0.4</v>
      </c>
      <c r="M214" s="597" t="s">
        <v>711</v>
      </c>
      <c r="N214" s="597" t="s">
        <v>712</v>
      </c>
      <c r="O214" s="1020">
        <v>0.09</v>
      </c>
      <c r="P214" s="597" t="s">
        <v>708</v>
      </c>
      <c r="Q214" s="597" t="s">
        <v>709</v>
      </c>
      <c r="R214" s="1020">
        <v>0.01</v>
      </c>
      <c r="S214" s="1020">
        <f t="shared" si="10"/>
        <v>0.5</v>
      </c>
      <c r="T214" s="947" t="s">
        <v>1005</v>
      </c>
      <c r="U214" s="877" t="s">
        <v>981</v>
      </c>
      <c r="V214" s="877"/>
      <c r="W214" s="877"/>
      <c r="X214" s="1015"/>
      <c r="Y214" s="926">
        <v>1876823</v>
      </c>
      <c r="Z214" s="888"/>
      <c r="AA214" s="927"/>
      <c r="AB214" s="912"/>
      <c r="AC214" s="1011" t="s">
        <v>1206</v>
      </c>
      <c r="AD214" s="1011" t="s">
        <v>1206</v>
      </c>
      <c r="AE214" s="1011" t="s">
        <v>1206</v>
      </c>
      <c r="AF214" s="1011" t="s">
        <v>1206</v>
      </c>
      <c r="AH214" s="1011" t="b">
        <f t="shared" si="11"/>
        <v>1</v>
      </c>
      <c r="AI214" s="1011" t="s">
        <v>329</v>
      </c>
      <c r="AJ214" s="1011" t="s">
        <v>328</v>
      </c>
      <c r="AK214" s="1011" t="s">
        <v>1794</v>
      </c>
      <c r="AL214" s="1011" t="s">
        <v>1795</v>
      </c>
    </row>
    <row r="215" spans="1:43" ht="15.75" customHeight="1" x14ac:dyDescent="0.2">
      <c r="A215" s="1018" t="s">
        <v>333</v>
      </c>
      <c r="B215" s="1019" t="s">
        <v>332</v>
      </c>
      <c r="C215" s="1020">
        <v>0.4</v>
      </c>
      <c r="D215" s="597" t="s">
        <v>729</v>
      </c>
      <c r="E215" s="597" t="s">
        <v>730</v>
      </c>
      <c r="F215" s="1020">
        <v>0.09</v>
      </c>
      <c r="G215" s="597" t="s">
        <v>727</v>
      </c>
      <c r="H215" s="597" t="s">
        <v>728</v>
      </c>
      <c r="I215" s="1020">
        <v>0.01</v>
      </c>
      <c r="J215" s="1020">
        <f t="shared" si="9"/>
        <v>0.5</v>
      </c>
      <c r="K215" s="1020"/>
      <c r="L215" s="1020">
        <v>0.4</v>
      </c>
      <c r="M215" s="597" t="s">
        <v>729</v>
      </c>
      <c r="N215" s="597" t="s">
        <v>730</v>
      </c>
      <c r="O215" s="1020">
        <v>0.09</v>
      </c>
      <c r="P215" s="597" t="s">
        <v>727</v>
      </c>
      <c r="Q215" s="597" t="s">
        <v>728</v>
      </c>
      <c r="R215" s="1020">
        <v>0.01</v>
      </c>
      <c r="S215" s="1020">
        <f t="shared" si="10"/>
        <v>0.5</v>
      </c>
      <c r="T215" s="947"/>
      <c r="U215" s="877"/>
      <c r="V215" s="877"/>
      <c r="W215" s="877"/>
      <c r="X215" s="1015"/>
      <c r="Y215" s="924"/>
      <c r="Z215" s="883"/>
      <c r="AA215" s="925"/>
      <c r="AB215" s="912"/>
      <c r="AC215" s="1011" t="s">
        <v>1206</v>
      </c>
      <c r="AD215" s="1011" t="s">
        <v>1206</v>
      </c>
      <c r="AE215" s="1011" t="s">
        <v>1206</v>
      </c>
      <c r="AF215" s="1011" t="s">
        <v>1206</v>
      </c>
      <c r="AH215" s="1011" t="b">
        <f t="shared" si="11"/>
        <v>0</v>
      </c>
      <c r="AI215" s="1011" t="s">
        <v>331</v>
      </c>
      <c r="AJ215" s="1011" t="s">
        <v>330</v>
      </c>
      <c r="AK215" s="1011" t="s">
        <v>1796</v>
      </c>
      <c r="AL215" s="1011" t="s">
        <v>1797</v>
      </c>
      <c r="AO215" s="1011" t="s">
        <v>1798</v>
      </c>
      <c r="AP215" s="1011" t="s">
        <v>1799</v>
      </c>
      <c r="AQ215" s="1011" t="s">
        <v>1800</v>
      </c>
    </row>
    <row r="216" spans="1:43" ht="15.75" customHeight="1" x14ac:dyDescent="0.2">
      <c r="A216" s="1018" t="s">
        <v>331</v>
      </c>
      <c r="B216" s="1021" t="s">
        <v>785</v>
      </c>
      <c r="C216" s="1020">
        <v>0.3</v>
      </c>
      <c r="D216" s="597" t="s">
        <v>779</v>
      </c>
      <c r="E216" s="597" t="s">
        <v>780</v>
      </c>
      <c r="F216" s="1020">
        <v>0.37</v>
      </c>
      <c r="G216" s="597" t="s">
        <v>600</v>
      </c>
      <c r="H216" s="597" t="s">
        <v>600</v>
      </c>
      <c r="I216" s="1020">
        <v>0</v>
      </c>
      <c r="J216" s="1020">
        <f t="shared" si="9"/>
        <v>0.66999999999999993</v>
      </c>
      <c r="K216" s="1020"/>
      <c r="L216" s="1020">
        <v>0.3</v>
      </c>
      <c r="M216" s="597" t="s">
        <v>779</v>
      </c>
      <c r="N216" s="597" t="s">
        <v>780</v>
      </c>
      <c r="O216" s="1020">
        <v>0.2</v>
      </c>
      <c r="P216" s="597" t="s">
        <v>600</v>
      </c>
      <c r="Q216" s="597" t="s">
        <v>600</v>
      </c>
      <c r="R216" s="1020">
        <v>0</v>
      </c>
      <c r="S216" s="1020">
        <f t="shared" si="10"/>
        <v>0.5</v>
      </c>
      <c r="T216" s="947"/>
      <c r="U216" s="877"/>
      <c r="V216" s="877"/>
      <c r="W216" s="877"/>
      <c r="X216" s="937" t="s">
        <v>1005</v>
      </c>
      <c r="Y216" s="924"/>
      <c r="Z216" s="883"/>
      <c r="AA216" s="925"/>
      <c r="AB216" s="914" t="s">
        <v>1005</v>
      </c>
      <c r="AC216" s="1011" t="s">
        <v>1206</v>
      </c>
      <c r="AD216" s="1011" t="s">
        <v>1206</v>
      </c>
      <c r="AE216" s="1011" t="s">
        <v>1206</v>
      </c>
      <c r="AF216" s="1011" t="s">
        <v>1206</v>
      </c>
      <c r="AH216" s="1011" t="b">
        <f t="shared" si="11"/>
        <v>0</v>
      </c>
      <c r="AI216" s="1011" t="s">
        <v>333</v>
      </c>
      <c r="AJ216" s="1011" t="s">
        <v>332</v>
      </c>
      <c r="AK216" s="1011" t="s">
        <v>1801</v>
      </c>
      <c r="AL216" s="1011" t="s">
        <v>1802</v>
      </c>
    </row>
    <row r="217" spans="1:43" ht="15.75" customHeight="1" x14ac:dyDescent="0.2">
      <c r="A217" s="1018" t="s">
        <v>335</v>
      </c>
      <c r="B217" s="1019" t="s">
        <v>334</v>
      </c>
      <c r="C217" s="1020">
        <v>0.99</v>
      </c>
      <c r="D217" s="597" t="s">
        <v>600</v>
      </c>
      <c r="E217" s="597" t="s">
        <v>765</v>
      </c>
      <c r="F217" s="1020">
        <v>0</v>
      </c>
      <c r="G217" s="597" t="s">
        <v>766</v>
      </c>
      <c r="H217" s="597" t="s">
        <v>767</v>
      </c>
      <c r="I217" s="1020">
        <v>0.01</v>
      </c>
      <c r="J217" s="1020">
        <f t="shared" si="9"/>
        <v>1</v>
      </c>
      <c r="K217" s="1020"/>
      <c r="L217" s="1020">
        <v>0.49</v>
      </c>
      <c r="M217" s="597" t="s">
        <v>600</v>
      </c>
      <c r="N217" s="597" t="s">
        <v>765</v>
      </c>
      <c r="O217" s="1020">
        <v>0</v>
      </c>
      <c r="P217" s="597" t="s">
        <v>766</v>
      </c>
      <c r="Q217" s="597" t="s">
        <v>767</v>
      </c>
      <c r="R217" s="1020">
        <v>0.01</v>
      </c>
      <c r="S217" s="1020">
        <f t="shared" si="10"/>
        <v>0.5</v>
      </c>
      <c r="T217" s="947"/>
      <c r="U217" s="877"/>
      <c r="V217" s="877"/>
      <c r="W217" s="877"/>
      <c r="X217" s="937" t="s">
        <v>1005</v>
      </c>
      <c r="Y217" s="924"/>
      <c r="Z217" s="883"/>
      <c r="AA217" s="925"/>
      <c r="AB217" s="914" t="s">
        <v>1005</v>
      </c>
      <c r="AC217" s="1011" t="s">
        <v>1206</v>
      </c>
      <c r="AD217" s="1011" t="s">
        <v>1206</v>
      </c>
      <c r="AE217" s="1011" t="s">
        <v>1206</v>
      </c>
      <c r="AF217" s="1011" t="s">
        <v>1206</v>
      </c>
      <c r="AG217" s="1112"/>
      <c r="AH217" s="1011" t="b">
        <f t="shared" si="11"/>
        <v>1</v>
      </c>
      <c r="AI217" s="1011" t="s">
        <v>335</v>
      </c>
      <c r="AJ217" s="1011" t="s">
        <v>334</v>
      </c>
      <c r="AK217" s="1011" t="s">
        <v>1803</v>
      </c>
      <c r="AL217" s="1011" t="s">
        <v>1804</v>
      </c>
      <c r="AM217" s="1011" t="s">
        <v>1805</v>
      </c>
      <c r="AN217" s="1011" t="s">
        <v>1806</v>
      </c>
    </row>
    <row r="218" spans="1:43" ht="15.75" customHeight="1" x14ac:dyDescent="0.2">
      <c r="A218" s="1018" t="s">
        <v>337</v>
      </c>
      <c r="B218" s="1019" t="s">
        <v>336</v>
      </c>
      <c r="C218" s="1020">
        <v>0.4</v>
      </c>
      <c r="D218" s="597" t="s">
        <v>673</v>
      </c>
      <c r="E218" s="597" t="s">
        <v>674</v>
      </c>
      <c r="F218" s="1020">
        <v>0.09</v>
      </c>
      <c r="G218" s="597" t="s">
        <v>670</v>
      </c>
      <c r="H218" s="597" t="s">
        <v>671</v>
      </c>
      <c r="I218" s="1020">
        <v>0.01</v>
      </c>
      <c r="J218" s="1020">
        <f t="shared" si="9"/>
        <v>0.5</v>
      </c>
      <c r="K218" s="1020"/>
      <c r="L218" s="1020">
        <v>0.4</v>
      </c>
      <c r="M218" s="597" t="s">
        <v>673</v>
      </c>
      <c r="N218" s="597" t="s">
        <v>674</v>
      </c>
      <c r="O218" s="1020">
        <v>0.09</v>
      </c>
      <c r="P218" s="597" t="s">
        <v>670</v>
      </c>
      <c r="Q218" s="597" t="s">
        <v>671</v>
      </c>
      <c r="R218" s="1020">
        <v>0.01</v>
      </c>
      <c r="S218" s="1020">
        <f t="shared" si="10"/>
        <v>0.5</v>
      </c>
      <c r="T218" s="947"/>
      <c r="U218" s="877"/>
      <c r="V218" s="877"/>
      <c r="W218" s="877"/>
      <c r="X218" s="1015"/>
      <c r="Y218" s="924"/>
      <c r="Z218" s="883"/>
      <c r="AA218" s="925"/>
      <c r="AB218" s="912"/>
      <c r="AC218" s="1011" t="s">
        <v>1206</v>
      </c>
      <c r="AD218" s="1011" t="s">
        <v>1206</v>
      </c>
      <c r="AE218" s="1011" t="s">
        <v>1206</v>
      </c>
      <c r="AF218" s="1011" t="s">
        <v>1206</v>
      </c>
      <c r="AH218" s="1011" t="b">
        <f t="shared" si="11"/>
        <v>1</v>
      </c>
      <c r="AI218" s="1011" t="s">
        <v>337</v>
      </c>
      <c r="AJ218" s="1011" t="s">
        <v>336</v>
      </c>
      <c r="AK218" s="1011" t="s">
        <v>1807</v>
      </c>
      <c r="AL218" s="1011" t="s">
        <v>1808</v>
      </c>
    </row>
    <row r="219" spans="1:43" s="954" customFormat="1" ht="15.75" customHeight="1" x14ac:dyDescent="0.25">
      <c r="A219" s="1018" t="s">
        <v>339</v>
      </c>
      <c r="B219" s="1019" t="s">
        <v>338</v>
      </c>
      <c r="C219" s="1020">
        <v>0.4</v>
      </c>
      <c r="D219" s="597" t="s">
        <v>711</v>
      </c>
      <c r="E219" s="597" t="s">
        <v>712</v>
      </c>
      <c r="F219" s="1020">
        <v>0.09</v>
      </c>
      <c r="G219" s="597" t="s">
        <v>708</v>
      </c>
      <c r="H219" s="597" t="s">
        <v>709</v>
      </c>
      <c r="I219" s="1020">
        <v>0.01</v>
      </c>
      <c r="J219" s="1020">
        <f t="shared" si="9"/>
        <v>0.5</v>
      </c>
      <c r="K219" s="1020"/>
      <c r="L219" s="1020">
        <v>0.4</v>
      </c>
      <c r="M219" s="597" t="s">
        <v>711</v>
      </c>
      <c r="N219" s="597" t="s">
        <v>712</v>
      </c>
      <c r="O219" s="1020">
        <v>0.09</v>
      </c>
      <c r="P219" s="597" t="s">
        <v>708</v>
      </c>
      <c r="Q219" s="597" t="s">
        <v>709</v>
      </c>
      <c r="R219" s="1020">
        <v>0.01</v>
      </c>
      <c r="S219" s="1020">
        <f t="shared" si="10"/>
        <v>0.5</v>
      </c>
      <c r="T219" s="947"/>
      <c r="U219" s="877"/>
      <c r="V219" s="877"/>
      <c r="W219" s="877"/>
      <c r="X219" s="1015"/>
      <c r="Y219" s="965"/>
      <c r="Z219" s="966"/>
      <c r="AA219" s="967"/>
      <c r="AB219" s="912"/>
      <c r="AC219" s="1011" t="s">
        <v>1206</v>
      </c>
      <c r="AD219" s="1011" t="s">
        <v>1206</v>
      </c>
      <c r="AE219" s="1011" t="s">
        <v>1206</v>
      </c>
      <c r="AF219" s="1011" t="s">
        <v>1206</v>
      </c>
      <c r="AG219" s="1011"/>
      <c r="AH219" s="1011" t="b">
        <f t="shared" si="11"/>
        <v>1</v>
      </c>
      <c r="AI219" s="954" t="s">
        <v>339</v>
      </c>
      <c r="AJ219" s="954" t="s">
        <v>338</v>
      </c>
      <c r="AK219" s="954" t="s">
        <v>1809</v>
      </c>
      <c r="AL219" s="954" t="s">
        <v>1810</v>
      </c>
    </row>
    <row r="220" spans="1:43" ht="15.75" customHeight="1" x14ac:dyDescent="0.2">
      <c r="A220" s="1018" t="s">
        <v>341</v>
      </c>
      <c r="B220" s="1019" t="s">
        <v>340</v>
      </c>
      <c r="C220" s="1020">
        <v>0.4</v>
      </c>
      <c r="D220" s="597" t="s">
        <v>667</v>
      </c>
      <c r="E220" s="597" t="s">
        <v>668</v>
      </c>
      <c r="F220" s="1020">
        <v>0.09</v>
      </c>
      <c r="G220" s="597" t="s">
        <v>665</v>
      </c>
      <c r="H220" s="597" t="s">
        <v>666</v>
      </c>
      <c r="I220" s="1020">
        <v>0.01</v>
      </c>
      <c r="J220" s="1020">
        <f t="shared" si="9"/>
        <v>0.5</v>
      </c>
      <c r="K220" s="1020"/>
      <c r="L220" s="1020">
        <v>0.4</v>
      </c>
      <c r="M220" s="597" t="s">
        <v>667</v>
      </c>
      <c r="N220" s="597" t="s">
        <v>668</v>
      </c>
      <c r="O220" s="1020">
        <v>0.09</v>
      </c>
      <c r="P220" s="597" t="s">
        <v>665</v>
      </c>
      <c r="Q220" s="597" t="s">
        <v>666</v>
      </c>
      <c r="R220" s="1020">
        <v>0.01</v>
      </c>
      <c r="S220" s="1020">
        <f t="shared" si="10"/>
        <v>0.5</v>
      </c>
      <c r="T220" s="947"/>
      <c r="U220" s="877"/>
      <c r="V220" s="877"/>
      <c r="W220" s="877"/>
      <c r="X220" s="1015"/>
      <c r="Y220" s="924"/>
      <c r="Z220" s="883"/>
      <c r="AA220" s="925"/>
      <c r="AB220" s="912"/>
      <c r="AC220" s="1011" t="s">
        <v>1206</v>
      </c>
      <c r="AD220" s="1011" t="s">
        <v>1206</v>
      </c>
      <c r="AE220" s="1011" t="s">
        <v>1206</v>
      </c>
      <c r="AF220" s="1011" t="s">
        <v>1206</v>
      </c>
      <c r="AH220" s="1011" t="b">
        <f t="shared" si="11"/>
        <v>1</v>
      </c>
      <c r="AI220" s="1011" t="s">
        <v>341</v>
      </c>
      <c r="AJ220" s="1011" t="s">
        <v>340</v>
      </c>
      <c r="AK220" s="1011" t="s">
        <v>1811</v>
      </c>
      <c r="AL220" s="1011" t="s">
        <v>1812</v>
      </c>
    </row>
    <row r="221" spans="1:43" ht="15" x14ac:dyDescent="0.2">
      <c r="A221" s="1018" t="s">
        <v>343</v>
      </c>
      <c r="B221" s="1019" t="s">
        <v>342</v>
      </c>
      <c r="C221" s="1020">
        <v>0.49</v>
      </c>
      <c r="D221" s="597" t="s">
        <v>600</v>
      </c>
      <c r="E221" s="597" t="s">
        <v>765</v>
      </c>
      <c r="F221" s="1020">
        <v>0</v>
      </c>
      <c r="G221" s="597" t="s">
        <v>770</v>
      </c>
      <c r="H221" s="597" t="s">
        <v>771</v>
      </c>
      <c r="I221" s="1020">
        <v>0.01</v>
      </c>
      <c r="J221" s="1020">
        <f t="shared" si="9"/>
        <v>0.5</v>
      </c>
      <c r="K221" s="1020"/>
      <c r="L221" s="1020">
        <v>0.49</v>
      </c>
      <c r="M221" s="597" t="s">
        <v>600</v>
      </c>
      <c r="N221" s="597" t="s">
        <v>765</v>
      </c>
      <c r="O221" s="1020">
        <v>0</v>
      </c>
      <c r="P221" s="597" t="s">
        <v>770</v>
      </c>
      <c r="Q221" s="597" t="s">
        <v>771</v>
      </c>
      <c r="R221" s="1020">
        <v>0.01</v>
      </c>
      <c r="S221" s="1020">
        <f t="shared" si="10"/>
        <v>0.5</v>
      </c>
      <c r="T221" s="947" t="s">
        <v>1005</v>
      </c>
      <c r="U221" s="877" t="s">
        <v>976</v>
      </c>
      <c r="V221" s="877"/>
      <c r="W221" s="877"/>
      <c r="X221" s="937" t="s">
        <v>1005</v>
      </c>
      <c r="Y221" s="926">
        <v>339626</v>
      </c>
      <c r="Z221" s="888"/>
      <c r="AA221" s="927"/>
      <c r="AB221" s="914" t="s">
        <v>1005</v>
      </c>
      <c r="AC221" s="1011" t="s">
        <v>1206</v>
      </c>
      <c r="AD221" s="1011" t="s">
        <v>1206</v>
      </c>
      <c r="AE221" s="1011" t="s">
        <v>1206</v>
      </c>
      <c r="AF221" s="1011" t="s">
        <v>1206</v>
      </c>
      <c r="AH221" s="1011" t="b">
        <f t="shared" si="11"/>
        <v>1</v>
      </c>
      <c r="AI221" s="1011" t="s">
        <v>343</v>
      </c>
      <c r="AJ221" s="1011" t="s">
        <v>342</v>
      </c>
      <c r="AK221" s="1011" t="s">
        <v>1813</v>
      </c>
      <c r="AL221" s="1011" t="s">
        <v>1814</v>
      </c>
    </row>
    <row r="222" spans="1:43" ht="15.75" customHeight="1" x14ac:dyDescent="0.2">
      <c r="A222" s="1018" t="s">
        <v>345</v>
      </c>
      <c r="B222" s="1019" t="s">
        <v>344</v>
      </c>
      <c r="C222" s="1020">
        <v>0.4</v>
      </c>
      <c r="D222" s="597" t="s">
        <v>756</v>
      </c>
      <c r="E222" s="597" t="s">
        <v>757</v>
      </c>
      <c r="F222" s="1020">
        <v>0.1</v>
      </c>
      <c r="G222" s="597" t="s">
        <v>600</v>
      </c>
      <c r="H222" s="597" t="s">
        <v>639</v>
      </c>
      <c r="I222" s="1020">
        <v>0</v>
      </c>
      <c r="J222" s="1020">
        <f t="shared" si="9"/>
        <v>0.5</v>
      </c>
      <c r="K222" s="1020"/>
      <c r="L222" s="1020">
        <v>0.4</v>
      </c>
      <c r="M222" s="597" t="s">
        <v>756</v>
      </c>
      <c r="N222" s="597" t="s">
        <v>757</v>
      </c>
      <c r="O222" s="1020">
        <v>0.1</v>
      </c>
      <c r="P222" s="597" t="s">
        <v>600</v>
      </c>
      <c r="Q222" s="597" t="s">
        <v>639</v>
      </c>
      <c r="R222" s="1020">
        <v>0</v>
      </c>
      <c r="S222" s="1020">
        <f t="shared" si="10"/>
        <v>0.5</v>
      </c>
      <c r="T222" s="947"/>
      <c r="U222" s="877"/>
      <c r="V222" s="877"/>
      <c r="W222" s="877"/>
      <c r="X222" s="1015"/>
      <c r="Y222" s="924"/>
      <c r="Z222" s="883"/>
      <c r="AA222" s="925"/>
      <c r="AB222" s="912"/>
      <c r="AC222" s="1011" t="s">
        <v>1206</v>
      </c>
      <c r="AD222" s="1011" t="s">
        <v>1206</v>
      </c>
      <c r="AE222" s="1011" t="s">
        <v>1206</v>
      </c>
      <c r="AF222" s="1011" t="s">
        <v>1206</v>
      </c>
      <c r="AH222" s="1011" t="b">
        <f t="shared" si="11"/>
        <v>1</v>
      </c>
      <c r="AI222" s="1011" t="s">
        <v>345</v>
      </c>
      <c r="AJ222" s="1011" t="s">
        <v>344</v>
      </c>
      <c r="AK222" s="1011" t="s">
        <v>1815</v>
      </c>
      <c r="AL222" s="1011" t="s">
        <v>1816</v>
      </c>
    </row>
    <row r="223" spans="1:43" ht="15.75" customHeight="1" x14ac:dyDescent="0.2">
      <c r="A223" s="1018" t="s">
        <v>347</v>
      </c>
      <c r="B223" s="1019" t="s">
        <v>346</v>
      </c>
      <c r="C223" s="1020">
        <v>0.4</v>
      </c>
      <c r="D223" s="597" t="s">
        <v>753</v>
      </c>
      <c r="E223" s="597" t="s">
        <v>754</v>
      </c>
      <c r="F223" s="1020">
        <v>0.1</v>
      </c>
      <c r="G223" s="597" t="s">
        <v>600</v>
      </c>
      <c r="H223" s="597" t="s">
        <v>639</v>
      </c>
      <c r="I223" s="1020">
        <v>0</v>
      </c>
      <c r="J223" s="1020">
        <f t="shared" si="9"/>
        <v>0.5</v>
      </c>
      <c r="K223" s="1020"/>
      <c r="L223" s="1020">
        <v>0.4</v>
      </c>
      <c r="M223" s="597" t="s">
        <v>753</v>
      </c>
      <c r="N223" s="597" t="s">
        <v>754</v>
      </c>
      <c r="O223" s="1020">
        <v>0.1</v>
      </c>
      <c r="P223" s="597" t="s">
        <v>600</v>
      </c>
      <c r="Q223" s="597" t="s">
        <v>639</v>
      </c>
      <c r="R223" s="1020">
        <v>0</v>
      </c>
      <c r="S223" s="1020">
        <f t="shared" si="10"/>
        <v>0.5</v>
      </c>
      <c r="T223" s="1106" t="s">
        <v>1005</v>
      </c>
      <c r="U223" s="1110" t="s">
        <v>2254</v>
      </c>
      <c r="V223" s="877"/>
      <c r="W223" s="877"/>
      <c r="X223" s="1015"/>
      <c r="Y223" s="965"/>
      <c r="Z223" s="966"/>
      <c r="AA223" s="967"/>
      <c r="AB223" s="912"/>
      <c r="AC223" s="1011" t="s">
        <v>1005</v>
      </c>
      <c r="AD223" s="1011" t="s">
        <v>1206</v>
      </c>
      <c r="AE223" s="1011" t="s">
        <v>1206</v>
      </c>
      <c r="AF223" s="1011" t="s">
        <v>1206</v>
      </c>
      <c r="AH223" s="1011" t="b">
        <f t="shared" si="11"/>
        <v>1</v>
      </c>
      <c r="AI223" s="1011" t="s">
        <v>347</v>
      </c>
      <c r="AJ223" s="1011" t="s">
        <v>346</v>
      </c>
      <c r="AK223" s="1011" t="s">
        <v>1817</v>
      </c>
      <c r="AL223" s="1011" t="s">
        <v>1818</v>
      </c>
    </row>
    <row r="224" spans="1:43" ht="15.75" customHeight="1" x14ac:dyDescent="0.2">
      <c r="A224" s="1018" t="s">
        <v>349</v>
      </c>
      <c r="B224" s="1019" t="s">
        <v>348</v>
      </c>
      <c r="C224" s="1020">
        <v>0.4</v>
      </c>
      <c r="D224" s="597" t="s">
        <v>736</v>
      </c>
      <c r="E224" s="597" t="s">
        <v>737</v>
      </c>
      <c r="F224" s="1020">
        <v>0.09</v>
      </c>
      <c r="G224" s="597" t="s">
        <v>734</v>
      </c>
      <c r="H224" s="597" t="s">
        <v>735</v>
      </c>
      <c r="I224" s="1020">
        <v>0.01</v>
      </c>
      <c r="J224" s="1020">
        <f t="shared" si="9"/>
        <v>0.5</v>
      </c>
      <c r="K224" s="1020"/>
      <c r="L224" s="1020">
        <v>0.4</v>
      </c>
      <c r="M224" s="597" t="s">
        <v>736</v>
      </c>
      <c r="N224" s="597" t="s">
        <v>737</v>
      </c>
      <c r="O224" s="1020">
        <v>0.09</v>
      </c>
      <c r="P224" s="597" t="s">
        <v>734</v>
      </c>
      <c r="Q224" s="597" t="s">
        <v>735</v>
      </c>
      <c r="R224" s="1020">
        <v>0.01</v>
      </c>
      <c r="S224" s="1020">
        <f t="shared" si="10"/>
        <v>0.5</v>
      </c>
      <c r="T224" s="947"/>
      <c r="U224" s="877"/>
      <c r="V224" s="877"/>
      <c r="W224" s="877"/>
      <c r="X224" s="1015"/>
      <c r="Y224" s="924"/>
      <c r="Z224" s="883"/>
      <c r="AA224" s="925"/>
      <c r="AB224" s="912"/>
      <c r="AC224" s="1011" t="s">
        <v>1206</v>
      </c>
      <c r="AD224" s="1011" t="s">
        <v>1206</v>
      </c>
      <c r="AE224" s="1011" t="s">
        <v>1206</v>
      </c>
      <c r="AF224" s="1011" t="s">
        <v>1206</v>
      </c>
      <c r="AH224" s="1011" t="b">
        <f t="shared" si="11"/>
        <v>1</v>
      </c>
      <c r="AI224" s="1011" t="s">
        <v>349</v>
      </c>
      <c r="AJ224" s="1011" t="s">
        <v>348</v>
      </c>
      <c r="AK224" s="1011" t="s">
        <v>1819</v>
      </c>
      <c r="AL224" s="1011" t="s">
        <v>1820</v>
      </c>
      <c r="AM224" s="1011" t="s">
        <v>1821</v>
      </c>
      <c r="AN224" s="1011" t="s">
        <v>1822</v>
      </c>
    </row>
    <row r="225" spans="1:43" ht="15.75" customHeight="1" x14ac:dyDescent="0.2">
      <c r="A225" s="1018" t="s">
        <v>351</v>
      </c>
      <c r="B225" s="1019" t="s">
        <v>350</v>
      </c>
      <c r="C225" s="1020">
        <v>0.4</v>
      </c>
      <c r="D225" s="597" t="s">
        <v>685</v>
      </c>
      <c r="E225" s="597" t="s">
        <v>686</v>
      </c>
      <c r="F225" s="1020">
        <v>0.09</v>
      </c>
      <c r="G225" s="597" t="s">
        <v>682</v>
      </c>
      <c r="H225" s="597" t="s">
        <v>683</v>
      </c>
      <c r="I225" s="1020">
        <v>0.01</v>
      </c>
      <c r="J225" s="1020">
        <f t="shared" si="9"/>
        <v>0.5</v>
      </c>
      <c r="K225" s="1020"/>
      <c r="L225" s="1020">
        <v>0.4</v>
      </c>
      <c r="M225" s="597" t="s">
        <v>685</v>
      </c>
      <c r="N225" s="597" t="s">
        <v>686</v>
      </c>
      <c r="O225" s="1020">
        <v>0.09</v>
      </c>
      <c r="P225" s="597" t="s">
        <v>682</v>
      </c>
      <c r="Q225" s="597" t="s">
        <v>683</v>
      </c>
      <c r="R225" s="1020">
        <v>0.01</v>
      </c>
      <c r="S225" s="1020">
        <f t="shared" si="10"/>
        <v>0.5</v>
      </c>
      <c r="T225" s="947"/>
      <c r="U225" s="877"/>
      <c r="V225" s="877"/>
      <c r="W225" s="877"/>
      <c r="X225" s="1015"/>
      <c r="Y225" s="924"/>
      <c r="Z225" s="883"/>
      <c r="AA225" s="925"/>
      <c r="AB225" s="912"/>
      <c r="AC225" s="1011" t="s">
        <v>1206</v>
      </c>
      <c r="AD225" s="1011" t="s">
        <v>1206</v>
      </c>
      <c r="AE225" s="1011" t="s">
        <v>1206</v>
      </c>
      <c r="AF225" s="1011" t="s">
        <v>1206</v>
      </c>
      <c r="AH225" s="1011" t="b">
        <f t="shared" si="11"/>
        <v>1</v>
      </c>
      <c r="AI225" s="1011" t="s">
        <v>351</v>
      </c>
      <c r="AJ225" s="1011" t="s">
        <v>350</v>
      </c>
      <c r="AK225" s="1011" t="s">
        <v>1823</v>
      </c>
      <c r="AL225" s="1011" t="s">
        <v>1824</v>
      </c>
    </row>
    <row r="226" spans="1:43" ht="15.75" customHeight="1" x14ac:dyDescent="0.2">
      <c r="A226" s="1018" t="s">
        <v>353</v>
      </c>
      <c r="B226" s="1019" t="s">
        <v>716</v>
      </c>
      <c r="C226" s="1020">
        <v>0.49</v>
      </c>
      <c r="D226" s="597" t="s">
        <v>600</v>
      </c>
      <c r="E226" s="597" t="s">
        <v>601</v>
      </c>
      <c r="F226" s="1020">
        <v>0</v>
      </c>
      <c r="G226" s="597" t="s">
        <v>714</v>
      </c>
      <c r="H226" s="597" t="s">
        <v>715</v>
      </c>
      <c r="I226" s="1020">
        <v>0.01</v>
      </c>
      <c r="J226" s="1020">
        <f t="shared" si="9"/>
        <v>0.5</v>
      </c>
      <c r="K226" s="1020"/>
      <c r="L226" s="1020">
        <v>0.49</v>
      </c>
      <c r="M226" s="597" t="s">
        <v>600</v>
      </c>
      <c r="N226" s="597" t="s">
        <v>601</v>
      </c>
      <c r="O226" s="1020">
        <v>0</v>
      </c>
      <c r="P226" s="597" t="s">
        <v>714</v>
      </c>
      <c r="Q226" s="597" t="s">
        <v>715</v>
      </c>
      <c r="R226" s="1020">
        <v>0.01</v>
      </c>
      <c r="S226" s="1020">
        <f t="shared" si="10"/>
        <v>0.5</v>
      </c>
      <c r="T226" s="947"/>
      <c r="U226" s="877"/>
      <c r="V226" s="877"/>
      <c r="W226" s="877"/>
      <c r="X226" s="937" t="s">
        <v>1005</v>
      </c>
      <c r="Y226" s="924"/>
      <c r="Z226" s="883"/>
      <c r="AA226" s="925"/>
      <c r="AB226" s="914" t="s">
        <v>1005</v>
      </c>
      <c r="AC226" s="1011" t="s">
        <v>1206</v>
      </c>
      <c r="AD226" s="1011" t="s">
        <v>1206</v>
      </c>
      <c r="AE226" s="1011" t="s">
        <v>1206</v>
      </c>
      <c r="AF226" s="1011" t="s">
        <v>1206</v>
      </c>
      <c r="AH226" s="1011" t="b">
        <f t="shared" si="11"/>
        <v>1</v>
      </c>
      <c r="AI226" s="1011" t="s">
        <v>353</v>
      </c>
      <c r="AJ226" s="1011" t="s">
        <v>352</v>
      </c>
      <c r="AK226" s="1011" t="s">
        <v>1825</v>
      </c>
      <c r="AL226" s="1011" t="s">
        <v>1826</v>
      </c>
    </row>
    <row r="227" spans="1:43" ht="15.75" customHeight="1" x14ac:dyDescent="0.2">
      <c r="A227" s="1018" t="s">
        <v>355</v>
      </c>
      <c r="B227" s="1019" t="s">
        <v>354</v>
      </c>
      <c r="C227" s="1020">
        <v>0.4</v>
      </c>
      <c r="D227" s="597" t="s">
        <v>729</v>
      </c>
      <c r="E227" s="597" t="s">
        <v>730</v>
      </c>
      <c r="F227" s="1020">
        <v>0.09</v>
      </c>
      <c r="G227" s="597" t="s">
        <v>727</v>
      </c>
      <c r="H227" s="597" t="s">
        <v>728</v>
      </c>
      <c r="I227" s="1020">
        <v>0.01</v>
      </c>
      <c r="J227" s="1020">
        <f t="shared" si="9"/>
        <v>0.5</v>
      </c>
      <c r="K227" s="1020"/>
      <c r="L227" s="1020">
        <v>0.4</v>
      </c>
      <c r="M227" s="597" t="s">
        <v>729</v>
      </c>
      <c r="N227" s="597" t="s">
        <v>730</v>
      </c>
      <c r="O227" s="1020">
        <v>0.09</v>
      </c>
      <c r="P227" s="597" t="s">
        <v>727</v>
      </c>
      <c r="Q227" s="597" t="s">
        <v>728</v>
      </c>
      <c r="R227" s="1020">
        <v>0.01</v>
      </c>
      <c r="S227" s="1020">
        <f t="shared" si="10"/>
        <v>0.5</v>
      </c>
      <c r="T227" s="947"/>
      <c r="U227" s="877"/>
      <c r="V227" s="877"/>
      <c r="W227" s="877"/>
      <c r="X227" s="1015"/>
      <c r="Y227" s="924"/>
      <c r="Z227" s="883"/>
      <c r="AA227" s="925"/>
      <c r="AB227" s="912"/>
      <c r="AC227" s="1011" t="s">
        <v>1206</v>
      </c>
      <c r="AD227" s="1011" t="s">
        <v>1206</v>
      </c>
      <c r="AE227" s="1011" t="s">
        <v>1206</v>
      </c>
      <c r="AF227" s="1011" t="s">
        <v>1206</v>
      </c>
      <c r="AH227" s="1011" t="b">
        <f t="shared" si="11"/>
        <v>1</v>
      </c>
      <c r="AI227" s="1011" t="s">
        <v>355</v>
      </c>
      <c r="AJ227" s="1011" t="s">
        <v>354</v>
      </c>
      <c r="AK227" s="1011" t="s">
        <v>1827</v>
      </c>
      <c r="AL227" s="1011" t="s">
        <v>1828</v>
      </c>
    </row>
    <row r="228" spans="1:43" ht="15.75" customHeight="1" x14ac:dyDescent="0.2">
      <c r="A228" s="1018" t="s">
        <v>357</v>
      </c>
      <c r="B228" s="1019" t="s">
        <v>356</v>
      </c>
      <c r="C228" s="1020">
        <v>0.99</v>
      </c>
      <c r="D228" s="597" t="s">
        <v>600</v>
      </c>
      <c r="E228" s="597" t="s">
        <v>765</v>
      </c>
      <c r="F228" s="1020">
        <v>0</v>
      </c>
      <c r="G228" s="597" t="s">
        <v>766</v>
      </c>
      <c r="H228" s="597" t="s">
        <v>767</v>
      </c>
      <c r="I228" s="1020">
        <v>0.01</v>
      </c>
      <c r="J228" s="1020">
        <f t="shared" si="9"/>
        <v>1</v>
      </c>
      <c r="K228" s="1020"/>
      <c r="L228" s="1020">
        <v>0.49</v>
      </c>
      <c r="M228" s="597" t="s">
        <v>600</v>
      </c>
      <c r="N228" s="597" t="s">
        <v>765</v>
      </c>
      <c r="O228" s="1020">
        <v>0</v>
      </c>
      <c r="P228" s="597" t="s">
        <v>766</v>
      </c>
      <c r="Q228" s="597" t="s">
        <v>767</v>
      </c>
      <c r="R228" s="1020">
        <v>0.01</v>
      </c>
      <c r="S228" s="1020">
        <f t="shared" si="10"/>
        <v>0.5</v>
      </c>
      <c r="T228" s="947"/>
      <c r="U228" s="877"/>
      <c r="V228" s="877"/>
      <c r="W228" s="877"/>
      <c r="X228" s="937" t="s">
        <v>1005</v>
      </c>
      <c r="Y228" s="924"/>
      <c r="Z228" s="883"/>
      <c r="AA228" s="925"/>
      <c r="AB228" s="914" t="s">
        <v>1005</v>
      </c>
      <c r="AC228" s="1011" t="s">
        <v>1206</v>
      </c>
      <c r="AD228" s="1011" t="s">
        <v>1206</v>
      </c>
      <c r="AE228" s="1011" t="s">
        <v>1206</v>
      </c>
      <c r="AF228" s="1011" t="s">
        <v>1206</v>
      </c>
      <c r="AG228" s="1112"/>
      <c r="AH228" s="1011" t="b">
        <f t="shared" si="11"/>
        <v>1</v>
      </c>
      <c r="AI228" s="1011" t="s">
        <v>357</v>
      </c>
      <c r="AJ228" s="1011" t="s">
        <v>356</v>
      </c>
      <c r="AK228" s="1011" t="s">
        <v>1829</v>
      </c>
      <c r="AL228" s="1011" t="s">
        <v>1830</v>
      </c>
      <c r="AM228" s="1011" t="s">
        <v>1831</v>
      </c>
      <c r="AN228" s="1011" t="s">
        <v>1832</v>
      </c>
    </row>
    <row r="229" spans="1:43" ht="15.75" customHeight="1" x14ac:dyDescent="0.2">
      <c r="A229" s="1018" t="s">
        <v>359</v>
      </c>
      <c r="B229" s="1019" t="s">
        <v>358</v>
      </c>
      <c r="C229" s="1020">
        <v>0.99</v>
      </c>
      <c r="D229" s="597" t="s">
        <v>600</v>
      </c>
      <c r="E229" s="597" t="s">
        <v>765</v>
      </c>
      <c r="F229" s="1020">
        <v>0</v>
      </c>
      <c r="G229" s="597" t="s">
        <v>774</v>
      </c>
      <c r="H229" s="597" t="s">
        <v>775</v>
      </c>
      <c r="I229" s="1020">
        <v>0.01</v>
      </c>
      <c r="J229" s="1020">
        <f t="shared" si="9"/>
        <v>1</v>
      </c>
      <c r="K229" s="1020"/>
      <c r="L229" s="1020">
        <v>0.49</v>
      </c>
      <c r="M229" s="597" t="s">
        <v>600</v>
      </c>
      <c r="N229" s="597" t="s">
        <v>765</v>
      </c>
      <c r="O229" s="1020">
        <v>0</v>
      </c>
      <c r="P229" s="597" t="s">
        <v>774</v>
      </c>
      <c r="Q229" s="597" t="s">
        <v>775</v>
      </c>
      <c r="R229" s="1020">
        <v>0.01</v>
      </c>
      <c r="S229" s="1020">
        <f t="shared" si="10"/>
        <v>0.5</v>
      </c>
      <c r="T229" s="947"/>
      <c r="U229" s="877"/>
      <c r="V229" s="877"/>
      <c r="W229" s="877"/>
      <c r="X229" s="937" t="s">
        <v>1005</v>
      </c>
      <c r="Y229" s="924"/>
      <c r="Z229" s="883"/>
      <c r="AA229" s="925"/>
      <c r="AB229" s="914" t="s">
        <v>1005</v>
      </c>
      <c r="AC229" s="1011" t="s">
        <v>1206</v>
      </c>
      <c r="AD229" s="1011" t="s">
        <v>1206</v>
      </c>
      <c r="AE229" s="1011" t="s">
        <v>1206</v>
      </c>
      <c r="AF229" s="1011" t="s">
        <v>1206</v>
      </c>
      <c r="AH229" s="1011" t="b">
        <f t="shared" si="11"/>
        <v>1</v>
      </c>
      <c r="AI229" s="1011" t="s">
        <v>359</v>
      </c>
      <c r="AJ229" s="1011" t="s">
        <v>358</v>
      </c>
      <c r="AK229" s="1011" t="s">
        <v>1833</v>
      </c>
      <c r="AL229" s="1011" t="s">
        <v>1834</v>
      </c>
    </row>
    <row r="230" spans="1:43" ht="15.75" customHeight="1" x14ac:dyDescent="0.2">
      <c r="A230" s="1018" t="s">
        <v>361</v>
      </c>
      <c r="B230" s="1019" t="s">
        <v>360</v>
      </c>
      <c r="C230" s="1020">
        <v>0.4</v>
      </c>
      <c r="D230" s="597" t="s">
        <v>729</v>
      </c>
      <c r="E230" s="597" t="s">
        <v>730</v>
      </c>
      <c r="F230" s="1020">
        <v>0.09</v>
      </c>
      <c r="G230" s="597" t="s">
        <v>727</v>
      </c>
      <c r="H230" s="597" t="s">
        <v>728</v>
      </c>
      <c r="I230" s="1020">
        <v>0.01</v>
      </c>
      <c r="J230" s="1020">
        <f t="shared" si="9"/>
        <v>0.5</v>
      </c>
      <c r="K230" s="1020"/>
      <c r="L230" s="1020">
        <v>0.4</v>
      </c>
      <c r="M230" s="597" t="s">
        <v>729</v>
      </c>
      <c r="N230" s="597" t="s">
        <v>730</v>
      </c>
      <c r="O230" s="1020">
        <v>0.09</v>
      </c>
      <c r="P230" s="597" t="s">
        <v>727</v>
      </c>
      <c r="Q230" s="597" t="s">
        <v>728</v>
      </c>
      <c r="R230" s="1020">
        <v>0.01</v>
      </c>
      <c r="S230" s="1020">
        <f t="shared" si="10"/>
        <v>0.5</v>
      </c>
      <c r="T230" s="947"/>
      <c r="U230" s="877"/>
      <c r="V230" s="877"/>
      <c r="W230" s="877"/>
      <c r="X230" s="1015"/>
      <c r="Y230" s="924"/>
      <c r="Z230" s="883"/>
      <c r="AA230" s="925"/>
      <c r="AB230" s="912"/>
      <c r="AC230" s="1011" t="s">
        <v>1206</v>
      </c>
      <c r="AD230" s="1011" t="s">
        <v>1206</v>
      </c>
      <c r="AE230" s="1011" t="s">
        <v>1206</v>
      </c>
      <c r="AF230" s="1011" t="s">
        <v>1206</v>
      </c>
      <c r="AH230" s="1011" t="b">
        <f t="shared" si="11"/>
        <v>1</v>
      </c>
      <c r="AI230" s="1011" t="s">
        <v>361</v>
      </c>
      <c r="AJ230" s="1011" t="s">
        <v>360</v>
      </c>
      <c r="AK230" s="1011" t="s">
        <v>1835</v>
      </c>
      <c r="AL230" s="1011" t="s">
        <v>1836</v>
      </c>
    </row>
    <row r="231" spans="1:43" ht="15.75" customHeight="1" x14ac:dyDescent="0.2">
      <c r="A231" s="1018" t="s">
        <v>363</v>
      </c>
      <c r="B231" s="1019" t="s">
        <v>362</v>
      </c>
      <c r="C231" s="1020">
        <v>0.4</v>
      </c>
      <c r="D231" s="597" t="s">
        <v>744</v>
      </c>
      <c r="E231" s="597" t="s">
        <v>745</v>
      </c>
      <c r="F231" s="1020">
        <v>0.09</v>
      </c>
      <c r="G231" s="597" t="s">
        <v>649</v>
      </c>
      <c r="H231" s="597" t="s">
        <v>650</v>
      </c>
      <c r="I231" s="1020">
        <v>0.01</v>
      </c>
      <c r="J231" s="1020">
        <f t="shared" si="9"/>
        <v>0.5</v>
      </c>
      <c r="K231" s="1020"/>
      <c r="L231" s="1020">
        <v>0.4</v>
      </c>
      <c r="M231" s="597" t="s">
        <v>744</v>
      </c>
      <c r="N231" s="597" t="s">
        <v>745</v>
      </c>
      <c r="O231" s="1020">
        <v>0.09</v>
      </c>
      <c r="P231" s="597" t="s">
        <v>649</v>
      </c>
      <c r="Q231" s="597" t="s">
        <v>650</v>
      </c>
      <c r="R231" s="1020">
        <v>0.01</v>
      </c>
      <c r="S231" s="1020">
        <f t="shared" si="10"/>
        <v>0.5</v>
      </c>
      <c r="T231" s="1106" t="s">
        <v>1005</v>
      </c>
      <c r="U231" s="1109" t="s">
        <v>2256</v>
      </c>
      <c r="V231" s="877"/>
      <c r="W231" s="877"/>
      <c r="X231" s="1015"/>
      <c r="Y231" s="965"/>
      <c r="Z231" s="966"/>
      <c r="AA231" s="967"/>
      <c r="AB231" s="912"/>
      <c r="AC231" s="1011" t="s">
        <v>1005</v>
      </c>
      <c r="AD231" s="1011" t="s">
        <v>1206</v>
      </c>
      <c r="AE231" s="1011" t="s">
        <v>1206</v>
      </c>
      <c r="AF231" s="1011" t="s">
        <v>1206</v>
      </c>
      <c r="AH231" s="1011" t="b">
        <f t="shared" si="11"/>
        <v>1</v>
      </c>
      <c r="AI231" s="1011" t="s">
        <v>363</v>
      </c>
      <c r="AJ231" s="1011" t="s">
        <v>362</v>
      </c>
      <c r="AK231" s="1011" t="s">
        <v>1837</v>
      </c>
      <c r="AL231" s="1011" t="s">
        <v>1838</v>
      </c>
    </row>
    <row r="232" spans="1:43" ht="15.75" customHeight="1" x14ac:dyDescent="0.2">
      <c r="A232" s="1018" t="s">
        <v>365</v>
      </c>
      <c r="B232" s="1019" t="s">
        <v>364</v>
      </c>
      <c r="C232" s="1020">
        <v>0.99</v>
      </c>
      <c r="D232" s="597" t="s">
        <v>600</v>
      </c>
      <c r="E232" s="597" t="s">
        <v>765</v>
      </c>
      <c r="F232" s="1020">
        <v>0</v>
      </c>
      <c r="G232" s="597" t="s">
        <v>768</v>
      </c>
      <c r="H232" s="597" t="s">
        <v>769</v>
      </c>
      <c r="I232" s="1020">
        <v>0.01</v>
      </c>
      <c r="J232" s="1020">
        <f t="shared" si="9"/>
        <v>1</v>
      </c>
      <c r="K232" s="1020"/>
      <c r="L232" s="1020">
        <v>0.49</v>
      </c>
      <c r="M232" s="597" t="s">
        <v>600</v>
      </c>
      <c r="N232" s="597" t="s">
        <v>765</v>
      </c>
      <c r="O232" s="1020">
        <v>0</v>
      </c>
      <c r="P232" s="597" t="s">
        <v>768</v>
      </c>
      <c r="Q232" s="597" t="s">
        <v>769</v>
      </c>
      <c r="R232" s="1020">
        <v>0.01</v>
      </c>
      <c r="S232" s="1020">
        <f t="shared" si="10"/>
        <v>0.5</v>
      </c>
      <c r="T232" s="947"/>
      <c r="U232" s="877"/>
      <c r="V232" s="877"/>
      <c r="W232" s="877"/>
      <c r="X232" s="937" t="s">
        <v>1005</v>
      </c>
      <c r="Y232" s="924"/>
      <c r="Z232" s="883"/>
      <c r="AA232" s="925"/>
      <c r="AB232" s="914" t="s">
        <v>1005</v>
      </c>
      <c r="AC232" s="1011" t="s">
        <v>1206</v>
      </c>
      <c r="AD232" s="1011" t="s">
        <v>1206</v>
      </c>
      <c r="AE232" s="1011" t="s">
        <v>1206</v>
      </c>
      <c r="AF232" s="1011" t="s">
        <v>1206</v>
      </c>
      <c r="AH232" s="1011" t="b">
        <f t="shared" si="11"/>
        <v>1</v>
      </c>
      <c r="AI232" s="1011" t="s">
        <v>365</v>
      </c>
      <c r="AJ232" s="1011" t="s">
        <v>364</v>
      </c>
      <c r="AK232" s="1011" t="s">
        <v>1839</v>
      </c>
      <c r="AL232" s="1011" t="s">
        <v>1840</v>
      </c>
      <c r="AM232" s="1011" t="s">
        <v>1841</v>
      </c>
      <c r="AN232" s="1011" t="s">
        <v>1842</v>
      </c>
      <c r="AO232" s="1011" t="s">
        <v>1843</v>
      </c>
      <c r="AP232" s="1011" t="s">
        <v>1844</v>
      </c>
      <c r="AQ232" s="1011" t="s">
        <v>1845</v>
      </c>
    </row>
    <row r="233" spans="1:43" ht="15.75" customHeight="1" x14ac:dyDescent="0.2">
      <c r="A233" s="1018" t="s">
        <v>367</v>
      </c>
      <c r="B233" s="1019" t="s">
        <v>366</v>
      </c>
      <c r="C233" s="1020">
        <v>0.4</v>
      </c>
      <c r="D233" s="597" t="s">
        <v>729</v>
      </c>
      <c r="E233" s="597" t="s">
        <v>730</v>
      </c>
      <c r="F233" s="1020">
        <v>0.09</v>
      </c>
      <c r="G233" s="597" t="s">
        <v>727</v>
      </c>
      <c r="H233" s="597" t="s">
        <v>728</v>
      </c>
      <c r="I233" s="1020">
        <v>0.01</v>
      </c>
      <c r="J233" s="1020">
        <f t="shared" si="9"/>
        <v>0.5</v>
      </c>
      <c r="K233" s="1020"/>
      <c r="L233" s="1020">
        <v>0.4</v>
      </c>
      <c r="M233" s="597" t="s">
        <v>729</v>
      </c>
      <c r="N233" s="597" t="s">
        <v>730</v>
      </c>
      <c r="O233" s="1020">
        <v>0.09</v>
      </c>
      <c r="P233" s="597" t="s">
        <v>727</v>
      </c>
      <c r="Q233" s="597" t="s">
        <v>728</v>
      </c>
      <c r="R233" s="1020">
        <v>0.01</v>
      </c>
      <c r="S233" s="1020">
        <f t="shared" si="10"/>
        <v>0.5</v>
      </c>
      <c r="T233" s="947"/>
      <c r="U233" s="877"/>
      <c r="V233" s="877"/>
      <c r="W233" s="877"/>
      <c r="X233" s="1015"/>
      <c r="Y233" s="924"/>
      <c r="Z233" s="883"/>
      <c r="AA233" s="925"/>
      <c r="AB233" s="912"/>
      <c r="AC233" s="1011" t="s">
        <v>1206</v>
      </c>
      <c r="AD233" s="1011" t="s">
        <v>1206</v>
      </c>
      <c r="AE233" s="1011" t="s">
        <v>1206</v>
      </c>
      <c r="AF233" s="1011" t="s">
        <v>1206</v>
      </c>
      <c r="AH233" s="1011" t="b">
        <f t="shared" si="11"/>
        <v>1</v>
      </c>
      <c r="AI233" s="1011" t="s">
        <v>367</v>
      </c>
      <c r="AJ233" s="1011" t="s">
        <v>366</v>
      </c>
      <c r="AK233" s="1011" t="s">
        <v>1846</v>
      </c>
      <c r="AL233" s="1011" t="s">
        <v>1847</v>
      </c>
      <c r="AM233" s="1011" t="s">
        <v>1848</v>
      </c>
      <c r="AN233" s="1011" t="s">
        <v>1849</v>
      </c>
    </row>
    <row r="234" spans="1:43" ht="15.75" customHeight="1" x14ac:dyDescent="0.2">
      <c r="A234" s="1018" t="s">
        <v>369</v>
      </c>
      <c r="B234" s="1019" t="s">
        <v>368</v>
      </c>
      <c r="C234" s="1020">
        <v>0.4</v>
      </c>
      <c r="D234" s="597" t="s">
        <v>704</v>
      </c>
      <c r="E234" s="597" t="s">
        <v>705</v>
      </c>
      <c r="F234" s="1020">
        <v>0.09</v>
      </c>
      <c r="G234" s="597" t="s">
        <v>702</v>
      </c>
      <c r="H234" s="597" t="s">
        <v>703</v>
      </c>
      <c r="I234" s="1020">
        <v>0.01</v>
      </c>
      <c r="J234" s="1020">
        <f t="shared" si="9"/>
        <v>0.5</v>
      </c>
      <c r="K234" s="1020"/>
      <c r="L234" s="1020">
        <v>0.4</v>
      </c>
      <c r="M234" s="597" t="s">
        <v>704</v>
      </c>
      <c r="N234" s="597" t="s">
        <v>705</v>
      </c>
      <c r="O234" s="1020">
        <v>0.09</v>
      </c>
      <c r="P234" s="597" t="s">
        <v>702</v>
      </c>
      <c r="Q234" s="597" t="s">
        <v>703</v>
      </c>
      <c r="R234" s="1020">
        <v>0.01</v>
      </c>
      <c r="S234" s="1020">
        <f t="shared" si="10"/>
        <v>0.5</v>
      </c>
      <c r="T234" s="947"/>
      <c r="U234" s="877"/>
      <c r="V234" s="877"/>
      <c r="W234" s="877"/>
      <c r="X234" s="1015"/>
      <c r="Y234" s="924"/>
      <c r="Z234" s="883"/>
      <c r="AA234" s="925"/>
      <c r="AB234" s="912"/>
      <c r="AC234" s="1011" t="s">
        <v>1206</v>
      </c>
      <c r="AD234" s="1011" t="s">
        <v>1206</v>
      </c>
      <c r="AE234" s="1011" t="s">
        <v>1206</v>
      </c>
      <c r="AF234" s="1011" t="s">
        <v>1206</v>
      </c>
      <c r="AH234" s="1011" t="b">
        <f t="shared" si="11"/>
        <v>1</v>
      </c>
      <c r="AI234" s="1011" t="s">
        <v>369</v>
      </c>
      <c r="AJ234" s="1011" t="s">
        <v>368</v>
      </c>
      <c r="AK234" s="1011" t="s">
        <v>1850</v>
      </c>
      <c r="AL234" s="1011" t="s">
        <v>1431</v>
      </c>
    </row>
    <row r="235" spans="1:43" ht="15" x14ac:dyDescent="0.2">
      <c r="A235" s="1018" t="s">
        <v>371</v>
      </c>
      <c r="B235" s="1019" t="s">
        <v>370</v>
      </c>
      <c r="C235" s="1020">
        <v>0.49</v>
      </c>
      <c r="D235" s="597" t="s">
        <v>600</v>
      </c>
      <c r="E235" s="597" t="s">
        <v>765</v>
      </c>
      <c r="F235" s="1020">
        <v>0</v>
      </c>
      <c r="G235" s="597" t="s">
        <v>770</v>
      </c>
      <c r="H235" s="597" t="s">
        <v>771</v>
      </c>
      <c r="I235" s="1020">
        <v>0.01</v>
      </c>
      <c r="J235" s="1020">
        <f t="shared" si="9"/>
        <v>0.5</v>
      </c>
      <c r="K235" s="1020"/>
      <c r="L235" s="1020">
        <v>0.49</v>
      </c>
      <c r="M235" s="597" t="s">
        <v>600</v>
      </c>
      <c r="N235" s="597" t="s">
        <v>765</v>
      </c>
      <c r="O235" s="1020">
        <v>0</v>
      </c>
      <c r="P235" s="597" t="s">
        <v>770</v>
      </c>
      <c r="Q235" s="597" t="s">
        <v>771</v>
      </c>
      <c r="R235" s="1020">
        <v>0.01</v>
      </c>
      <c r="S235" s="1020">
        <f t="shared" si="10"/>
        <v>0.5</v>
      </c>
      <c r="T235" s="947" t="s">
        <v>1005</v>
      </c>
      <c r="U235" s="877" t="s">
        <v>976</v>
      </c>
      <c r="V235" s="877" t="s">
        <v>982</v>
      </c>
      <c r="W235" s="877"/>
      <c r="X235" s="937" t="s">
        <v>1005</v>
      </c>
      <c r="Y235" s="926">
        <v>1695300</v>
      </c>
      <c r="Z235" s="888">
        <v>1541754</v>
      </c>
      <c r="AA235" s="927"/>
      <c r="AB235" s="914" t="s">
        <v>1005</v>
      </c>
      <c r="AC235" s="1011" t="s">
        <v>1206</v>
      </c>
      <c r="AD235" s="1011" t="s">
        <v>1206</v>
      </c>
      <c r="AE235" s="1011" t="s">
        <v>1206</v>
      </c>
      <c r="AF235" s="1011" t="s">
        <v>1206</v>
      </c>
      <c r="AH235" s="1011" t="b">
        <f t="shared" si="11"/>
        <v>1</v>
      </c>
      <c r="AI235" s="1011" t="s">
        <v>371</v>
      </c>
      <c r="AJ235" s="1011" t="s">
        <v>370</v>
      </c>
      <c r="AK235" s="1011" t="s">
        <v>1851</v>
      </c>
      <c r="AL235" s="1011" t="s">
        <v>1852</v>
      </c>
      <c r="AM235" s="1011" t="s">
        <v>1853</v>
      </c>
      <c r="AN235" s="1011" t="s">
        <v>1854</v>
      </c>
    </row>
    <row r="236" spans="1:43" ht="15.75" customHeight="1" x14ac:dyDescent="0.2">
      <c r="A236" s="1018" t="s">
        <v>373</v>
      </c>
      <c r="B236" s="1019" t="s">
        <v>372</v>
      </c>
      <c r="C236" s="1020">
        <v>0.4</v>
      </c>
      <c r="D236" s="597" t="s">
        <v>704</v>
      </c>
      <c r="E236" s="597" t="s">
        <v>705</v>
      </c>
      <c r="F236" s="1020">
        <v>0.09</v>
      </c>
      <c r="G236" s="597" t="s">
        <v>702</v>
      </c>
      <c r="H236" s="597" t="s">
        <v>703</v>
      </c>
      <c r="I236" s="1020">
        <v>0.01</v>
      </c>
      <c r="J236" s="1020">
        <f t="shared" si="9"/>
        <v>0.5</v>
      </c>
      <c r="K236" s="1020"/>
      <c r="L236" s="1020">
        <v>0.4</v>
      </c>
      <c r="M236" s="597" t="s">
        <v>704</v>
      </c>
      <c r="N236" s="597" t="s">
        <v>705</v>
      </c>
      <c r="O236" s="1020">
        <v>0.09</v>
      </c>
      <c r="P236" s="597" t="s">
        <v>702</v>
      </c>
      <c r="Q236" s="597" t="s">
        <v>703</v>
      </c>
      <c r="R236" s="1020">
        <v>0.01</v>
      </c>
      <c r="S236" s="1020">
        <f t="shared" si="10"/>
        <v>0.5</v>
      </c>
      <c r="T236" s="947"/>
      <c r="U236" s="877"/>
      <c r="V236" s="877"/>
      <c r="W236" s="877"/>
      <c r="X236" s="1015"/>
      <c r="Y236" s="924"/>
      <c r="Z236" s="883"/>
      <c r="AA236" s="925"/>
      <c r="AB236" s="912"/>
      <c r="AC236" s="1011" t="s">
        <v>1206</v>
      </c>
      <c r="AD236" s="1011" t="s">
        <v>1206</v>
      </c>
      <c r="AE236" s="1011" t="s">
        <v>1206</v>
      </c>
      <c r="AF236" s="1011" t="s">
        <v>1206</v>
      </c>
      <c r="AH236" s="1011" t="b">
        <f t="shared" si="11"/>
        <v>1</v>
      </c>
      <c r="AI236" s="1011" t="s">
        <v>373</v>
      </c>
      <c r="AJ236" s="1011" t="s">
        <v>372</v>
      </c>
      <c r="AK236" s="1011" t="s">
        <v>1855</v>
      </c>
      <c r="AL236" s="1011" t="s">
        <v>1856</v>
      </c>
    </row>
    <row r="237" spans="1:43" ht="15.75" customHeight="1" x14ac:dyDescent="0.2">
      <c r="A237" s="1018" t="s">
        <v>375</v>
      </c>
      <c r="B237" s="1019" t="s">
        <v>374</v>
      </c>
      <c r="C237" s="1020">
        <v>0.49</v>
      </c>
      <c r="D237" s="597" t="s">
        <v>600</v>
      </c>
      <c r="E237" s="597" t="s">
        <v>601</v>
      </c>
      <c r="F237" s="1020">
        <v>0</v>
      </c>
      <c r="G237" s="597" t="s">
        <v>742</v>
      </c>
      <c r="H237" s="597" t="s">
        <v>743</v>
      </c>
      <c r="I237" s="1020">
        <v>0.01</v>
      </c>
      <c r="J237" s="1020">
        <f t="shared" si="9"/>
        <v>0.5</v>
      </c>
      <c r="K237" s="1020"/>
      <c r="L237" s="1020">
        <v>0.49</v>
      </c>
      <c r="M237" s="597" t="s">
        <v>600</v>
      </c>
      <c r="N237" s="597" t="s">
        <v>601</v>
      </c>
      <c r="O237" s="1020">
        <v>0</v>
      </c>
      <c r="P237" s="597" t="s">
        <v>742</v>
      </c>
      <c r="Q237" s="597" t="s">
        <v>743</v>
      </c>
      <c r="R237" s="1020">
        <v>0.01</v>
      </c>
      <c r="S237" s="1020">
        <f t="shared" si="10"/>
        <v>0.5</v>
      </c>
      <c r="T237" s="947"/>
      <c r="U237" s="877"/>
      <c r="V237" s="877"/>
      <c r="W237" s="877"/>
      <c r="X237" s="937" t="s">
        <v>1005</v>
      </c>
      <c r="Y237" s="924"/>
      <c r="Z237" s="883"/>
      <c r="AA237" s="925"/>
      <c r="AB237" s="914" t="s">
        <v>1005</v>
      </c>
      <c r="AC237" s="1011" t="s">
        <v>1206</v>
      </c>
      <c r="AD237" s="1011" t="s">
        <v>1206</v>
      </c>
      <c r="AE237" s="1011" t="s">
        <v>1206</v>
      </c>
      <c r="AF237" s="1011" t="s">
        <v>1206</v>
      </c>
      <c r="AH237" s="1011" t="b">
        <f t="shared" si="11"/>
        <v>1</v>
      </c>
      <c r="AI237" s="1011" t="s">
        <v>375</v>
      </c>
      <c r="AJ237" s="1011" t="s">
        <v>1857</v>
      </c>
      <c r="AK237" s="1011" t="s">
        <v>1858</v>
      </c>
      <c r="AL237" s="1011" t="s">
        <v>1859</v>
      </c>
      <c r="AM237" s="1011" t="s">
        <v>1860</v>
      </c>
      <c r="AN237" s="1011" t="s">
        <v>1861</v>
      </c>
    </row>
    <row r="238" spans="1:43" ht="15.75" customHeight="1" x14ac:dyDescent="0.2">
      <c r="A238" s="1018" t="s">
        <v>377</v>
      </c>
      <c r="B238" s="1019" t="s">
        <v>615</v>
      </c>
      <c r="C238" s="1020">
        <v>0.49</v>
      </c>
      <c r="D238" s="597" t="s">
        <v>600</v>
      </c>
      <c r="E238" s="597" t="s">
        <v>601</v>
      </c>
      <c r="F238" s="1020">
        <v>0</v>
      </c>
      <c r="G238" s="597" t="s">
        <v>611</v>
      </c>
      <c r="H238" s="597" t="s">
        <v>612</v>
      </c>
      <c r="I238" s="1020">
        <v>0.01</v>
      </c>
      <c r="J238" s="1020">
        <f t="shared" si="9"/>
        <v>0.5</v>
      </c>
      <c r="K238" s="1020"/>
      <c r="L238" s="1020">
        <v>0.49</v>
      </c>
      <c r="M238" s="597" t="s">
        <v>600</v>
      </c>
      <c r="N238" s="597" t="s">
        <v>601</v>
      </c>
      <c r="O238" s="1020">
        <v>0</v>
      </c>
      <c r="P238" s="597" t="s">
        <v>611</v>
      </c>
      <c r="Q238" s="597" t="s">
        <v>612</v>
      </c>
      <c r="R238" s="1020">
        <v>0.01</v>
      </c>
      <c r="S238" s="1020">
        <f t="shared" si="10"/>
        <v>0.5</v>
      </c>
      <c r="T238" s="947"/>
      <c r="U238" s="877"/>
      <c r="V238" s="877"/>
      <c r="W238" s="877"/>
      <c r="X238" s="937" t="s">
        <v>1005</v>
      </c>
      <c r="Y238" s="918"/>
      <c r="Z238" s="878"/>
      <c r="AA238" s="919"/>
      <c r="AB238" s="914" t="s">
        <v>1005</v>
      </c>
      <c r="AC238" s="1011" t="s">
        <v>1206</v>
      </c>
      <c r="AD238" s="1011" t="s">
        <v>1206</v>
      </c>
      <c r="AE238" s="1011" t="s">
        <v>1206</v>
      </c>
      <c r="AF238" s="1011" t="s">
        <v>1206</v>
      </c>
      <c r="AH238" s="1011" t="b">
        <f t="shared" si="11"/>
        <v>1</v>
      </c>
      <c r="AI238" s="1011" t="s">
        <v>377</v>
      </c>
      <c r="AJ238" s="1011" t="s">
        <v>376</v>
      </c>
      <c r="AK238" s="1011" t="s">
        <v>1862</v>
      </c>
      <c r="AL238" s="1011" t="s">
        <v>1863</v>
      </c>
      <c r="AM238" s="1011" t="s">
        <v>1864</v>
      </c>
      <c r="AN238" s="1011" t="s">
        <v>1865</v>
      </c>
      <c r="AO238" s="1011" t="s">
        <v>1866</v>
      </c>
      <c r="AQ238" s="1011" t="s">
        <v>1867</v>
      </c>
    </row>
    <row r="239" spans="1:43" ht="15.75" customHeight="1" x14ac:dyDescent="0.2">
      <c r="A239" s="1018" t="s">
        <v>379</v>
      </c>
      <c r="B239" s="1019" t="s">
        <v>378</v>
      </c>
      <c r="C239" s="1020">
        <v>0.99</v>
      </c>
      <c r="D239" s="597" t="s">
        <v>600</v>
      </c>
      <c r="E239" s="597" t="s">
        <v>765</v>
      </c>
      <c r="F239" s="1020">
        <v>0</v>
      </c>
      <c r="G239" s="597" t="s">
        <v>774</v>
      </c>
      <c r="H239" s="597" t="s">
        <v>775</v>
      </c>
      <c r="I239" s="1020">
        <v>0.01</v>
      </c>
      <c r="J239" s="1020">
        <f t="shared" si="9"/>
        <v>1</v>
      </c>
      <c r="K239" s="1020"/>
      <c r="L239" s="1020">
        <v>0.49</v>
      </c>
      <c r="M239" s="597" t="s">
        <v>600</v>
      </c>
      <c r="N239" s="597" t="s">
        <v>765</v>
      </c>
      <c r="O239" s="1020">
        <v>0</v>
      </c>
      <c r="P239" s="597" t="s">
        <v>774</v>
      </c>
      <c r="Q239" s="597" t="s">
        <v>775</v>
      </c>
      <c r="R239" s="1020">
        <v>0.01</v>
      </c>
      <c r="S239" s="1020">
        <f t="shared" si="10"/>
        <v>0.5</v>
      </c>
      <c r="T239" s="947"/>
      <c r="U239" s="877"/>
      <c r="V239" s="877"/>
      <c r="W239" s="877"/>
      <c r="X239" s="937" t="s">
        <v>1005</v>
      </c>
      <c r="Y239" s="924"/>
      <c r="Z239" s="883"/>
      <c r="AA239" s="925"/>
      <c r="AB239" s="914" t="s">
        <v>1005</v>
      </c>
      <c r="AC239" s="1011" t="s">
        <v>1206</v>
      </c>
      <c r="AD239" s="1011" t="s">
        <v>1206</v>
      </c>
      <c r="AE239" s="1011" t="s">
        <v>1206</v>
      </c>
      <c r="AF239" s="1011" t="s">
        <v>1206</v>
      </c>
      <c r="AH239" s="1011" t="b">
        <f t="shared" si="11"/>
        <v>1</v>
      </c>
      <c r="AI239" s="1011" t="s">
        <v>379</v>
      </c>
      <c r="AJ239" s="1011" t="s">
        <v>378</v>
      </c>
      <c r="AK239" s="1011" t="s">
        <v>1868</v>
      </c>
      <c r="AL239" s="1011" t="s">
        <v>1869</v>
      </c>
      <c r="AM239" s="1011" t="s">
        <v>1870</v>
      </c>
      <c r="AN239" s="1011" t="s">
        <v>1871</v>
      </c>
      <c r="AO239" s="1011" t="s">
        <v>1872</v>
      </c>
      <c r="AQ239" s="1011" t="s">
        <v>1873</v>
      </c>
    </row>
    <row r="240" spans="1:43" ht="15.75" customHeight="1" x14ac:dyDescent="0.2">
      <c r="A240" s="1018" t="s">
        <v>381</v>
      </c>
      <c r="B240" s="1019" t="s">
        <v>380</v>
      </c>
      <c r="C240" s="1020">
        <v>0.4</v>
      </c>
      <c r="D240" s="597" t="s">
        <v>621</v>
      </c>
      <c r="E240" s="597" t="s">
        <v>622</v>
      </c>
      <c r="F240" s="1020">
        <v>0.09</v>
      </c>
      <c r="G240" s="597" t="s">
        <v>619</v>
      </c>
      <c r="H240" s="597" t="s">
        <v>620</v>
      </c>
      <c r="I240" s="1020">
        <v>0.01</v>
      </c>
      <c r="J240" s="1020">
        <f t="shared" si="9"/>
        <v>0.5</v>
      </c>
      <c r="K240" s="1020"/>
      <c r="L240" s="1020">
        <v>0.4</v>
      </c>
      <c r="M240" s="597" t="s">
        <v>621</v>
      </c>
      <c r="N240" s="597" t="s">
        <v>622</v>
      </c>
      <c r="O240" s="1020">
        <v>0.09</v>
      </c>
      <c r="P240" s="597" t="s">
        <v>619</v>
      </c>
      <c r="Q240" s="597" t="s">
        <v>620</v>
      </c>
      <c r="R240" s="1020">
        <v>0.01</v>
      </c>
      <c r="S240" s="1020">
        <f t="shared" si="10"/>
        <v>0.5</v>
      </c>
      <c r="T240" s="947"/>
      <c r="U240" s="877"/>
      <c r="V240" s="877"/>
      <c r="W240" s="877"/>
      <c r="X240" s="1015"/>
      <c r="Y240" s="924"/>
      <c r="Z240" s="883"/>
      <c r="AA240" s="925"/>
      <c r="AB240" s="912"/>
      <c r="AC240" s="1011" t="s">
        <v>1206</v>
      </c>
      <c r="AD240" s="1011" t="s">
        <v>1206</v>
      </c>
      <c r="AE240" s="1011" t="s">
        <v>1206</v>
      </c>
      <c r="AF240" s="1011" t="s">
        <v>1206</v>
      </c>
      <c r="AH240" s="1011" t="b">
        <f t="shared" si="11"/>
        <v>1</v>
      </c>
      <c r="AI240" s="1011" t="s">
        <v>381</v>
      </c>
      <c r="AJ240" s="1011" t="s">
        <v>380</v>
      </c>
      <c r="AK240" s="1011" t="s">
        <v>1874</v>
      </c>
      <c r="AL240" s="1011" t="s">
        <v>1875</v>
      </c>
    </row>
    <row r="241" spans="1:43" ht="15" x14ac:dyDescent="0.2">
      <c r="A241" s="1018" t="s">
        <v>383</v>
      </c>
      <c r="B241" s="1019" t="s">
        <v>382</v>
      </c>
      <c r="C241" s="1020">
        <v>0.4</v>
      </c>
      <c r="D241" s="597" t="s">
        <v>626</v>
      </c>
      <c r="E241" s="597" t="s">
        <v>627</v>
      </c>
      <c r="F241" s="1020">
        <v>0.09</v>
      </c>
      <c r="G241" s="597" t="s">
        <v>624</v>
      </c>
      <c r="H241" s="597" t="s">
        <v>625</v>
      </c>
      <c r="I241" s="1020">
        <v>0.01</v>
      </c>
      <c r="J241" s="1020">
        <f t="shared" si="9"/>
        <v>0.5</v>
      </c>
      <c r="K241" s="1020"/>
      <c r="L241" s="1020">
        <v>0.4</v>
      </c>
      <c r="M241" s="597" t="s">
        <v>626</v>
      </c>
      <c r="N241" s="597" t="s">
        <v>627</v>
      </c>
      <c r="O241" s="1020">
        <v>0.09</v>
      </c>
      <c r="P241" s="597" t="s">
        <v>624</v>
      </c>
      <c r="Q241" s="597" t="s">
        <v>625</v>
      </c>
      <c r="R241" s="1020">
        <v>0.01</v>
      </c>
      <c r="S241" s="1020">
        <f t="shared" si="10"/>
        <v>0.5</v>
      </c>
      <c r="T241" s="947" t="s">
        <v>1005</v>
      </c>
      <c r="U241" s="886" t="s">
        <v>1188</v>
      </c>
      <c r="V241" s="877"/>
      <c r="W241" s="877"/>
      <c r="X241" s="1015"/>
      <c r="Y241" s="1057">
        <v>0</v>
      </c>
      <c r="Z241" s="964"/>
      <c r="AA241" s="1023"/>
      <c r="AB241" s="912"/>
      <c r="AC241" s="1011" t="s">
        <v>1206</v>
      </c>
      <c r="AD241" s="1011" t="s">
        <v>1206</v>
      </c>
      <c r="AE241" s="1011" t="s">
        <v>1206</v>
      </c>
      <c r="AF241" s="1011" t="s">
        <v>1005</v>
      </c>
      <c r="AG241" s="1112">
        <v>77681959.237101182</v>
      </c>
      <c r="AH241" s="1011" t="b">
        <f t="shared" si="11"/>
        <v>1</v>
      </c>
      <c r="AI241" s="1011" t="s">
        <v>383</v>
      </c>
      <c r="AJ241" s="1011" t="s">
        <v>382</v>
      </c>
      <c r="AK241" s="1011" t="s">
        <v>1876</v>
      </c>
      <c r="AL241" s="1011" t="s">
        <v>1877</v>
      </c>
      <c r="AM241" s="1011" t="s">
        <v>1878</v>
      </c>
      <c r="AN241" s="1011" t="s">
        <v>1879</v>
      </c>
      <c r="AO241" s="1011" t="s">
        <v>1880</v>
      </c>
      <c r="AQ241" s="1011" t="s">
        <v>1881</v>
      </c>
    </row>
    <row r="242" spans="1:43" ht="15.75" customHeight="1" x14ac:dyDescent="0.2">
      <c r="A242" s="1018" t="s">
        <v>385</v>
      </c>
      <c r="B242" s="1019" t="s">
        <v>384</v>
      </c>
      <c r="C242" s="1020">
        <v>0.4</v>
      </c>
      <c r="D242" s="597" t="s">
        <v>645</v>
      </c>
      <c r="E242" s="597" t="s">
        <v>646</v>
      </c>
      <c r="F242" s="1020">
        <v>0.09</v>
      </c>
      <c r="G242" s="597" t="s">
        <v>643</v>
      </c>
      <c r="H242" s="597" t="s">
        <v>644</v>
      </c>
      <c r="I242" s="1020">
        <v>0.01</v>
      </c>
      <c r="J242" s="1020">
        <f t="shared" si="9"/>
        <v>0.5</v>
      </c>
      <c r="K242" s="1020"/>
      <c r="L242" s="1020">
        <v>0.4</v>
      </c>
      <c r="M242" s="597" t="s">
        <v>645</v>
      </c>
      <c r="N242" s="597" t="s">
        <v>646</v>
      </c>
      <c r="O242" s="1020">
        <v>0.09</v>
      </c>
      <c r="P242" s="597" t="s">
        <v>643</v>
      </c>
      <c r="Q242" s="597" t="s">
        <v>644</v>
      </c>
      <c r="R242" s="1020">
        <v>0.01</v>
      </c>
      <c r="S242" s="1020">
        <f t="shared" si="10"/>
        <v>0.5</v>
      </c>
      <c r="T242" s="947"/>
      <c r="U242" s="877"/>
      <c r="V242" s="877"/>
      <c r="W242" s="877"/>
      <c r="X242" s="1015"/>
      <c r="Y242" s="924"/>
      <c r="Z242" s="883"/>
      <c r="AA242" s="925"/>
      <c r="AB242" s="912"/>
      <c r="AC242" s="1011" t="s">
        <v>1206</v>
      </c>
      <c r="AD242" s="1011" t="s">
        <v>1206</v>
      </c>
      <c r="AE242" s="1011" t="s">
        <v>1206</v>
      </c>
      <c r="AF242" s="1011" t="s">
        <v>1206</v>
      </c>
      <c r="AH242" s="1011" t="b">
        <f t="shared" si="11"/>
        <v>1</v>
      </c>
      <c r="AI242" s="1011" t="s">
        <v>385</v>
      </c>
      <c r="AJ242" s="1011" t="s">
        <v>384</v>
      </c>
      <c r="AK242" s="1011" t="s">
        <v>1882</v>
      </c>
      <c r="AL242" s="1011" t="s">
        <v>1883</v>
      </c>
      <c r="AM242" s="1011" t="s">
        <v>1884</v>
      </c>
      <c r="AN242" s="1011" t="s">
        <v>1885</v>
      </c>
    </row>
    <row r="243" spans="1:43" ht="15" x14ac:dyDescent="0.2">
      <c r="A243" s="1018" t="s">
        <v>387</v>
      </c>
      <c r="B243" s="1019" t="s">
        <v>605</v>
      </c>
      <c r="C243" s="1020">
        <v>0.94</v>
      </c>
      <c r="D243" s="597" t="s">
        <v>3091</v>
      </c>
      <c r="E243" s="597" t="s">
        <v>3092</v>
      </c>
      <c r="F243" s="1020">
        <v>0.05</v>
      </c>
      <c r="G243" s="597" t="s">
        <v>602</v>
      </c>
      <c r="H243" s="597" t="s">
        <v>603</v>
      </c>
      <c r="I243" s="1020">
        <v>0.01</v>
      </c>
      <c r="J243" s="1020">
        <f t="shared" si="9"/>
        <v>1</v>
      </c>
      <c r="K243" s="1020"/>
      <c r="L243" s="1020">
        <v>0.49</v>
      </c>
      <c r="M243" s="597" t="s">
        <v>600</v>
      </c>
      <c r="N243" s="597" t="s">
        <v>601</v>
      </c>
      <c r="O243" s="1020">
        <v>0</v>
      </c>
      <c r="P243" s="597" t="s">
        <v>602</v>
      </c>
      <c r="Q243" s="597" t="s">
        <v>603</v>
      </c>
      <c r="R243" s="1020">
        <v>0.01</v>
      </c>
      <c r="S243" s="1020">
        <f t="shared" si="10"/>
        <v>0.5</v>
      </c>
      <c r="T243" s="947" t="s">
        <v>1005</v>
      </c>
      <c r="U243" s="877" t="s">
        <v>973</v>
      </c>
      <c r="V243" s="877"/>
      <c r="W243" s="877"/>
      <c r="X243" s="937" t="s">
        <v>1005</v>
      </c>
      <c r="Y243" s="1055">
        <v>645975</v>
      </c>
      <c r="Z243" s="888"/>
      <c r="AA243" s="927"/>
      <c r="AB243" s="914" t="s">
        <v>1005</v>
      </c>
      <c r="AC243" s="1011" t="s">
        <v>1206</v>
      </c>
      <c r="AD243" s="1011" t="s">
        <v>1206</v>
      </c>
      <c r="AE243" s="1011" t="s">
        <v>1206</v>
      </c>
      <c r="AF243" s="1011" t="s">
        <v>1206</v>
      </c>
      <c r="AH243" s="1011" t="b">
        <f t="shared" si="11"/>
        <v>1</v>
      </c>
      <c r="AI243" s="1011" t="s">
        <v>387</v>
      </c>
      <c r="AJ243" s="1011" t="s">
        <v>386</v>
      </c>
      <c r="AK243" s="1011" t="s">
        <v>1886</v>
      </c>
      <c r="AL243" s="1011" t="s">
        <v>1887</v>
      </c>
    </row>
    <row r="244" spans="1:43" ht="15.75" customHeight="1" x14ac:dyDescent="0.2">
      <c r="A244" s="1018" t="s">
        <v>389</v>
      </c>
      <c r="B244" s="1019" t="s">
        <v>388</v>
      </c>
      <c r="C244" s="1020">
        <v>0.4</v>
      </c>
      <c r="D244" s="597" t="s">
        <v>652</v>
      </c>
      <c r="E244" s="597" t="s">
        <v>653</v>
      </c>
      <c r="F244" s="1020">
        <v>0.09</v>
      </c>
      <c r="G244" s="597" t="s">
        <v>649</v>
      </c>
      <c r="H244" s="597" t="s">
        <v>650</v>
      </c>
      <c r="I244" s="1020">
        <v>0.01</v>
      </c>
      <c r="J244" s="1020">
        <f t="shared" si="9"/>
        <v>0.5</v>
      </c>
      <c r="K244" s="1020"/>
      <c r="L244" s="1020">
        <v>0.4</v>
      </c>
      <c r="M244" s="597" t="s">
        <v>652</v>
      </c>
      <c r="N244" s="597" t="s">
        <v>653</v>
      </c>
      <c r="O244" s="1020">
        <v>0.09</v>
      </c>
      <c r="P244" s="597" t="s">
        <v>649</v>
      </c>
      <c r="Q244" s="597" t="s">
        <v>650</v>
      </c>
      <c r="R244" s="1020">
        <v>0.01</v>
      </c>
      <c r="S244" s="1020">
        <f t="shared" si="10"/>
        <v>0.5</v>
      </c>
      <c r="T244" s="947"/>
      <c r="U244" s="877"/>
      <c r="V244" s="877"/>
      <c r="W244" s="877"/>
      <c r="X244" s="1015"/>
      <c r="Y244" s="924"/>
      <c r="Z244" s="883"/>
      <c r="AA244" s="925"/>
      <c r="AB244" s="912"/>
      <c r="AC244" s="1011" t="s">
        <v>1206</v>
      </c>
      <c r="AD244" s="1011" t="s">
        <v>1206</v>
      </c>
      <c r="AE244" s="1011" t="s">
        <v>1206</v>
      </c>
      <c r="AF244" s="1011" t="s">
        <v>1206</v>
      </c>
      <c r="AH244" s="1011" t="b">
        <f t="shared" si="11"/>
        <v>1</v>
      </c>
      <c r="AI244" s="1011" t="s">
        <v>389</v>
      </c>
      <c r="AJ244" s="1011" t="s">
        <v>388</v>
      </c>
      <c r="AK244" s="1011" t="s">
        <v>1888</v>
      </c>
      <c r="AL244" s="1011" t="s">
        <v>1889</v>
      </c>
    </row>
    <row r="245" spans="1:43" ht="15.75" customHeight="1" x14ac:dyDescent="0.2">
      <c r="A245" s="1018" t="s">
        <v>391</v>
      </c>
      <c r="B245" s="1019" t="s">
        <v>390</v>
      </c>
      <c r="C245" s="1020">
        <v>0.4</v>
      </c>
      <c r="D245" s="597" t="s">
        <v>721</v>
      </c>
      <c r="E245" s="597" t="s">
        <v>722</v>
      </c>
      <c r="F245" s="1020">
        <v>0.1</v>
      </c>
      <c r="G245" s="597" t="s">
        <v>600</v>
      </c>
      <c r="H245" s="597" t="s">
        <v>639</v>
      </c>
      <c r="I245" s="1020">
        <v>0</v>
      </c>
      <c r="J245" s="1020">
        <f t="shared" si="9"/>
        <v>0.5</v>
      </c>
      <c r="K245" s="1020"/>
      <c r="L245" s="1020">
        <v>0.4</v>
      </c>
      <c r="M245" s="597" t="s">
        <v>721</v>
      </c>
      <c r="N245" s="597" t="s">
        <v>722</v>
      </c>
      <c r="O245" s="1020">
        <v>0.1</v>
      </c>
      <c r="P245" s="597" t="s">
        <v>600</v>
      </c>
      <c r="Q245" s="597" t="s">
        <v>639</v>
      </c>
      <c r="R245" s="1020">
        <v>0</v>
      </c>
      <c r="S245" s="1020">
        <f t="shared" si="10"/>
        <v>0.5</v>
      </c>
      <c r="T245" s="947"/>
      <c r="U245" s="877"/>
      <c r="V245" s="877"/>
      <c r="W245" s="877"/>
      <c r="X245" s="1015"/>
      <c r="Y245" s="924"/>
      <c r="Z245" s="883"/>
      <c r="AA245" s="925"/>
      <c r="AB245" s="912"/>
      <c r="AC245" s="1011" t="s">
        <v>1206</v>
      </c>
      <c r="AD245" s="1011" t="s">
        <v>1206</v>
      </c>
      <c r="AE245" s="1011" t="s">
        <v>1206</v>
      </c>
      <c r="AF245" s="1011" t="s">
        <v>1206</v>
      </c>
      <c r="AH245" s="1011" t="b">
        <f t="shared" si="11"/>
        <v>1</v>
      </c>
      <c r="AI245" s="1011" t="s">
        <v>391</v>
      </c>
      <c r="AJ245" s="1011" t="s">
        <v>390</v>
      </c>
      <c r="AK245" s="1011" t="s">
        <v>1890</v>
      </c>
      <c r="AL245" s="1011" t="s">
        <v>1891</v>
      </c>
      <c r="AM245" s="1011" t="s">
        <v>1474</v>
      </c>
      <c r="AN245" s="1011" t="s">
        <v>1475</v>
      </c>
    </row>
    <row r="246" spans="1:43" ht="15.75" customHeight="1" x14ac:dyDescent="0.2">
      <c r="A246" s="1018" t="s">
        <v>393</v>
      </c>
      <c r="B246" s="1019" t="s">
        <v>392</v>
      </c>
      <c r="C246" s="1020">
        <v>0.4</v>
      </c>
      <c r="D246" s="597" t="s">
        <v>721</v>
      </c>
      <c r="E246" s="597" t="s">
        <v>722</v>
      </c>
      <c r="F246" s="1020">
        <v>0.1</v>
      </c>
      <c r="G246" s="597" t="s">
        <v>600</v>
      </c>
      <c r="H246" s="597" t="s">
        <v>639</v>
      </c>
      <c r="I246" s="1020">
        <v>0</v>
      </c>
      <c r="J246" s="1020">
        <f t="shared" si="9"/>
        <v>0.5</v>
      </c>
      <c r="K246" s="1020"/>
      <c r="L246" s="1020">
        <v>0.4</v>
      </c>
      <c r="M246" s="597" t="s">
        <v>721</v>
      </c>
      <c r="N246" s="597" t="s">
        <v>722</v>
      </c>
      <c r="O246" s="1020">
        <v>0.1</v>
      </c>
      <c r="P246" s="597" t="s">
        <v>600</v>
      </c>
      <c r="Q246" s="597" t="s">
        <v>639</v>
      </c>
      <c r="R246" s="1020">
        <v>0</v>
      </c>
      <c r="S246" s="1020">
        <f t="shared" si="10"/>
        <v>0.5</v>
      </c>
      <c r="T246" s="947"/>
      <c r="U246" s="877"/>
      <c r="V246" s="877"/>
      <c r="W246" s="877"/>
      <c r="X246" s="1015"/>
      <c r="Y246" s="924"/>
      <c r="Z246" s="883"/>
      <c r="AA246" s="925"/>
      <c r="AB246" s="912"/>
      <c r="AC246" s="1011" t="s">
        <v>1206</v>
      </c>
      <c r="AD246" s="1011" t="s">
        <v>1206</v>
      </c>
      <c r="AE246" s="1011" t="s">
        <v>1206</v>
      </c>
      <c r="AF246" s="1011" t="s">
        <v>1206</v>
      </c>
      <c r="AH246" s="1011" t="b">
        <f t="shared" si="11"/>
        <v>1</v>
      </c>
      <c r="AI246" s="1011" t="s">
        <v>393</v>
      </c>
      <c r="AJ246" s="1011" t="s">
        <v>392</v>
      </c>
      <c r="AK246" s="1011" t="s">
        <v>1892</v>
      </c>
      <c r="AL246" s="1011" t="s">
        <v>1893</v>
      </c>
    </row>
    <row r="247" spans="1:43" ht="15.75" customHeight="1" x14ac:dyDescent="0.2">
      <c r="A247" s="1018" t="s">
        <v>395</v>
      </c>
      <c r="B247" s="1019" t="s">
        <v>394</v>
      </c>
      <c r="C247" s="1020">
        <v>0.4</v>
      </c>
      <c r="D247" s="597" t="s">
        <v>640</v>
      </c>
      <c r="E247" s="597" t="s">
        <v>641</v>
      </c>
      <c r="F247" s="1020">
        <v>0.1</v>
      </c>
      <c r="G247" s="597" t="s">
        <v>600</v>
      </c>
      <c r="H247" s="597" t="s">
        <v>639</v>
      </c>
      <c r="I247" s="1020">
        <v>0</v>
      </c>
      <c r="J247" s="1020">
        <f t="shared" si="9"/>
        <v>0.5</v>
      </c>
      <c r="K247" s="1020"/>
      <c r="L247" s="1020">
        <v>0.4</v>
      </c>
      <c r="M247" s="597" t="s">
        <v>640</v>
      </c>
      <c r="N247" s="597" t="s">
        <v>641</v>
      </c>
      <c r="O247" s="1020">
        <v>0.1</v>
      </c>
      <c r="P247" s="597" t="s">
        <v>600</v>
      </c>
      <c r="Q247" s="597" t="s">
        <v>639</v>
      </c>
      <c r="R247" s="1020">
        <v>0</v>
      </c>
      <c r="S247" s="1020">
        <f t="shared" si="10"/>
        <v>0.5</v>
      </c>
      <c r="T247" s="947"/>
      <c r="U247" s="877"/>
      <c r="V247" s="877"/>
      <c r="W247" s="877"/>
      <c r="X247" s="1015"/>
      <c r="Y247" s="924"/>
      <c r="Z247" s="883"/>
      <c r="AA247" s="925"/>
      <c r="AB247" s="912"/>
      <c r="AC247" s="1011" t="s">
        <v>1206</v>
      </c>
      <c r="AD247" s="1011" t="s">
        <v>1206</v>
      </c>
      <c r="AE247" s="1011" t="s">
        <v>1206</v>
      </c>
      <c r="AF247" s="1011" t="s">
        <v>1206</v>
      </c>
      <c r="AH247" s="1011" t="b">
        <f t="shared" si="11"/>
        <v>1</v>
      </c>
      <c r="AI247" s="1011" t="s">
        <v>395</v>
      </c>
      <c r="AJ247" s="1011" t="s">
        <v>394</v>
      </c>
      <c r="AK247" s="1011" t="s">
        <v>1894</v>
      </c>
      <c r="AL247" s="1011" t="s">
        <v>1895</v>
      </c>
    </row>
    <row r="248" spans="1:43" ht="15" x14ac:dyDescent="0.2">
      <c r="A248" s="1018" t="s">
        <v>397</v>
      </c>
      <c r="B248" s="1019" t="s">
        <v>396</v>
      </c>
      <c r="C248" s="1020">
        <v>0.4</v>
      </c>
      <c r="D248" s="597" t="s">
        <v>723</v>
      </c>
      <c r="E248" s="597" t="s">
        <v>724</v>
      </c>
      <c r="F248" s="1020">
        <v>0.1</v>
      </c>
      <c r="G248" s="597" t="s">
        <v>600</v>
      </c>
      <c r="H248" s="597" t="s">
        <v>639</v>
      </c>
      <c r="I248" s="1020">
        <v>0</v>
      </c>
      <c r="J248" s="1020">
        <f t="shared" si="9"/>
        <v>0.5</v>
      </c>
      <c r="K248" s="1020"/>
      <c r="L248" s="1020">
        <v>0.4</v>
      </c>
      <c r="M248" s="597" t="s">
        <v>723</v>
      </c>
      <c r="N248" s="597" t="s">
        <v>724</v>
      </c>
      <c r="O248" s="1020">
        <v>0.1</v>
      </c>
      <c r="P248" s="597" t="s">
        <v>600</v>
      </c>
      <c r="Q248" s="597" t="s">
        <v>639</v>
      </c>
      <c r="R248" s="1020">
        <v>0</v>
      </c>
      <c r="S248" s="1020">
        <f t="shared" si="10"/>
        <v>0.5</v>
      </c>
      <c r="T248" s="947" t="s">
        <v>1005</v>
      </c>
      <c r="U248" s="877" t="s">
        <v>1162</v>
      </c>
      <c r="V248" s="877"/>
      <c r="W248" s="877"/>
      <c r="X248" s="1015"/>
      <c r="Y248" s="931">
        <v>195392</v>
      </c>
      <c r="Z248" s="895"/>
      <c r="AA248" s="932"/>
      <c r="AB248" s="912"/>
      <c r="AC248" s="1011" t="s">
        <v>1206</v>
      </c>
      <c r="AD248" s="1011" t="s">
        <v>1206</v>
      </c>
      <c r="AE248" s="1011" t="s">
        <v>1206</v>
      </c>
      <c r="AF248" s="1011" t="s">
        <v>1206</v>
      </c>
      <c r="AH248" s="1011" t="b">
        <f t="shared" si="11"/>
        <v>1</v>
      </c>
      <c r="AI248" s="1011" t="s">
        <v>397</v>
      </c>
      <c r="AJ248" s="1011" t="s">
        <v>396</v>
      </c>
      <c r="AK248" s="1011" t="s">
        <v>1896</v>
      </c>
      <c r="AL248" s="1011" t="s">
        <v>1897</v>
      </c>
    </row>
    <row r="249" spans="1:43" ht="15.75" customHeight="1" x14ac:dyDescent="0.2">
      <c r="A249" s="1018" t="s">
        <v>399</v>
      </c>
      <c r="B249" s="1019" t="s">
        <v>398</v>
      </c>
      <c r="C249" s="1020">
        <v>0.4</v>
      </c>
      <c r="D249" s="597" t="s">
        <v>731</v>
      </c>
      <c r="E249" s="597" t="s">
        <v>732</v>
      </c>
      <c r="F249" s="1020">
        <v>0.1</v>
      </c>
      <c r="G249" s="597" t="s">
        <v>600</v>
      </c>
      <c r="H249" s="597" t="s">
        <v>639</v>
      </c>
      <c r="I249" s="1020">
        <v>0</v>
      </c>
      <c r="J249" s="1020">
        <f t="shared" si="9"/>
        <v>0.5</v>
      </c>
      <c r="K249" s="1020"/>
      <c r="L249" s="1020">
        <v>0.4</v>
      </c>
      <c r="M249" s="597" t="s">
        <v>731</v>
      </c>
      <c r="N249" s="597" t="s">
        <v>732</v>
      </c>
      <c r="O249" s="1020">
        <v>0.1</v>
      </c>
      <c r="P249" s="597" t="s">
        <v>600</v>
      </c>
      <c r="Q249" s="597" t="s">
        <v>639</v>
      </c>
      <c r="R249" s="1020">
        <v>0</v>
      </c>
      <c r="S249" s="1020">
        <f t="shared" si="10"/>
        <v>0.5</v>
      </c>
      <c r="T249" s="949"/>
      <c r="U249" s="885"/>
      <c r="V249" s="885"/>
      <c r="W249" s="885"/>
      <c r="X249" s="1015"/>
      <c r="Y249" s="924"/>
      <c r="Z249" s="883"/>
      <c r="AA249" s="925"/>
      <c r="AB249" s="912"/>
      <c r="AC249" s="1011" t="s">
        <v>1206</v>
      </c>
      <c r="AD249" s="1011" t="s">
        <v>1206</v>
      </c>
      <c r="AE249" s="1011" t="s">
        <v>1206</v>
      </c>
      <c r="AF249" s="1011" t="s">
        <v>1206</v>
      </c>
      <c r="AH249" s="1011" t="b">
        <f t="shared" si="11"/>
        <v>1</v>
      </c>
      <c r="AI249" s="1011" t="s">
        <v>399</v>
      </c>
      <c r="AJ249" s="1011" t="s">
        <v>398</v>
      </c>
      <c r="AK249" s="1011" t="s">
        <v>1898</v>
      </c>
      <c r="AL249" s="1011" t="s">
        <v>1899</v>
      </c>
    </row>
    <row r="250" spans="1:43" ht="15" x14ac:dyDescent="0.2">
      <c r="A250" s="1018" t="s">
        <v>401</v>
      </c>
      <c r="B250" s="1019" t="s">
        <v>400</v>
      </c>
      <c r="C250" s="1020">
        <v>0.4</v>
      </c>
      <c r="D250" s="597" t="s">
        <v>739</v>
      </c>
      <c r="E250" s="597" t="s">
        <v>740</v>
      </c>
      <c r="F250" s="1020">
        <v>0.1</v>
      </c>
      <c r="G250" s="597" t="s">
        <v>600</v>
      </c>
      <c r="H250" s="597" t="s">
        <v>639</v>
      </c>
      <c r="I250" s="1020">
        <v>0</v>
      </c>
      <c r="J250" s="1020">
        <f t="shared" si="9"/>
        <v>0.5</v>
      </c>
      <c r="K250" s="1020"/>
      <c r="L250" s="1020">
        <v>0.4</v>
      </c>
      <c r="M250" s="597" t="s">
        <v>739</v>
      </c>
      <c r="N250" s="597" t="s">
        <v>740</v>
      </c>
      <c r="O250" s="1020">
        <v>0.1</v>
      </c>
      <c r="P250" s="597" t="s">
        <v>600</v>
      </c>
      <c r="Q250" s="597" t="s">
        <v>639</v>
      </c>
      <c r="R250" s="1020">
        <v>0</v>
      </c>
      <c r="S250" s="1020">
        <f t="shared" si="10"/>
        <v>0.5</v>
      </c>
      <c r="T250" s="947" t="s">
        <v>1005</v>
      </c>
      <c r="U250" s="877" t="s">
        <v>1209</v>
      </c>
      <c r="V250" s="877"/>
      <c r="W250" s="877"/>
      <c r="X250" s="1015"/>
      <c r="Y250" s="931">
        <v>187027</v>
      </c>
      <c r="Z250" s="895"/>
      <c r="AA250" s="932"/>
      <c r="AB250" s="912"/>
      <c r="AC250" s="1011" t="s">
        <v>1206</v>
      </c>
      <c r="AD250" s="1011" t="s">
        <v>1206</v>
      </c>
      <c r="AE250" s="1011" t="s">
        <v>1206</v>
      </c>
      <c r="AF250" s="1011" t="s">
        <v>1206</v>
      </c>
      <c r="AH250" s="1011" t="b">
        <f t="shared" si="11"/>
        <v>1</v>
      </c>
      <c r="AI250" s="1011" t="s">
        <v>401</v>
      </c>
      <c r="AJ250" s="1011" t="s">
        <v>400</v>
      </c>
      <c r="AK250" s="1011" t="s">
        <v>1900</v>
      </c>
      <c r="AL250" s="1011" t="s">
        <v>1901</v>
      </c>
    </row>
    <row r="251" spans="1:43" ht="15.75" customHeight="1" x14ac:dyDescent="0.2">
      <c r="A251" s="1018" t="s">
        <v>403</v>
      </c>
      <c r="B251" s="1019" t="s">
        <v>402</v>
      </c>
      <c r="C251" s="1020">
        <v>0.4</v>
      </c>
      <c r="D251" s="597" t="s">
        <v>711</v>
      </c>
      <c r="E251" s="597" t="s">
        <v>712</v>
      </c>
      <c r="F251" s="1020">
        <v>0.09</v>
      </c>
      <c r="G251" s="597" t="s">
        <v>708</v>
      </c>
      <c r="H251" s="597" t="s">
        <v>709</v>
      </c>
      <c r="I251" s="1020">
        <v>0.01</v>
      </c>
      <c r="J251" s="1020">
        <f t="shared" si="9"/>
        <v>0.5</v>
      </c>
      <c r="K251" s="1020"/>
      <c r="L251" s="1020">
        <v>0.4</v>
      </c>
      <c r="M251" s="597" t="s">
        <v>711</v>
      </c>
      <c r="N251" s="597" t="s">
        <v>712</v>
      </c>
      <c r="O251" s="1020">
        <v>0.09</v>
      </c>
      <c r="P251" s="597" t="s">
        <v>708</v>
      </c>
      <c r="Q251" s="597" t="s">
        <v>709</v>
      </c>
      <c r="R251" s="1020">
        <v>0.01</v>
      </c>
      <c r="S251" s="1020">
        <f t="shared" si="10"/>
        <v>0.5</v>
      </c>
      <c r="T251" s="947" t="s">
        <v>1005</v>
      </c>
      <c r="U251" s="877" t="s">
        <v>981</v>
      </c>
      <c r="V251" s="877"/>
      <c r="W251" s="877"/>
      <c r="X251" s="1015"/>
      <c r="Y251" s="924"/>
      <c r="Z251" s="883"/>
      <c r="AA251" s="925"/>
      <c r="AB251" s="912"/>
      <c r="AC251" s="1011" t="s">
        <v>1206</v>
      </c>
      <c r="AD251" s="1011" t="s">
        <v>1206</v>
      </c>
      <c r="AE251" s="1011" t="s">
        <v>1206</v>
      </c>
      <c r="AF251" s="1011" t="s">
        <v>1206</v>
      </c>
      <c r="AH251" s="1011" t="b">
        <f t="shared" si="11"/>
        <v>1</v>
      </c>
      <c r="AI251" s="1011" t="s">
        <v>403</v>
      </c>
      <c r="AJ251" s="1011" t="s">
        <v>402</v>
      </c>
      <c r="AK251" s="1011" t="s">
        <v>1902</v>
      </c>
      <c r="AL251" s="1011" t="s">
        <v>1331</v>
      </c>
    </row>
    <row r="252" spans="1:43" ht="15.75" customHeight="1" x14ac:dyDescent="0.2">
      <c r="A252" s="1018" t="s">
        <v>405</v>
      </c>
      <c r="B252" s="1019" t="s">
        <v>404</v>
      </c>
      <c r="C252" s="1020">
        <v>0.4</v>
      </c>
      <c r="D252" s="597" t="s">
        <v>744</v>
      </c>
      <c r="E252" s="597" t="s">
        <v>745</v>
      </c>
      <c r="F252" s="1020">
        <v>0.09</v>
      </c>
      <c r="G252" s="597" t="s">
        <v>649</v>
      </c>
      <c r="H252" s="597" t="s">
        <v>650</v>
      </c>
      <c r="I252" s="1020">
        <v>0.01</v>
      </c>
      <c r="J252" s="1020">
        <f t="shared" si="9"/>
        <v>0.5</v>
      </c>
      <c r="K252" s="1020"/>
      <c r="L252" s="1020">
        <v>0.4</v>
      </c>
      <c r="M252" s="597" t="s">
        <v>744</v>
      </c>
      <c r="N252" s="597" t="s">
        <v>745</v>
      </c>
      <c r="O252" s="1020">
        <v>0.09</v>
      </c>
      <c r="P252" s="597" t="s">
        <v>649</v>
      </c>
      <c r="Q252" s="597" t="s">
        <v>650</v>
      </c>
      <c r="R252" s="1020">
        <v>0.01</v>
      </c>
      <c r="S252" s="1020">
        <f t="shared" si="10"/>
        <v>0.5</v>
      </c>
      <c r="T252" s="947"/>
      <c r="U252" s="877"/>
      <c r="V252" s="877"/>
      <c r="W252" s="877"/>
      <c r="X252" s="1015"/>
      <c r="Y252" s="924"/>
      <c r="Z252" s="883"/>
      <c r="AA252" s="925"/>
      <c r="AB252" s="912"/>
      <c r="AC252" s="1011" t="s">
        <v>1206</v>
      </c>
      <c r="AD252" s="1011" t="s">
        <v>1206</v>
      </c>
      <c r="AE252" s="1011" t="s">
        <v>1206</v>
      </c>
      <c r="AF252" s="1011" t="s">
        <v>1206</v>
      </c>
      <c r="AH252" s="1011" t="b">
        <f t="shared" si="11"/>
        <v>1</v>
      </c>
      <c r="AI252" s="1011" t="s">
        <v>405</v>
      </c>
      <c r="AJ252" s="1011" t="s">
        <v>404</v>
      </c>
      <c r="AK252" s="1011" t="s">
        <v>1903</v>
      </c>
      <c r="AL252" s="1011" t="s">
        <v>1904</v>
      </c>
      <c r="AM252" s="1011" t="s">
        <v>1905</v>
      </c>
      <c r="AN252" s="1011" t="s">
        <v>1906</v>
      </c>
      <c r="AQ252" s="1011" t="s">
        <v>1907</v>
      </c>
    </row>
    <row r="253" spans="1:43" ht="15" x14ac:dyDescent="0.2">
      <c r="A253" s="1018" t="s">
        <v>407</v>
      </c>
      <c r="B253" s="1019" t="s">
        <v>406</v>
      </c>
      <c r="C253" s="1020">
        <v>0.4</v>
      </c>
      <c r="D253" s="597" t="s">
        <v>749</v>
      </c>
      <c r="E253" s="597" t="s">
        <v>750</v>
      </c>
      <c r="F253" s="1020">
        <v>0.09</v>
      </c>
      <c r="G253" s="597" t="s">
        <v>747</v>
      </c>
      <c r="H253" s="597" t="s">
        <v>748</v>
      </c>
      <c r="I253" s="1020">
        <v>0.01</v>
      </c>
      <c r="J253" s="1020">
        <f t="shared" si="9"/>
        <v>0.5</v>
      </c>
      <c r="K253" s="1020"/>
      <c r="L253" s="1020">
        <v>0.4</v>
      </c>
      <c r="M253" s="597" t="s">
        <v>749</v>
      </c>
      <c r="N253" s="597" t="s">
        <v>750</v>
      </c>
      <c r="O253" s="1020">
        <v>0.09</v>
      </c>
      <c r="P253" s="597" t="s">
        <v>747</v>
      </c>
      <c r="Q253" s="597" t="s">
        <v>748</v>
      </c>
      <c r="R253" s="1020">
        <v>0.01</v>
      </c>
      <c r="S253" s="1020">
        <f t="shared" si="10"/>
        <v>0.5</v>
      </c>
      <c r="T253" s="947" t="s">
        <v>1005</v>
      </c>
      <c r="U253" s="877" t="s">
        <v>1000</v>
      </c>
      <c r="V253" s="877"/>
      <c r="W253" s="877"/>
      <c r="X253" s="1015"/>
      <c r="Y253" s="926">
        <v>0</v>
      </c>
      <c r="Z253" s="888"/>
      <c r="AA253" s="927"/>
      <c r="AB253" s="912"/>
      <c r="AC253" s="1011" t="s">
        <v>1206</v>
      </c>
      <c r="AD253" s="1011" t="s">
        <v>1206</v>
      </c>
      <c r="AE253" s="1011" t="s">
        <v>1206</v>
      </c>
      <c r="AF253" s="1011" t="s">
        <v>1206</v>
      </c>
      <c r="AH253" s="1011" t="b">
        <f t="shared" si="11"/>
        <v>1</v>
      </c>
      <c r="AI253" s="1011" t="s">
        <v>407</v>
      </c>
      <c r="AJ253" s="1011" t="s">
        <v>406</v>
      </c>
      <c r="AK253" s="1011" t="s">
        <v>1908</v>
      </c>
      <c r="AL253" s="1011" t="s">
        <v>1909</v>
      </c>
    </row>
    <row r="254" spans="1:43" ht="15.75" customHeight="1" x14ac:dyDescent="0.2">
      <c r="A254" s="1018" t="s">
        <v>409</v>
      </c>
      <c r="B254" s="1019" t="s">
        <v>408</v>
      </c>
      <c r="C254" s="1020">
        <v>0.49</v>
      </c>
      <c r="D254" s="597" t="s">
        <v>600</v>
      </c>
      <c r="E254" s="597" t="s">
        <v>765</v>
      </c>
      <c r="F254" s="1020">
        <v>0</v>
      </c>
      <c r="G254" s="597" t="s">
        <v>772</v>
      </c>
      <c r="H254" s="597" t="s">
        <v>773</v>
      </c>
      <c r="I254" s="1020">
        <v>0.01</v>
      </c>
      <c r="J254" s="1020">
        <f t="shared" si="9"/>
        <v>0.5</v>
      </c>
      <c r="K254" s="1020"/>
      <c r="L254" s="1020">
        <v>0.49</v>
      </c>
      <c r="M254" s="597" t="s">
        <v>600</v>
      </c>
      <c r="N254" s="597" t="s">
        <v>765</v>
      </c>
      <c r="O254" s="1020">
        <v>0</v>
      </c>
      <c r="P254" s="597" t="s">
        <v>772</v>
      </c>
      <c r="Q254" s="597" t="s">
        <v>773</v>
      </c>
      <c r="R254" s="1020">
        <v>0.01</v>
      </c>
      <c r="S254" s="1020">
        <f t="shared" si="10"/>
        <v>0.5</v>
      </c>
      <c r="T254" s="1108" t="s">
        <v>1005</v>
      </c>
      <c r="U254" s="1107" t="s">
        <v>2250</v>
      </c>
      <c r="V254" s="885"/>
      <c r="W254" s="885"/>
      <c r="X254" s="937" t="s">
        <v>1005</v>
      </c>
      <c r="Y254" s="924"/>
      <c r="Z254" s="883"/>
      <c r="AA254" s="925"/>
      <c r="AB254" s="914" t="s">
        <v>1005</v>
      </c>
      <c r="AC254" s="1011" t="s">
        <v>1005</v>
      </c>
      <c r="AD254" s="1011" t="s">
        <v>1206</v>
      </c>
      <c r="AE254" s="1011" t="s">
        <v>1206</v>
      </c>
      <c r="AF254" s="1011" t="s">
        <v>1206</v>
      </c>
      <c r="AH254" s="1011" t="b">
        <f t="shared" si="11"/>
        <v>1</v>
      </c>
      <c r="AI254" s="1011" t="s">
        <v>409</v>
      </c>
      <c r="AJ254" s="1011" t="s">
        <v>408</v>
      </c>
      <c r="AK254" s="1011" t="s">
        <v>1910</v>
      </c>
      <c r="AL254" s="1011" t="s">
        <v>1911</v>
      </c>
      <c r="AO254" s="1011" t="s">
        <v>1912</v>
      </c>
      <c r="AP254" s="1011" t="s">
        <v>1913</v>
      </c>
      <c r="AQ254" s="1011" t="s">
        <v>1910</v>
      </c>
    </row>
    <row r="255" spans="1:43" ht="15.75" customHeight="1" x14ac:dyDescent="0.2">
      <c r="A255" s="1018" t="s">
        <v>411</v>
      </c>
      <c r="B255" s="1019" t="s">
        <v>684</v>
      </c>
      <c r="C255" s="1020">
        <v>0.49</v>
      </c>
      <c r="D255" s="597" t="s">
        <v>600</v>
      </c>
      <c r="E255" s="597" t="s">
        <v>601</v>
      </c>
      <c r="F255" s="1020">
        <v>0</v>
      </c>
      <c r="G255" s="597" t="s">
        <v>682</v>
      </c>
      <c r="H255" s="597" t="s">
        <v>683</v>
      </c>
      <c r="I255" s="1020">
        <v>0.01</v>
      </c>
      <c r="J255" s="1020">
        <f t="shared" si="9"/>
        <v>0.5</v>
      </c>
      <c r="K255" s="1020"/>
      <c r="L255" s="1020">
        <v>0.49</v>
      </c>
      <c r="M255" s="597" t="s">
        <v>600</v>
      </c>
      <c r="N255" s="597" t="s">
        <v>601</v>
      </c>
      <c r="O255" s="1020">
        <v>0</v>
      </c>
      <c r="P255" s="597" t="s">
        <v>682</v>
      </c>
      <c r="Q255" s="597" t="s">
        <v>683</v>
      </c>
      <c r="R255" s="1020">
        <v>0.01</v>
      </c>
      <c r="S255" s="1020">
        <f t="shared" si="10"/>
        <v>0.5</v>
      </c>
      <c r="T255" s="947"/>
      <c r="U255" s="877"/>
      <c r="V255" s="877"/>
      <c r="W255" s="877"/>
      <c r="X255" s="937" t="s">
        <v>1005</v>
      </c>
      <c r="Y255" s="924"/>
      <c r="Z255" s="883"/>
      <c r="AA255" s="925"/>
      <c r="AB255" s="914" t="s">
        <v>1005</v>
      </c>
      <c r="AC255" s="1011" t="s">
        <v>1206</v>
      </c>
      <c r="AD255" s="1011" t="s">
        <v>1206</v>
      </c>
      <c r="AE255" s="1011" t="s">
        <v>1206</v>
      </c>
      <c r="AF255" s="1011" t="s">
        <v>1206</v>
      </c>
      <c r="AH255" s="1011" t="b">
        <f t="shared" si="11"/>
        <v>1</v>
      </c>
      <c r="AI255" s="1011" t="s">
        <v>411</v>
      </c>
      <c r="AJ255" s="1011" t="s">
        <v>410</v>
      </c>
      <c r="AK255" s="1011" t="s">
        <v>1914</v>
      </c>
      <c r="AL255" s="1011" t="s">
        <v>1915</v>
      </c>
    </row>
    <row r="256" spans="1:43" ht="15.75" customHeight="1" x14ac:dyDescent="0.2">
      <c r="A256" s="1018" t="s">
        <v>413</v>
      </c>
      <c r="B256" s="1019" t="s">
        <v>669</v>
      </c>
      <c r="C256" s="1020">
        <v>0.49</v>
      </c>
      <c r="D256" s="597" t="s">
        <v>600</v>
      </c>
      <c r="E256" s="597" t="s">
        <v>601</v>
      </c>
      <c r="F256" s="1020">
        <v>0</v>
      </c>
      <c r="G256" s="597" t="s">
        <v>670</v>
      </c>
      <c r="H256" s="597" t="s">
        <v>671</v>
      </c>
      <c r="I256" s="1020">
        <v>0.01</v>
      </c>
      <c r="J256" s="1020">
        <f t="shared" si="9"/>
        <v>0.5</v>
      </c>
      <c r="K256" s="1020"/>
      <c r="L256" s="1020">
        <v>0.49</v>
      </c>
      <c r="M256" s="597" t="s">
        <v>600</v>
      </c>
      <c r="N256" s="597" t="s">
        <v>601</v>
      </c>
      <c r="O256" s="1020">
        <v>0</v>
      </c>
      <c r="P256" s="597" t="s">
        <v>670</v>
      </c>
      <c r="Q256" s="597" t="s">
        <v>671</v>
      </c>
      <c r="R256" s="1020">
        <v>0.01</v>
      </c>
      <c r="S256" s="1020">
        <f t="shared" si="10"/>
        <v>0.5</v>
      </c>
      <c r="T256" s="947"/>
      <c r="U256" s="877"/>
      <c r="V256" s="877"/>
      <c r="W256" s="877"/>
      <c r="X256" s="937" t="s">
        <v>1005</v>
      </c>
      <c r="Y256" s="924"/>
      <c r="Z256" s="883"/>
      <c r="AA256" s="925"/>
      <c r="AB256" s="914" t="s">
        <v>1005</v>
      </c>
      <c r="AC256" s="1011" t="s">
        <v>1206</v>
      </c>
      <c r="AD256" s="1011" t="s">
        <v>1206</v>
      </c>
      <c r="AE256" s="1011" t="s">
        <v>1206</v>
      </c>
      <c r="AF256" s="1011" t="s">
        <v>1206</v>
      </c>
      <c r="AH256" s="1011" t="b">
        <f t="shared" si="11"/>
        <v>1</v>
      </c>
      <c r="AI256" s="1011" t="s">
        <v>413</v>
      </c>
      <c r="AJ256" s="1011" t="s">
        <v>412</v>
      </c>
      <c r="AK256" s="1011" t="s">
        <v>1916</v>
      </c>
      <c r="AL256" s="1011" t="s">
        <v>1917</v>
      </c>
    </row>
    <row r="257" spans="1:43" ht="15.75" customHeight="1" x14ac:dyDescent="0.2">
      <c r="A257" s="1018" t="s">
        <v>415</v>
      </c>
      <c r="B257" s="1019" t="s">
        <v>414</v>
      </c>
      <c r="C257" s="1020">
        <v>0.3</v>
      </c>
      <c r="D257" s="597" t="s">
        <v>779</v>
      </c>
      <c r="E257" s="597" t="s">
        <v>780</v>
      </c>
      <c r="F257" s="1020">
        <v>0.37</v>
      </c>
      <c r="G257" s="597" t="s">
        <v>600</v>
      </c>
      <c r="H257" s="597" t="s">
        <v>600</v>
      </c>
      <c r="I257" s="1020">
        <v>0</v>
      </c>
      <c r="J257" s="1020">
        <f t="shared" si="9"/>
        <v>0.66999999999999993</v>
      </c>
      <c r="K257" s="1020"/>
      <c r="L257" s="1020">
        <v>0.3</v>
      </c>
      <c r="M257" s="597" t="s">
        <v>779</v>
      </c>
      <c r="N257" s="597" t="s">
        <v>780</v>
      </c>
      <c r="O257" s="1020">
        <v>0.2</v>
      </c>
      <c r="P257" s="597" t="s">
        <v>600</v>
      </c>
      <c r="Q257" s="597" t="s">
        <v>600</v>
      </c>
      <c r="R257" s="1020">
        <v>0</v>
      </c>
      <c r="S257" s="1020">
        <f t="shared" si="10"/>
        <v>0.5</v>
      </c>
      <c r="T257" s="947"/>
      <c r="U257" s="877"/>
      <c r="V257" s="877"/>
      <c r="W257" s="877"/>
      <c r="X257" s="937" t="s">
        <v>1005</v>
      </c>
      <c r="Y257" s="924"/>
      <c r="Z257" s="883"/>
      <c r="AA257" s="925"/>
      <c r="AB257" s="914" t="s">
        <v>1005</v>
      </c>
      <c r="AC257" s="1011" t="s">
        <v>1206</v>
      </c>
      <c r="AD257" s="1011" t="s">
        <v>1206</v>
      </c>
      <c r="AE257" s="1011" t="s">
        <v>1206</v>
      </c>
      <c r="AF257" s="1011" t="s">
        <v>1206</v>
      </c>
      <c r="AH257" s="1011" t="b">
        <f t="shared" si="11"/>
        <v>1</v>
      </c>
      <c r="AI257" s="1011" t="s">
        <v>415</v>
      </c>
      <c r="AJ257" s="1011" t="s">
        <v>414</v>
      </c>
      <c r="AK257" s="1011" t="s">
        <v>1918</v>
      </c>
      <c r="AL257" s="1011" t="s">
        <v>1919</v>
      </c>
    </row>
    <row r="258" spans="1:43" ht="15.75" customHeight="1" x14ac:dyDescent="0.2">
      <c r="A258" s="1018" t="s">
        <v>417</v>
      </c>
      <c r="B258" s="1019" t="s">
        <v>416</v>
      </c>
      <c r="C258" s="1020">
        <v>0.4</v>
      </c>
      <c r="D258" s="597" t="s">
        <v>753</v>
      </c>
      <c r="E258" s="597" t="s">
        <v>754</v>
      </c>
      <c r="F258" s="1020">
        <v>0.1</v>
      </c>
      <c r="G258" s="597" t="s">
        <v>600</v>
      </c>
      <c r="H258" s="597" t="s">
        <v>639</v>
      </c>
      <c r="I258" s="1020">
        <v>0</v>
      </c>
      <c r="J258" s="1020">
        <f t="shared" si="9"/>
        <v>0.5</v>
      </c>
      <c r="K258" s="1020"/>
      <c r="L258" s="1020">
        <v>0.4</v>
      </c>
      <c r="M258" s="597" t="s">
        <v>753</v>
      </c>
      <c r="N258" s="597" t="s">
        <v>754</v>
      </c>
      <c r="O258" s="1020">
        <v>0.1</v>
      </c>
      <c r="P258" s="597" t="s">
        <v>600</v>
      </c>
      <c r="Q258" s="597" t="s">
        <v>639</v>
      </c>
      <c r="R258" s="1020">
        <v>0</v>
      </c>
      <c r="S258" s="1020">
        <f t="shared" si="10"/>
        <v>0.5</v>
      </c>
      <c r="T258" s="947"/>
      <c r="U258" s="877"/>
      <c r="V258" s="877"/>
      <c r="W258" s="877"/>
      <c r="X258" s="1015"/>
      <c r="Y258" s="924"/>
      <c r="Z258" s="883"/>
      <c r="AA258" s="925"/>
      <c r="AB258" s="912"/>
      <c r="AC258" s="1011" t="s">
        <v>1206</v>
      </c>
      <c r="AD258" s="1011" t="s">
        <v>1206</v>
      </c>
      <c r="AE258" s="1011" t="s">
        <v>1206</v>
      </c>
      <c r="AF258" s="1011" t="s">
        <v>1206</v>
      </c>
      <c r="AH258" s="1011" t="b">
        <f t="shared" si="11"/>
        <v>1</v>
      </c>
      <c r="AI258" s="1011" t="s">
        <v>417</v>
      </c>
      <c r="AJ258" s="1011" t="s">
        <v>416</v>
      </c>
      <c r="AK258" s="1011" t="s">
        <v>1920</v>
      </c>
      <c r="AL258" s="1011" t="s">
        <v>1921</v>
      </c>
    </row>
    <row r="259" spans="1:43" ht="15.75" customHeight="1" x14ac:dyDescent="0.2">
      <c r="A259" s="1018" t="s">
        <v>419</v>
      </c>
      <c r="B259" s="1019" t="s">
        <v>418</v>
      </c>
      <c r="C259" s="1020">
        <v>0.4</v>
      </c>
      <c r="D259" s="597" t="s">
        <v>692</v>
      </c>
      <c r="E259" s="597" t="s">
        <v>693</v>
      </c>
      <c r="F259" s="1020">
        <v>0.1</v>
      </c>
      <c r="G259" s="597" t="s">
        <v>600</v>
      </c>
      <c r="H259" s="597" t="s">
        <v>639</v>
      </c>
      <c r="I259" s="1020">
        <v>0</v>
      </c>
      <c r="J259" s="1020">
        <f t="shared" si="9"/>
        <v>0.5</v>
      </c>
      <c r="K259" s="1020"/>
      <c r="L259" s="1020">
        <v>0.4</v>
      </c>
      <c r="M259" s="597" t="s">
        <v>692</v>
      </c>
      <c r="N259" s="597" t="s">
        <v>693</v>
      </c>
      <c r="O259" s="1020">
        <v>0.1</v>
      </c>
      <c r="P259" s="597" t="s">
        <v>600</v>
      </c>
      <c r="Q259" s="597" t="s">
        <v>639</v>
      </c>
      <c r="R259" s="1020">
        <v>0</v>
      </c>
      <c r="S259" s="1020">
        <f t="shared" si="10"/>
        <v>0.5</v>
      </c>
      <c r="T259" s="1106" t="s">
        <v>1005</v>
      </c>
      <c r="U259" s="1107" t="s">
        <v>2255</v>
      </c>
      <c r="V259" s="877"/>
      <c r="W259" s="877"/>
      <c r="X259" s="1015"/>
      <c r="Y259" s="924"/>
      <c r="Z259" s="883"/>
      <c r="AA259" s="925"/>
      <c r="AB259" s="912"/>
      <c r="AC259" s="1011" t="s">
        <v>1005</v>
      </c>
      <c r="AD259" s="1011" t="s">
        <v>1206</v>
      </c>
      <c r="AE259" s="1011" t="s">
        <v>1206</v>
      </c>
      <c r="AF259" s="1011" t="s">
        <v>1206</v>
      </c>
      <c r="AH259" s="1011" t="b">
        <f t="shared" si="11"/>
        <v>1</v>
      </c>
      <c r="AI259" s="1011" t="s">
        <v>419</v>
      </c>
      <c r="AJ259" s="1011" t="s">
        <v>418</v>
      </c>
      <c r="AK259" s="1011" t="s">
        <v>1922</v>
      </c>
      <c r="AL259" s="1011" t="s">
        <v>1923</v>
      </c>
      <c r="AO259" s="1011" t="s">
        <v>1924</v>
      </c>
      <c r="AP259" s="1011" t="s">
        <v>1925</v>
      </c>
      <c r="AQ259" s="1011" t="s">
        <v>1926</v>
      </c>
    </row>
    <row r="260" spans="1:43" ht="15" x14ac:dyDescent="0.2">
      <c r="A260" s="1018" t="s">
        <v>421</v>
      </c>
      <c r="B260" s="1019" t="s">
        <v>420</v>
      </c>
      <c r="C260" s="1020">
        <v>0.4</v>
      </c>
      <c r="D260" s="597" t="s">
        <v>751</v>
      </c>
      <c r="E260" s="597" t="s">
        <v>752</v>
      </c>
      <c r="F260" s="1020">
        <v>0.1</v>
      </c>
      <c r="G260" s="597" t="s">
        <v>600</v>
      </c>
      <c r="H260" s="597" t="s">
        <v>639</v>
      </c>
      <c r="I260" s="1020">
        <v>0</v>
      </c>
      <c r="J260" s="1020">
        <f t="shared" si="9"/>
        <v>0.5</v>
      </c>
      <c r="K260" s="1020"/>
      <c r="L260" s="1020">
        <v>0.4</v>
      </c>
      <c r="M260" s="597" t="s">
        <v>751</v>
      </c>
      <c r="N260" s="597" t="s">
        <v>752</v>
      </c>
      <c r="O260" s="1020">
        <v>0.1</v>
      </c>
      <c r="P260" s="597" t="s">
        <v>600</v>
      </c>
      <c r="Q260" s="597" t="s">
        <v>639</v>
      </c>
      <c r="R260" s="1020">
        <v>0</v>
      </c>
      <c r="S260" s="1020">
        <f t="shared" si="10"/>
        <v>0.5</v>
      </c>
      <c r="T260" s="947" t="s">
        <v>1005</v>
      </c>
      <c r="U260" s="886" t="s">
        <v>1188</v>
      </c>
      <c r="V260" s="887" t="s">
        <v>1162</v>
      </c>
      <c r="W260" s="877"/>
      <c r="X260" s="1015"/>
      <c r="Y260" s="1057">
        <v>0</v>
      </c>
      <c r="Z260" s="964">
        <v>0</v>
      </c>
      <c r="AA260" s="1023"/>
      <c r="AB260" s="912"/>
      <c r="AC260" s="1011" t="s">
        <v>1206</v>
      </c>
      <c r="AD260" s="1011" t="s">
        <v>1206</v>
      </c>
      <c r="AE260" s="1011" t="s">
        <v>1206</v>
      </c>
      <c r="AF260" s="1011" t="s">
        <v>1206</v>
      </c>
      <c r="AH260" s="1011" t="b">
        <f t="shared" si="11"/>
        <v>1</v>
      </c>
      <c r="AI260" s="1011" t="s">
        <v>421</v>
      </c>
      <c r="AJ260" s="1011" t="s">
        <v>420</v>
      </c>
      <c r="AK260" s="1011" t="s">
        <v>1301</v>
      </c>
      <c r="AL260" s="1011" t="s">
        <v>1302</v>
      </c>
    </row>
    <row r="261" spans="1:43" ht="15.75" customHeight="1" x14ac:dyDescent="0.2">
      <c r="A261" s="1018" t="s">
        <v>423</v>
      </c>
      <c r="B261" s="1019" t="s">
        <v>422</v>
      </c>
      <c r="C261" s="1020">
        <v>0.99</v>
      </c>
      <c r="D261" s="597" t="s">
        <v>600</v>
      </c>
      <c r="E261" s="597" t="s">
        <v>765</v>
      </c>
      <c r="F261" s="1020">
        <v>0</v>
      </c>
      <c r="G261" s="597" t="s">
        <v>768</v>
      </c>
      <c r="H261" s="597" t="s">
        <v>769</v>
      </c>
      <c r="I261" s="1020">
        <v>0.01</v>
      </c>
      <c r="J261" s="1020">
        <f t="shared" si="9"/>
        <v>1</v>
      </c>
      <c r="K261" s="1020"/>
      <c r="L261" s="1020">
        <v>0.49</v>
      </c>
      <c r="M261" s="597" t="s">
        <v>600</v>
      </c>
      <c r="N261" s="597" t="s">
        <v>765</v>
      </c>
      <c r="O261" s="1020">
        <v>0</v>
      </c>
      <c r="P261" s="597" t="s">
        <v>768</v>
      </c>
      <c r="Q261" s="597" t="s">
        <v>769</v>
      </c>
      <c r="R261" s="1020">
        <v>0.01</v>
      </c>
      <c r="S261" s="1020">
        <f t="shared" si="10"/>
        <v>0.5</v>
      </c>
      <c r="T261" s="949"/>
      <c r="U261" s="885"/>
      <c r="V261" s="885"/>
      <c r="W261" s="885"/>
      <c r="X261" s="937" t="s">
        <v>1005</v>
      </c>
      <c r="Y261" s="924"/>
      <c r="Z261" s="883"/>
      <c r="AA261" s="925"/>
      <c r="AB261" s="914" t="s">
        <v>1005</v>
      </c>
      <c r="AC261" s="1011" t="s">
        <v>1206</v>
      </c>
      <c r="AD261" s="1011" t="s">
        <v>1206</v>
      </c>
      <c r="AE261" s="1011" t="s">
        <v>1206</v>
      </c>
      <c r="AF261" s="1011" t="s">
        <v>1206</v>
      </c>
      <c r="AH261" s="1011" t="b">
        <f t="shared" si="11"/>
        <v>1</v>
      </c>
      <c r="AI261" s="1011" t="s">
        <v>423</v>
      </c>
      <c r="AJ261" s="1011" t="s">
        <v>422</v>
      </c>
      <c r="AK261" s="1011" t="s">
        <v>1927</v>
      </c>
      <c r="AL261" s="1011" t="s">
        <v>1928</v>
      </c>
      <c r="AO261" s="1011" t="s">
        <v>1928</v>
      </c>
      <c r="AP261" s="1011" t="s">
        <v>1929</v>
      </c>
      <c r="AQ261" s="1011" t="s">
        <v>1927</v>
      </c>
    </row>
    <row r="262" spans="1:43" ht="15.75" customHeight="1" x14ac:dyDescent="0.2">
      <c r="A262" s="1018" t="s">
        <v>425</v>
      </c>
      <c r="B262" s="1019" t="s">
        <v>424</v>
      </c>
      <c r="C262" s="1020">
        <v>0.4</v>
      </c>
      <c r="D262" s="597" t="s">
        <v>749</v>
      </c>
      <c r="E262" s="597" t="s">
        <v>750</v>
      </c>
      <c r="F262" s="1020">
        <v>0.09</v>
      </c>
      <c r="G262" s="597" t="s">
        <v>747</v>
      </c>
      <c r="H262" s="597" t="s">
        <v>748</v>
      </c>
      <c r="I262" s="1020">
        <v>0.01</v>
      </c>
      <c r="J262" s="1020">
        <f t="shared" ref="J262:J325" si="12">+C262+F262+I262</f>
        <v>0.5</v>
      </c>
      <c r="K262" s="1020"/>
      <c r="L262" s="1020">
        <v>0.4</v>
      </c>
      <c r="M262" s="597" t="s">
        <v>749</v>
      </c>
      <c r="N262" s="597" t="s">
        <v>750</v>
      </c>
      <c r="O262" s="1020">
        <v>0.09</v>
      </c>
      <c r="P262" s="597" t="s">
        <v>747</v>
      </c>
      <c r="Q262" s="597" t="s">
        <v>748</v>
      </c>
      <c r="R262" s="1020">
        <v>0.01</v>
      </c>
      <c r="S262" s="1020">
        <f t="shared" ref="S262:S325" si="13">+L262+O262+R262</f>
        <v>0.5</v>
      </c>
      <c r="T262" s="949"/>
      <c r="U262" s="885"/>
      <c r="V262" s="885"/>
      <c r="W262" s="885"/>
      <c r="X262" s="1015"/>
      <c r="Y262" s="924"/>
      <c r="Z262" s="883"/>
      <c r="AA262" s="925"/>
      <c r="AB262" s="912"/>
      <c r="AC262" s="1011" t="s">
        <v>1206</v>
      </c>
      <c r="AD262" s="1011" t="s">
        <v>1206</v>
      </c>
      <c r="AE262" s="1011" t="s">
        <v>1206</v>
      </c>
      <c r="AF262" s="1011" t="s">
        <v>1206</v>
      </c>
      <c r="AH262" s="1011" t="b">
        <f t="shared" ref="AH262:AH325" si="14">+A262=AI262</f>
        <v>1</v>
      </c>
      <c r="AI262" s="1011" t="s">
        <v>425</v>
      </c>
      <c r="AJ262" s="1011" t="s">
        <v>424</v>
      </c>
      <c r="AK262" s="1011" t="s">
        <v>1930</v>
      </c>
      <c r="AL262" s="1011" t="s">
        <v>1931</v>
      </c>
    </row>
    <row r="263" spans="1:43" ht="15.75" customHeight="1" x14ac:dyDescent="0.2">
      <c r="A263" s="1018" t="s">
        <v>427</v>
      </c>
      <c r="B263" s="1019" t="s">
        <v>426</v>
      </c>
      <c r="C263" s="1020">
        <v>0.4</v>
      </c>
      <c r="D263" s="597" t="s">
        <v>749</v>
      </c>
      <c r="E263" s="597" t="s">
        <v>750</v>
      </c>
      <c r="F263" s="1020">
        <v>0.09</v>
      </c>
      <c r="G263" s="597" t="s">
        <v>747</v>
      </c>
      <c r="H263" s="597" t="s">
        <v>748</v>
      </c>
      <c r="I263" s="1020">
        <v>0.01</v>
      </c>
      <c r="J263" s="1020">
        <f t="shared" si="12"/>
        <v>0.5</v>
      </c>
      <c r="K263" s="1020"/>
      <c r="L263" s="1020">
        <v>0.4</v>
      </c>
      <c r="M263" s="597" t="s">
        <v>749</v>
      </c>
      <c r="N263" s="597" t="s">
        <v>750</v>
      </c>
      <c r="O263" s="1020">
        <v>0.09</v>
      </c>
      <c r="P263" s="597" t="s">
        <v>747</v>
      </c>
      <c r="Q263" s="597" t="s">
        <v>748</v>
      </c>
      <c r="R263" s="1020">
        <v>0.01</v>
      </c>
      <c r="S263" s="1020">
        <f t="shared" si="13"/>
        <v>0.5</v>
      </c>
      <c r="T263" s="947"/>
      <c r="U263" s="877"/>
      <c r="V263" s="877"/>
      <c r="W263" s="877"/>
      <c r="X263" s="1015"/>
      <c r="Y263" s="924"/>
      <c r="Z263" s="883"/>
      <c r="AA263" s="925"/>
      <c r="AB263" s="912"/>
      <c r="AC263" s="1011" t="s">
        <v>1206</v>
      </c>
      <c r="AD263" s="1011" t="s">
        <v>1206</v>
      </c>
      <c r="AE263" s="1011" t="s">
        <v>1206</v>
      </c>
      <c r="AF263" s="1011" t="s">
        <v>1206</v>
      </c>
      <c r="AH263" s="1011" t="b">
        <f t="shared" si="14"/>
        <v>1</v>
      </c>
      <c r="AI263" s="1011" t="s">
        <v>427</v>
      </c>
      <c r="AJ263" s="1011" t="s">
        <v>426</v>
      </c>
      <c r="AK263" s="1011" t="s">
        <v>1932</v>
      </c>
      <c r="AL263" s="1011" t="s">
        <v>1933</v>
      </c>
      <c r="AM263" s="1011" t="s">
        <v>1934</v>
      </c>
    </row>
    <row r="264" spans="1:43" ht="15.75" customHeight="1" x14ac:dyDescent="0.2">
      <c r="A264" s="1018" t="s">
        <v>429</v>
      </c>
      <c r="B264" s="1019" t="s">
        <v>428</v>
      </c>
      <c r="C264" s="1020">
        <v>0.4</v>
      </c>
      <c r="D264" s="597" t="s">
        <v>692</v>
      </c>
      <c r="E264" s="597" t="s">
        <v>693</v>
      </c>
      <c r="F264" s="1020">
        <v>0.1</v>
      </c>
      <c r="G264" s="597" t="s">
        <v>600</v>
      </c>
      <c r="H264" s="597" t="s">
        <v>639</v>
      </c>
      <c r="I264" s="1020">
        <v>0</v>
      </c>
      <c r="J264" s="1020">
        <f t="shared" si="12"/>
        <v>0.5</v>
      </c>
      <c r="K264" s="1020"/>
      <c r="L264" s="1020">
        <v>0.4</v>
      </c>
      <c r="M264" s="597" t="s">
        <v>692</v>
      </c>
      <c r="N264" s="597" t="s">
        <v>693</v>
      </c>
      <c r="O264" s="1020">
        <v>0.1</v>
      </c>
      <c r="P264" s="597" t="s">
        <v>600</v>
      </c>
      <c r="Q264" s="597" t="s">
        <v>639</v>
      </c>
      <c r="R264" s="1020">
        <v>0</v>
      </c>
      <c r="S264" s="1020">
        <f t="shared" si="13"/>
        <v>0.5</v>
      </c>
      <c r="T264" s="947"/>
      <c r="U264" s="877"/>
      <c r="V264" s="877"/>
      <c r="W264" s="877"/>
      <c r="X264" s="1015"/>
      <c r="Y264" s="924"/>
      <c r="Z264" s="883"/>
      <c r="AA264" s="925"/>
      <c r="AB264" s="912"/>
      <c r="AC264" s="1011" t="s">
        <v>1206</v>
      </c>
      <c r="AD264" s="1011" t="s">
        <v>1206</v>
      </c>
      <c r="AE264" s="1011" t="s">
        <v>1206</v>
      </c>
      <c r="AF264" s="1011" t="s">
        <v>1206</v>
      </c>
      <c r="AH264" s="1011" t="b">
        <f t="shared" si="14"/>
        <v>1</v>
      </c>
      <c r="AI264" s="1011" t="s">
        <v>429</v>
      </c>
      <c r="AJ264" s="1011" t="s">
        <v>428</v>
      </c>
      <c r="AK264" s="1011" t="s">
        <v>1935</v>
      </c>
      <c r="AL264" s="1011" t="s">
        <v>1936</v>
      </c>
    </row>
    <row r="265" spans="1:43" ht="15" x14ac:dyDescent="0.2">
      <c r="A265" s="1018" t="s">
        <v>431</v>
      </c>
      <c r="B265" s="1019" t="s">
        <v>430</v>
      </c>
      <c r="C265" s="1020">
        <v>0.99</v>
      </c>
      <c r="D265" s="597" t="s">
        <v>600</v>
      </c>
      <c r="E265" s="597" t="s">
        <v>765</v>
      </c>
      <c r="F265" s="1020">
        <v>0</v>
      </c>
      <c r="G265" s="597" t="s">
        <v>766</v>
      </c>
      <c r="H265" s="597" t="s">
        <v>767</v>
      </c>
      <c r="I265" s="1020">
        <v>0.01</v>
      </c>
      <c r="J265" s="1020">
        <f t="shared" si="12"/>
        <v>1</v>
      </c>
      <c r="K265" s="1020"/>
      <c r="L265" s="1020">
        <v>0.49</v>
      </c>
      <c r="M265" s="597" t="s">
        <v>600</v>
      </c>
      <c r="N265" s="597" t="s">
        <v>765</v>
      </c>
      <c r="O265" s="1020">
        <v>0</v>
      </c>
      <c r="P265" s="597" t="s">
        <v>766</v>
      </c>
      <c r="Q265" s="597" t="s">
        <v>767</v>
      </c>
      <c r="R265" s="1020">
        <v>0.01</v>
      </c>
      <c r="S265" s="1020">
        <f t="shared" si="13"/>
        <v>0.5</v>
      </c>
      <c r="T265" s="947" t="s">
        <v>1005</v>
      </c>
      <c r="U265" s="889" t="s">
        <v>1080</v>
      </c>
      <c r="W265" s="877"/>
      <c r="X265" s="937" t="s">
        <v>1005</v>
      </c>
      <c r="Y265" s="926">
        <v>6085584</v>
      </c>
      <c r="Z265" s="888"/>
      <c r="AA265" s="927"/>
      <c r="AB265" s="914" t="s">
        <v>1005</v>
      </c>
      <c r="AC265" s="1011" t="s">
        <v>1206</v>
      </c>
      <c r="AD265" s="1011" t="s">
        <v>1206</v>
      </c>
      <c r="AE265" s="1011" t="s">
        <v>1206</v>
      </c>
      <c r="AF265" s="1011" t="s">
        <v>1206</v>
      </c>
      <c r="AG265" s="1112"/>
      <c r="AH265" s="1011" t="b">
        <f t="shared" si="14"/>
        <v>1</v>
      </c>
      <c r="AI265" s="1011" t="s">
        <v>431</v>
      </c>
      <c r="AJ265" s="1011" t="s">
        <v>430</v>
      </c>
      <c r="AK265" s="1011" t="s">
        <v>1937</v>
      </c>
      <c r="AL265" s="1011" t="s">
        <v>1938</v>
      </c>
      <c r="AM265" s="1011" t="s">
        <v>1939</v>
      </c>
    </row>
    <row r="266" spans="1:43" ht="15" x14ac:dyDescent="0.2">
      <c r="A266" s="1018" t="s">
        <v>433</v>
      </c>
      <c r="B266" s="1019" t="s">
        <v>638</v>
      </c>
      <c r="C266" s="1020">
        <v>0.49</v>
      </c>
      <c r="D266" s="597" t="s">
        <v>600</v>
      </c>
      <c r="E266" s="597" t="s">
        <v>601</v>
      </c>
      <c r="F266" s="1020">
        <v>0</v>
      </c>
      <c r="G266" s="597" t="s">
        <v>634</v>
      </c>
      <c r="H266" s="597" t="s">
        <v>635</v>
      </c>
      <c r="I266" s="1020">
        <v>0.01</v>
      </c>
      <c r="J266" s="1020">
        <f t="shared" si="12"/>
        <v>0.5</v>
      </c>
      <c r="K266" s="1020"/>
      <c r="L266" s="1020">
        <v>0.49</v>
      </c>
      <c r="M266" s="597" t="s">
        <v>600</v>
      </c>
      <c r="N266" s="597" t="s">
        <v>601</v>
      </c>
      <c r="O266" s="1020">
        <v>0</v>
      </c>
      <c r="P266" s="597" t="s">
        <v>634</v>
      </c>
      <c r="Q266" s="597" t="s">
        <v>635</v>
      </c>
      <c r="R266" s="1020">
        <v>0.01</v>
      </c>
      <c r="S266" s="1020">
        <f t="shared" si="13"/>
        <v>0.5</v>
      </c>
      <c r="T266" s="947" t="s">
        <v>1005</v>
      </c>
      <c r="U266" s="889" t="s">
        <v>985</v>
      </c>
      <c r="V266" s="890" t="s">
        <v>1166</v>
      </c>
      <c r="W266" s="877"/>
      <c r="X266" s="937" t="s">
        <v>1005</v>
      </c>
      <c r="Y266" s="926">
        <v>0</v>
      </c>
      <c r="Z266" s="964">
        <v>118803</v>
      </c>
      <c r="AA266" s="927"/>
      <c r="AB266" s="914" t="s">
        <v>1005</v>
      </c>
      <c r="AC266" s="1011" t="s">
        <v>1206</v>
      </c>
      <c r="AD266" s="1011" t="s">
        <v>1206</v>
      </c>
      <c r="AE266" s="1011" t="s">
        <v>1206</v>
      </c>
      <c r="AF266" s="1011" t="s">
        <v>1206</v>
      </c>
      <c r="AH266" s="1011" t="b">
        <f t="shared" si="14"/>
        <v>1</v>
      </c>
      <c r="AI266" s="1011" t="s">
        <v>433</v>
      </c>
      <c r="AJ266" s="1011" t="s">
        <v>432</v>
      </c>
      <c r="AK266" s="1011" t="s">
        <v>1940</v>
      </c>
      <c r="AL266" s="1011" t="s">
        <v>1941</v>
      </c>
    </row>
    <row r="267" spans="1:43" ht="15" x14ac:dyDescent="0.2">
      <c r="A267" s="1018" t="s">
        <v>435</v>
      </c>
      <c r="B267" s="1019" t="s">
        <v>746</v>
      </c>
      <c r="C267" s="1020">
        <v>0.49</v>
      </c>
      <c r="D267" s="597" t="s">
        <v>600</v>
      </c>
      <c r="E267" s="597" t="s">
        <v>601</v>
      </c>
      <c r="F267" s="1020">
        <v>0</v>
      </c>
      <c r="G267" s="597" t="s">
        <v>747</v>
      </c>
      <c r="H267" s="597" t="s">
        <v>748</v>
      </c>
      <c r="I267" s="1020">
        <v>0.01</v>
      </c>
      <c r="J267" s="1020">
        <f t="shared" si="12"/>
        <v>0.5</v>
      </c>
      <c r="K267" s="1020"/>
      <c r="L267" s="1020">
        <v>0.49</v>
      </c>
      <c r="M267" s="597" t="s">
        <v>600</v>
      </c>
      <c r="N267" s="597" t="s">
        <v>601</v>
      </c>
      <c r="O267" s="1020">
        <v>0</v>
      </c>
      <c r="P267" s="597" t="s">
        <v>747</v>
      </c>
      <c r="Q267" s="597" t="s">
        <v>748</v>
      </c>
      <c r="R267" s="1020">
        <v>0.01</v>
      </c>
      <c r="S267" s="1020">
        <f t="shared" si="13"/>
        <v>0.5</v>
      </c>
      <c r="T267" s="947" t="s">
        <v>1005</v>
      </c>
      <c r="U267" s="886" t="s">
        <v>1170</v>
      </c>
      <c r="V267" s="887"/>
      <c r="W267" s="877"/>
      <c r="X267" s="937" t="s">
        <v>1005</v>
      </c>
      <c r="Y267" s="1057">
        <v>431260</v>
      </c>
      <c r="Z267" s="964"/>
      <c r="AA267" s="1023"/>
      <c r="AB267" s="914" t="s">
        <v>1005</v>
      </c>
      <c r="AC267" s="1011" t="s">
        <v>1206</v>
      </c>
      <c r="AD267" s="1011" t="s">
        <v>1206</v>
      </c>
      <c r="AE267" s="1011" t="s">
        <v>1206</v>
      </c>
      <c r="AF267" s="1011" t="s">
        <v>1206</v>
      </c>
      <c r="AH267" s="1011" t="b">
        <f t="shared" si="14"/>
        <v>1</v>
      </c>
      <c r="AI267" s="1011" t="s">
        <v>435</v>
      </c>
      <c r="AJ267" s="1011" t="s">
        <v>434</v>
      </c>
      <c r="AK267" s="1011" t="s">
        <v>1942</v>
      </c>
      <c r="AL267" s="1011" t="s">
        <v>1943</v>
      </c>
      <c r="AM267" s="1011" t="s">
        <v>1944</v>
      </c>
      <c r="AN267" s="1011" t="s">
        <v>1945</v>
      </c>
    </row>
    <row r="268" spans="1:43" ht="15.75" customHeight="1" x14ac:dyDescent="0.2">
      <c r="A268" s="1018" t="s">
        <v>437</v>
      </c>
      <c r="B268" s="1019" t="s">
        <v>436</v>
      </c>
      <c r="C268" s="1020">
        <v>0.4</v>
      </c>
      <c r="D268" s="597" t="s">
        <v>756</v>
      </c>
      <c r="E268" s="597" t="s">
        <v>757</v>
      </c>
      <c r="F268" s="1020">
        <v>0.1</v>
      </c>
      <c r="G268" s="597" t="s">
        <v>600</v>
      </c>
      <c r="H268" s="597" t="s">
        <v>639</v>
      </c>
      <c r="I268" s="1020">
        <v>0</v>
      </c>
      <c r="J268" s="1020">
        <f t="shared" si="12"/>
        <v>0.5</v>
      </c>
      <c r="K268" s="1020"/>
      <c r="L268" s="1020">
        <v>0.4</v>
      </c>
      <c r="M268" s="597" t="s">
        <v>756</v>
      </c>
      <c r="N268" s="597" t="s">
        <v>757</v>
      </c>
      <c r="O268" s="1020">
        <v>0.1</v>
      </c>
      <c r="P268" s="597" t="s">
        <v>600</v>
      </c>
      <c r="Q268" s="597" t="s">
        <v>639</v>
      </c>
      <c r="R268" s="1020">
        <v>0</v>
      </c>
      <c r="S268" s="1020">
        <f t="shared" si="13"/>
        <v>0.5</v>
      </c>
      <c r="T268" s="947"/>
      <c r="U268" s="877"/>
      <c r="V268" s="877"/>
      <c r="W268" s="877"/>
      <c r="X268" s="1015"/>
      <c r="Y268" s="924"/>
      <c r="Z268" s="883"/>
      <c r="AA268" s="925"/>
      <c r="AB268" s="912"/>
      <c r="AC268" s="1011" t="s">
        <v>1206</v>
      </c>
      <c r="AD268" s="1011" t="s">
        <v>1206</v>
      </c>
      <c r="AE268" s="1011" t="s">
        <v>1206</v>
      </c>
      <c r="AF268" s="1011" t="s">
        <v>1206</v>
      </c>
      <c r="AH268" s="1011" t="b">
        <f t="shared" si="14"/>
        <v>1</v>
      </c>
      <c r="AI268" s="1011" t="s">
        <v>437</v>
      </c>
      <c r="AJ268" s="1011" t="s">
        <v>436</v>
      </c>
      <c r="AK268" s="1011" t="s">
        <v>1946</v>
      </c>
      <c r="AL268" s="1011" t="s">
        <v>1947</v>
      </c>
      <c r="AO268" s="1011" t="s">
        <v>1947</v>
      </c>
      <c r="AP268" s="1011" t="s">
        <v>1948</v>
      </c>
      <c r="AQ268" s="1011" t="s">
        <v>1949</v>
      </c>
    </row>
    <row r="269" spans="1:43" ht="15.75" customHeight="1" x14ac:dyDescent="0.2">
      <c r="A269" s="1018" t="s">
        <v>439</v>
      </c>
      <c r="B269" s="1019" t="s">
        <v>438</v>
      </c>
      <c r="C269" s="1020">
        <v>0.4</v>
      </c>
      <c r="D269" s="597" t="s">
        <v>675</v>
      </c>
      <c r="E269" s="597" t="s">
        <v>680</v>
      </c>
      <c r="F269" s="1020">
        <v>0.1</v>
      </c>
      <c r="G269" s="597" t="s">
        <v>600</v>
      </c>
      <c r="H269" s="597" t="s">
        <v>639</v>
      </c>
      <c r="I269" s="1020">
        <v>0</v>
      </c>
      <c r="J269" s="1020">
        <f t="shared" si="12"/>
        <v>0.5</v>
      </c>
      <c r="K269" s="1020"/>
      <c r="L269" s="1020">
        <v>0.4</v>
      </c>
      <c r="M269" s="597" t="s">
        <v>675</v>
      </c>
      <c r="N269" s="597" t="s">
        <v>680</v>
      </c>
      <c r="O269" s="1020">
        <v>0.1</v>
      </c>
      <c r="P269" s="597" t="s">
        <v>600</v>
      </c>
      <c r="Q269" s="597" t="s">
        <v>639</v>
      </c>
      <c r="R269" s="1020">
        <v>0</v>
      </c>
      <c r="S269" s="1020">
        <f t="shared" si="13"/>
        <v>0.5</v>
      </c>
      <c r="T269" s="947"/>
      <c r="U269" s="877"/>
      <c r="V269" s="877"/>
      <c r="W269" s="877"/>
      <c r="X269" s="1015"/>
      <c r="Y269" s="924"/>
      <c r="Z269" s="883"/>
      <c r="AA269" s="925"/>
      <c r="AB269" s="912"/>
      <c r="AC269" s="1011" t="s">
        <v>1206</v>
      </c>
      <c r="AD269" s="1011" t="s">
        <v>1206</v>
      </c>
      <c r="AE269" s="1011" t="s">
        <v>1206</v>
      </c>
      <c r="AF269" s="1011" t="s">
        <v>1206</v>
      </c>
      <c r="AH269" s="1011" t="b">
        <f t="shared" si="14"/>
        <v>1</v>
      </c>
      <c r="AI269" s="1011" t="s">
        <v>439</v>
      </c>
      <c r="AJ269" s="1011" t="s">
        <v>438</v>
      </c>
      <c r="AK269" s="1011" t="s">
        <v>1950</v>
      </c>
      <c r="AL269" s="1011" t="s">
        <v>1951</v>
      </c>
    </row>
    <row r="270" spans="1:43" ht="15.75" customHeight="1" x14ac:dyDescent="0.2">
      <c r="A270" s="1018" t="s">
        <v>441</v>
      </c>
      <c r="B270" s="1019" t="s">
        <v>440</v>
      </c>
      <c r="C270" s="1020">
        <v>0.4</v>
      </c>
      <c r="D270" s="597" t="s">
        <v>751</v>
      </c>
      <c r="E270" s="597" t="s">
        <v>752</v>
      </c>
      <c r="F270" s="1020">
        <v>0.1</v>
      </c>
      <c r="G270" s="597" t="s">
        <v>600</v>
      </c>
      <c r="H270" s="597" t="s">
        <v>639</v>
      </c>
      <c r="I270" s="1020">
        <v>0</v>
      </c>
      <c r="J270" s="1020">
        <f t="shared" si="12"/>
        <v>0.5</v>
      </c>
      <c r="K270" s="1020"/>
      <c r="L270" s="1020">
        <v>0.4</v>
      </c>
      <c r="M270" s="597" t="s">
        <v>751</v>
      </c>
      <c r="N270" s="597" t="s">
        <v>752</v>
      </c>
      <c r="O270" s="1020">
        <v>0.1</v>
      </c>
      <c r="P270" s="597" t="s">
        <v>600</v>
      </c>
      <c r="Q270" s="597" t="s">
        <v>639</v>
      </c>
      <c r="R270" s="1020">
        <v>0</v>
      </c>
      <c r="S270" s="1020">
        <f t="shared" si="13"/>
        <v>0.5</v>
      </c>
      <c r="T270" s="947"/>
      <c r="U270" s="877"/>
      <c r="V270" s="877"/>
      <c r="W270" s="877"/>
      <c r="X270" s="1015"/>
      <c r="Y270" s="924"/>
      <c r="Z270" s="883"/>
      <c r="AA270" s="925"/>
      <c r="AB270" s="912"/>
      <c r="AC270" s="1011" t="s">
        <v>1206</v>
      </c>
      <c r="AD270" s="1011" t="s">
        <v>1206</v>
      </c>
      <c r="AE270" s="1011" t="s">
        <v>1206</v>
      </c>
      <c r="AF270" s="1011" t="s">
        <v>1206</v>
      </c>
      <c r="AH270" s="1011" t="b">
        <f t="shared" si="14"/>
        <v>1</v>
      </c>
      <c r="AI270" s="1011" t="s">
        <v>441</v>
      </c>
      <c r="AJ270" s="1011" t="s">
        <v>440</v>
      </c>
      <c r="AK270" s="1011" t="s">
        <v>1952</v>
      </c>
      <c r="AL270" s="1011" t="s">
        <v>1953</v>
      </c>
    </row>
    <row r="271" spans="1:43" ht="15" x14ac:dyDescent="0.2">
      <c r="A271" s="1018" t="s">
        <v>443</v>
      </c>
      <c r="B271" s="1019" t="s">
        <v>442</v>
      </c>
      <c r="C271" s="1020">
        <v>0.49</v>
      </c>
      <c r="D271" s="597" t="s">
        <v>600</v>
      </c>
      <c r="E271" s="597" t="s">
        <v>765</v>
      </c>
      <c r="F271" s="1020">
        <v>0</v>
      </c>
      <c r="G271" s="597" t="s">
        <v>772</v>
      </c>
      <c r="H271" s="597" t="s">
        <v>773</v>
      </c>
      <c r="I271" s="1020">
        <v>0.01</v>
      </c>
      <c r="J271" s="1020">
        <f t="shared" si="12"/>
        <v>0.5</v>
      </c>
      <c r="K271" s="1020"/>
      <c r="L271" s="1020">
        <v>0.49</v>
      </c>
      <c r="M271" s="597" t="s">
        <v>600</v>
      </c>
      <c r="N271" s="597" t="s">
        <v>765</v>
      </c>
      <c r="O271" s="1020">
        <v>0</v>
      </c>
      <c r="P271" s="597" t="s">
        <v>772</v>
      </c>
      <c r="Q271" s="597" t="s">
        <v>773</v>
      </c>
      <c r="R271" s="1020">
        <v>0.01</v>
      </c>
      <c r="S271" s="1020">
        <f t="shared" si="13"/>
        <v>0.5</v>
      </c>
      <c r="T271" s="947" t="s">
        <v>1005</v>
      </c>
      <c r="U271" s="877" t="s">
        <v>997</v>
      </c>
      <c r="V271" s="1107" t="s">
        <v>2250</v>
      </c>
      <c r="W271" s="877"/>
      <c r="X271" s="937" t="s">
        <v>1005</v>
      </c>
      <c r="Y271" s="926">
        <v>143841</v>
      </c>
      <c r="Z271" s="888"/>
      <c r="AA271" s="927"/>
      <c r="AB271" s="914" t="s">
        <v>1005</v>
      </c>
      <c r="AC271" s="1011" t="s">
        <v>1206</v>
      </c>
      <c r="AD271" s="1011" t="s">
        <v>1005</v>
      </c>
      <c r="AE271" s="1011" t="s">
        <v>1206</v>
      </c>
      <c r="AF271" s="1011" t="s">
        <v>1206</v>
      </c>
      <c r="AH271" s="1011" t="b">
        <f t="shared" si="14"/>
        <v>1</v>
      </c>
      <c r="AI271" s="1011" t="s">
        <v>443</v>
      </c>
      <c r="AJ271" s="1011" t="s">
        <v>442</v>
      </c>
      <c r="AK271" s="1011" t="s">
        <v>1954</v>
      </c>
      <c r="AL271" s="1011" t="s">
        <v>1955</v>
      </c>
      <c r="AO271" s="1011" t="s">
        <v>1955</v>
      </c>
      <c r="AP271" s="1011" t="s">
        <v>1956</v>
      </c>
      <c r="AQ271" s="1011" t="s">
        <v>1954</v>
      </c>
    </row>
    <row r="272" spans="1:43" ht="15.75" customHeight="1" x14ac:dyDescent="0.2">
      <c r="A272" s="1018" t="s">
        <v>445</v>
      </c>
      <c r="B272" s="1019" t="s">
        <v>444</v>
      </c>
      <c r="C272" s="1020">
        <v>0.4</v>
      </c>
      <c r="D272" s="597" t="s">
        <v>753</v>
      </c>
      <c r="E272" s="597" t="s">
        <v>754</v>
      </c>
      <c r="F272" s="1020">
        <v>0.1</v>
      </c>
      <c r="G272" s="597" t="s">
        <v>600</v>
      </c>
      <c r="H272" s="597" t="s">
        <v>639</v>
      </c>
      <c r="I272" s="1020">
        <v>0</v>
      </c>
      <c r="J272" s="1020">
        <f t="shared" si="12"/>
        <v>0.5</v>
      </c>
      <c r="K272" s="1020"/>
      <c r="L272" s="1020">
        <v>0.4</v>
      </c>
      <c r="M272" s="597" t="s">
        <v>753</v>
      </c>
      <c r="N272" s="597" t="s">
        <v>754</v>
      </c>
      <c r="O272" s="1020">
        <v>0.1</v>
      </c>
      <c r="P272" s="597" t="s">
        <v>600</v>
      </c>
      <c r="Q272" s="597" t="s">
        <v>639</v>
      </c>
      <c r="R272" s="1020">
        <v>0</v>
      </c>
      <c r="S272" s="1020">
        <f t="shared" si="13"/>
        <v>0.5</v>
      </c>
      <c r="T272" s="947"/>
      <c r="U272" s="877"/>
      <c r="V272" s="877"/>
      <c r="W272" s="877"/>
      <c r="X272" s="1015"/>
      <c r="Y272" s="924"/>
      <c r="Z272" s="883"/>
      <c r="AA272" s="925"/>
      <c r="AB272" s="912"/>
      <c r="AC272" s="1011" t="s">
        <v>1206</v>
      </c>
      <c r="AD272" s="1011" t="s">
        <v>1206</v>
      </c>
      <c r="AE272" s="1011" t="s">
        <v>1206</v>
      </c>
      <c r="AF272" s="1011" t="s">
        <v>1206</v>
      </c>
      <c r="AH272" s="1011" t="b">
        <f t="shared" si="14"/>
        <v>1</v>
      </c>
      <c r="AI272" s="1011" t="s">
        <v>445</v>
      </c>
      <c r="AJ272" s="1011" t="s">
        <v>444</v>
      </c>
      <c r="AK272" s="1011" t="s">
        <v>1957</v>
      </c>
      <c r="AL272" s="1011" t="s">
        <v>1958</v>
      </c>
      <c r="AM272" s="1011" t="s">
        <v>1959</v>
      </c>
      <c r="AN272" s="1011" t="s">
        <v>1960</v>
      </c>
    </row>
    <row r="273" spans="1:43" ht="15.75" customHeight="1" x14ac:dyDescent="0.2">
      <c r="A273" s="1018" t="s">
        <v>447</v>
      </c>
      <c r="B273" s="1019" t="s">
        <v>446</v>
      </c>
      <c r="C273" s="1020">
        <v>0.3</v>
      </c>
      <c r="D273" s="597" t="s">
        <v>779</v>
      </c>
      <c r="E273" s="597" t="s">
        <v>780</v>
      </c>
      <c r="F273" s="1020">
        <v>0.37</v>
      </c>
      <c r="G273" s="597" t="s">
        <v>600</v>
      </c>
      <c r="H273" s="597" t="s">
        <v>600</v>
      </c>
      <c r="I273" s="1020">
        <v>0</v>
      </c>
      <c r="J273" s="1020">
        <f t="shared" si="12"/>
        <v>0.66999999999999993</v>
      </c>
      <c r="K273" s="1020"/>
      <c r="L273" s="1020">
        <v>0.3</v>
      </c>
      <c r="M273" s="597" t="s">
        <v>779</v>
      </c>
      <c r="N273" s="597" t="s">
        <v>780</v>
      </c>
      <c r="O273" s="1020">
        <v>0.2</v>
      </c>
      <c r="P273" s="597" t="s">
        <v>600</v>
      </c>
      <c r="Q273" s="597" t="s">
        <v>600</v>
      </c>
      <c r="R273" s="1020">
        <v>0</v>
      </c>
      <c r="S273" s="1020">
        <f t="shared" si="13"/>
        <v>0.5</v>
      </c>
      <c r="T273" s="947"/>
      <c r="U273" s="877"/>
      <c r="V273" s="877"/>
      <c r="W273" s="877"/>
      <c r="X273" s="937" t="s">
        <v>1005</v>
      </c>
      <c r="Y273" s="924"/>
      <c r="Z273" s="883"/>
      <c r="AA273" s="925"/>
      <c r="AB273" s="914" t="s">
        <v>1005</v>
      </c>
      <c r="AC273" s="1011" t="s">
        <v>1206</v>
      </c>
      <c r="AD273" s="1011" t="s">
        <v>1206</v>
      </c>
      <c r="AE273" s="1011" t="s">
        <v>1206</v>
      </c>
      <c r="AF273" s="1011" t="s">
        <v>1206</v>
      </c>
      <c r="AH273" s="1011" t="b">
        <f t="shared" si="14"/>
        <v>1</v>
      </c>
      <c r="AI273" s="1011" t="s">
        <v>447</v>
      </c>
      <c r="AJ273" s="1011" t="s">
        <v>446</v>
      </c>
      <c r="AK273" s="1011" t="s">
        <v>1961</v>
      </c>
      <c r="AL273" s="1011" t="s">
        <v>1962</v>
      </c>
      <c r="AM273" s="1011" t="s">
        <v>1963</v>
      </c>
      <c r="AN273" s="1011" t="s">
        <v>1964</v>
      </c>
    </row>
    <row r="274" spans="1:43" ht="15.75" customHeight="1" x14ac:dyDescent="0.2">
      <c r="A274" s="1018" t="s">
        <v>449</v>
      </c>
      <c r="B274" s="1019" t="s">
        <v>448</v>
      </c>
      <c r="C274" s="1020">
        <v>0.4</v>
      </c>
      <c r="D274" s="597" t="s">
        <v>704</v>
      </c>
      <c r="E274" s="597" t="s">
        <v>705</v>
      </c>
      <c r="F274" s="1020">
        <v>0.09</v>
      </c>
      <c r="G274" s="597" t="s">
        <v>702</v>
      </c>
      <c r="H274" s="597" t="s">
        <v>703</v>
      </c>
      <c r="I274" s="1020">
        <v>0.01</v>
      </c>
      <c r="J274" s="1020">
        <f t="shared" si="12"/>
        <v>0.5</v>
      </c>
      <c r="K274" s="1020"/>
      <c r="L274" s="1020">
        <v>0.4</v>
      </c>
      <c r="M274" s="597" t="s">
        <v>704</v>
      </c>
      <c r="N274" s="597" t="s">
        <v>705</v>
      </c>
      <c r="O274" s="1020">
        <v>0.09</v>
      </c>
      <c r="P274" s="597" t="s">
        <v>702</v>
      </c>
      <c r="Q274" s="597" t="s">
        <v>703</v>
      </c>
      <c r="R274" s="1020">
        <v>0.01</v>
      </c>
      <c r="S274" s="1020">
        <f t="shared" si="13"/>
        <v>0.5</v>
      </c>
      <c r="T274" s="947"/>
      <c r="U274" s="877"/>
      <c r="V274" s="877"/>
      <c r="W274" s="877"/>
      <c r="X274" s="1015"/>
      <c r="Y274" s="924"/>
      <c r="Z274" s="883"/>
      <c r="AA274" s="925"/>
      <c r="AB274" s="912"/>
      <c r="AC274" s="1011" t="s">
        <v>1206</v>
      </c>
      <c r="AD274" s="1011" t="s">
        <v>1206</v>
      </c>
      <c r="AE274" s="1011" t="s">
        <v>1206</v>
      </c>
      <c r="AF274" s="1011" t="s">
        <v>1206</v>
      </c>
      <c r="AH274" s="1011" t="b">
        <f t="shared" si="14"/>
        <v>1</v>
      </c>
      <c r="AI274" s="1011" t="s">
        <v>449</v>
      </c>
      <c r="AJ274" s="1011" t="s">
        <v>448</v>
      </c>
      <c r="AK274" s="1011" t="s">
        <v>1965</v>
      </c>
      <c r="AL274" s="1011" t="s">
        <v>1966</v>
      </c>
      <c r="AM274" s="1011" t="s">
        <v>1967</v>
      </c>
      <c r="AN274" s="1011" t="s">
        <v>1968</v>
      </c>
    </row>
    <row r="275" spans="1:43" ht="15.75" customHeight="1" x14ac:dyDescent="0.2">
      <c r="A275" s="1018" t="s">
        <v>451</v>
      </c>
      <c r="B275" s="1019" t="s">
        <v>762</v>
      </c>
      <c r="C275" s="1020">
        <v>0.49</v>
      </c>
      <c r="D275" s="597" t="s">
        <v>600</v>
      </c>
      <c r="E275" s="597" t="s">
        <v>601</v>
      </c>
      <c r="F275" s="1020">
        <v>0</v>
      </c>
      <c r="G275" s="597" t="s">
        <v>763</v>
      </c>
      <c r="H275" s="597" t="s">
        <v>764</v>
      </c>
      <c r="I275" s="1020">
        <v>0.01</v>
      </c>
      <c r="J275" s="1020">
        <f t="shared" si="12"/>
        <v>0.5</v>
      </c>
      <c r="K275" s="1020"/>
      <c r="L275" s="1020">
        <v>0.49</v>
      </c>
      <c r="M275" s="597" t="s">
        <v>600</v>
      </c>
      <c r="N275" s="597" t="s">
        <v>601</v>
      </c>
      <c r="O275" s="1020">
        <v>0</v>
      </c>
      <c r="P275" s="597" t="s">
        <v>763</v>
      </c>
      <c r="Q275" s="597" t="s">
        <v>764</v>
      </c>
      <c r="R275" s="1020">
        <v>0.01</v>
      </c>
      <c r="S275" s="1020">
        <f t="shared" si="13"/>
        <v>0.5</v>
      </c>
      <c r="T275" s="947"/>
      <c r="U275" s="877"/>
      <c r="V275" s="877"/>
      <c r="W275" s="877"/>
      <c r="X275" s="937" t="s">
        <v>1005</v>
      </c>
      <c r="Y275" s="924"/>
      <c r="Z275" s="883"/>
      <c r="AA275" s="925"/>
      <c r="AB275" s="914" t="s">
        <v>1005</v>
      </c>
      <c r="AC275" s="1011" t="s">
        <v>1206</v>
      </c>
      <c r="AD275" s="1011" t="s">
        <v>1206</v>
      </c>
      <c r="AE275" s="1011" t="s">
        <v>1206</v>
      </c>
      <c r="AF275" s="1011" t="s">
        <v>1206</v>
      </c>
      <c r="AH275" s="1011" t="b">
        <f t="shared" si="14"/>
        <v>1</v>
      </c>
      <c r="AI275" s="1011" t="s">
        <v>451</v>
      </c>
      <c r="AJ275" s="1011" t="s">
        <v>450</v>
      </c>
      <c r="AK275" s="1011" t="s">
        <v>1969</v>
      </c>
      <c r="AL275" s="1011" t="s">
        <v>1970</v>
      </c>
    </row>
    <row r="276" spans="1:43" ht="15.75" customHeight="1" x14ac:dyDescent="0.2">
      <c r="A276" s="1018" t="s">
        <v>453</v>
      </c>
      <c r="B276" s="1019" t="s">
        <v>452</v>
      </c>
      <c r="C276" s="1020">
        <v>0.99</v>
      </c>
      <c r="D276" s="597" t="s">
        <v>600</v>
      </c>
      <c r="E276" s="597" t="s">
        <v>765</v>
      </c>
      <c r="F276" s="1020">
        <v>0</v>
      </c>
      <c r="G276" s="597" t="s">
        <v>766</v>
      </c>
      <c r="H276" s="597" t="s">
        <v>767</v>
      </c>
      <c r="I276" s="1020">
        <v>0.01</v>
      </c>
      <c r="J276" s="1020">
        <f t="shared" si="12"/>
        <v>1</v>
      </c>
      <c r="K276" s="1020"/>
      <c r="L276" s="1020">
        <v>0.49</v>
      </c>
      <c r="M276" s="597" t="s">
        <v>600</v>
      </c>
      <c r="N276" s="597" t="s">
        <v>765</v>
      </c>
      <c r="O276" s="1020">
        <v>0</v>
      </c>
      <c r="P276" s="597" t="s">
        <v>766</v>
      </c>
      <c r="Q276" s="597" t="s">
        <v>767</v>
      </c>
      <c r="R276" s="1020">
        <v>0.01</v>
      </c>
      <c r="S276" s="1020">
        <f t="shared" si="13"/>
        <v>0.5</v>
      </c>
      <c r="T276" s="947"/>
      <c r="U276" s="877"/>
      <c r="V276" s="877"/>
      <c r="W276" s="877"/>
      <c r="X276" s="937" t="s">
        <v>1005</v>
      </c>
      <c r="Y276" s="924"/>
      <c r="Z276" s="883"/>
      <c r="AA276" s="925"/>
      <c r="AB276" s="914" t="s">
        <v>1005</v>
      </c>
      <c r="AC276" s="1011" t="s">
        <v>1206</v>
      </c>
      <c r="AD276" s="1011" t="s">
        <v>1206</v>
      </c>
      <c r="AE276" s="1011" t="s">
        <v>1206</v>
      </c>
      <c r="AF276" s="1011" t="s">
        <v>1206</v>
      </c>
      <c r="AG276" s="1112"/>
      <c r="AH276" s="1011" t="b">
        <f t="shared" si="14"/>
        <v>1</v>
      </c>
      <c r="AI276" s="1011" t="s">
        <v>453</v>
      </c>
      <c r="AJ276" s="1011" t="s">
        <v>452</v>
      </c>
      <c r="AK276" s="1011" t="s">
        <v>1971</v>
      </c>
      <c r="AL276" s="1011" t="s">
        <v>1972</v>
      </c>
    </row>
    <row r="277" spans="1:43" ht="15.75" customHeight="1" x14ac:dyDescent="0.2">
      <c r="A277" s="1018" t="s">
        <v>455</v>
      </c>
      <c r="B277" s="1019" t="s">
        <v>454</v>
      </c>
      <c r="C277" s="1020">
        <v>0.4</v>
      </c>
      <c r="D277" s="597" t="s">
        <v>749</v>
      </c>
      <c r="E277" s="597" t="s">
        <v>750</v>
      </c>
      <c r="F277" s="1020">
        <v>0.09</v>
      </c>
      <c r="G277" s="597" t="s">
        <v>747</v>
      </c>
      <c r="H277" s="597" t="s">
        <v>748</v>
      </c>
      <c r="I277" s="1020">
        <v>0.01</v>
      </c>
      <c r="J277" s="1020">
        <f t="shared" si="12"/>
        <v>0.5</v>
      </c>
      <c r="K277" s="1020"/>
      <c r="L277" s="1020">
        <v>0.4</v>
      </c>
      <c r="M277" s="597" t="s">
        <v>749</v>
      </c>
      <c r="N277" s="597" t="s">
        <v>750</v>
      </c>
      <c r="O277" s="1020">
        <v>0.09</v>
      </c>
      <c r="P277" s="597" t="s">
        <v>747</v>
      </c>
      <c r="Q277" s="597" t="s">
        <v>748</v>
      </c>
      <c r="R277" s="1020">
        <v>0.01</v>
      </c>
      <c r="S277" s="1020">
        <f t="shared" si="13"/>
        <v>0.5</v>
      </c>
      <c r="T277" s="947"/>
      <c r="U277" s="877"/>
      <c r="V277" s="877"/>
      <c r="W277" s="877"/>
      <c r="X277" s="1015"/>
      <c r="Y277" s="924"/>
      <c r="Z277" s="883"/>
      <c r="AA277" s="925"/>
      <c r="AB277" s="912"/>
      <c r="AC277" s="1011" t="s">
        <v>1206</v>
      </c>
      <c r="AD277" s="1011" t="s">
        <v>1206</v>
      </c>
      <c r="AE277" s="1011" t="s">
        <v>1206</v>
      </c>
      <c r="AF277" s="1011" t="s">
        <v>1206</v>
      </c>
      <c r="AH277" s="1011" t="b">
        <f t="shared" si="14"/>
        <v>1</v>
      </c>
      <c r="AI277" s="1011" t="s">
        <v>455</v>
      </c>
      <c r="AJ277" s="1011" t="s">
        <v>454</v>
      </c>
      <c r="AK277" s="1011" t="s">
        <v>1973</v>
      </c>
      <c r="AL277" s="1011" t="s">
        <v>1974</v>
      </c>
    </row>
    <row r="278" spans="1:43" ht="15.75" customHeight="1" x14ac:dyDescent="0.2">
      <c r="A278" s="1018" t="s">
        <v>457</v>
      </c>
      <c r="B278" s="1019" t="s">
        <v>456</v>
      </c>
      <c r="C278" s="1020">
        <v>0.4</v>
      </c>
      <c r="D278" s="597" t="s">
        <v>753</v>
      </c>
      <c r="E278" s="597" t="s">
        <v>754</v>
      </c>
      <c r="F278" s="1020">
        <v>0.1</v>
      </c>
      <c r="G278" s="597" t="s">
        <v>600</v>
      </c>
      <c r="H278" s="597" t="s">
        <v>639</v>
      </c>
      <c r="I278" s="1020">
        <v>0</v>
      </c>
      <c r="J278" s="1020">
        <f t="shared" si="12"/>
        <v>0.5</v>
      </c>
      <c r="K278" s="1020"/>
      <c r="L278" s="1020">
        <v>0.4</v>
      </c>
      <c r="M278" s="597" t="s">
        <v>753</v>
      </c>
      <c r="N278" s="597" t="s">
        <v>754</v>
      </c>
      <c r="O278" s="1020">
        <v>0.1</v>
      </c>
      <c r="P278" s="597" t="s">
        <v>600</v>
      </c>
      <c r="Q278" s="597" t="s">
        <v>639</v>
      </c>
      <c r="R278" s="1020">
        <v>0</v>
      </c>
      <c r="S278" s="1020">
        <f t="shared" si="13"/>
        <v>0.5</v>
      </c>
      <c r="T278" s="947"/>
      <c r="U278" s="877"/>
      <c r="V278" s="877"/>
      <c r="W278" s="877"/>
      <c r="X278" s="1015"/>
      <c r="Y278" s="924"/>
      <c r="Z278" s="883"/>
      <c r="AA278" s="925"/>
      <c r="AB278" s="912"/>
      <c r="AC278" s="1011" t="s">
        <v>1206</v>
      </c>
      <c r="AD278" s="1011" t="s">
        <v>1206</v>
      </c>
      <c r="AE278" s="1011" t="s">
        <v>1206</v>
      </c>
      <c r="AF278" s="1011" t="s">
        <v>1206</v>
      </c>
      <c r="AH278" s="1011" t="b">
        <f t="shared" si="14"/>
        <v>1</v>
      </c>
      <c r="AI278" s="1011" t="s">
        <v>457</v>
      </c>
      <c r="AJ278" s="1011" t="s">
        <v>456</v>
      </c>
      <c r="AK278" s="1011" t="s">
        <v>1975</v>
      </c>
      <c r="AL278" s="1011" t="s">
        <v>1976</v>
      </c>
      <c r="AM278" s="1011" t="s">
        <v>1977</v>
      </c>
      <c r="AN278" s="1011" t="s">
        <v>1978</v>
      </c>
      <c r="AO278" s="1011" t="s">
        <v>1976</v>
      </c>
      <c r="AP278" s="1011" t="s">
        <v>1979</v>
      </c>
      <c r="AQ278" s="1011" t="s">
        <v>1975</v>
      </c>
    </row>
    <row r="279" spans="1:43" ht="15.75" customHeight="1" x14ac:dyDescent="0.2">
      <c r="A279" s="1018" t="s">
        <v>459</v>
      </c>
      <c r="B279" s="1019" t="s">
        <v>458</v>
      </c>
      <c r="C279" s="1020">
        <v>0.4</v>
      </c>
      <c r="D279" s="597" t="s">
        <v>744</v>
      </c>
      <c r="E279" s="597" t="s">
        <v>745</v>
      </c>
      <c r="F279" s="1020">
        <v>0.09</v>
      </c>
      <c r="G279" s="597" t="s">
        <v>649</v>
      </c>
      <c r="H279" s="597" t="s">
        <v>650</v>
      </c>
      <c r="I279" s="1020">
        <v>0.01</v>
      </c>
      <c r="J279" s="1020">
        <f t="shared" si="12"/>
        <v>0.5</v>
      </c>
      <c r="K279" s="1020"/>
      <c r="L279" s="1020">
        <v>0.4</v>
      </c>
      <c r="M279" s="597" t="s">
        <v>744</v>
      </c>
      <c r="N279" s="597" t="s">
        <v>745</v>
      </c>
      <c r="O279" s="1020">
        <v>0.09</v>
      </c>
      <c r="P279" s="597" t="s">
        <v>649</v>
      </c>
      <c r="Q279" s="597" t="s">
        <v>650</v>
      </c>
      <c r="R279" s="1020">
        <v>0.01</v>
      </c>
      <c r="S279" s="1020">
        <f t="shared" si="13"/>
        <v>0.5</v>
      </c>
      <c r="T279" s="947"/>
      <c r="U279" s="877"/>
      <c r="V279" s="877"/>
      <c r="W279" s="877"/>
      <c r="X279" s="1015"/>
      <c r="Y279" s="924"/>
      <c r="Z279" s="883"/>
      <c r="AA279" s="925"/>
      <c r="AB279" s="912"/>
      <c r="AC279" s="1011" t="s">
        <v>1206</v>
      </c>
      <c r="AD279" s="1011" t="s">
        <v>1206</v>
      </c>
      <c r="AE279" s="1011" t="s">
        <v>1206</v>
      </c>
      <c r="AF279" s="1011" t="s">
        <v>1206</v>
      </c>
      <c r="AH279" s="1011" t="b">
        <f t="shared" si="14"/>
        <v>1</v>
      </c>
      <c r="AI279" s="1011" t="s">
        <v>459</v>
      </c>
      <c r="AJ279" s="1011" t="s">
        <v>458</v>
      </c>
      <c r="AK279" s="1011" t="s">
        <v>1980</v>
      </c>
      <c r="AL279" s="1011" t="s">
        <v>1981</v>
      </c>
      <c r="AM279" s="1011" t="s">
        <v>1982</v>
      </c>
      <c r="AN279" s="1011" t="s">
        <v>1983</v>
      </c>
    </row>
    <row r="280" spans="1:43" ht="15.75" customHeight="1" x14ac:dyDescent="0.2">
      <c r="A280" s="1018" t="s">
        <v>461</v>
      </c>
      <c r="B280" s="1019" t="s">
        <v>460</v>
      </c>
      <c r="C280" s="1020">
        <v>0.4</v>
      </c>
      <c r="D280" s="597" t="s">
        <v>652</v>
      </c>
      <c r="E280" s="597" t="s">
        <v>653</v>
      </c>
      <c r="F280" s="1020">
        <v>0.09</v>
      </c>
      <c r="G280" s="597" t="s">
        <v>649</v>
      </c>
      <c r="H280" s="597" t="s">
        <v>650</v>
      </c>
      <c r="I280" s="1020">
        <v>0.01</v>
      </c>
      <c r="J280" s="1020">
        <f t="shared" si="12"/>
        <v>0.5</v>
      </c>
      <c r="K280" s="1020"/>
      <c r="L280" s="1020">
        <v>0.4</v>
      </c>
      <c r="M280" s="597" t="s">
        <v>652</v>
      </c>
      <c r="N280" s="597" t="s">
        <v>653</v>
      </c>
      <c r="O280" s="1020">
        <v>0.09</v>
      </c>
      <c r="P280" s="597" t="s">
        <v>649</v>
      </c>
      <c r="Q280" s="597" t="s">
        <v>650</v>
      </c>
      <c r="R280" s="1020">
        <v>0.01</v>
      </c>
      <c r="S280" s="1020">
        <f t="shared" si="13"/>
        <v>0.5</v>
      </c>
      <c r="T280" s="947"/>
      <c r="U280" s="877"/>
      <c r="V280" s="877"/>
      <c r="W280" s="877"/>
      <c r="X280" s="1015"/>
      <c r="Y280" s="924"/>
      <c r="Z280" s="883"/>
      <c r="AA280" s="925"/>
      <c r="AB280" s="912"/>
      <c r="AC280" s="1011" t="s">
        <v>1206</v>
      </c>
      <c r="AD280" s="1011" t="s">
        <v>1206</v>
      </c>
      <c r="AE280" s="1011" t="s">
        <v>1206</v>
      </c>
      <c r="AF280" s="1011" t="s">
        <v>1206</v>
      </c>
      <c r="AH280" s="1011" t="b">
        <f t="shared" si="14"/>
        <v>1</v>
      </c>
      <c r="AI280" s="1011" t="s">
        <v>461</v>
      </c>
      <c r="AJ280" s="1011" t="s">
        <v>460</v>
      </c>
      <c r="AK280" s="1011" t="s">
        <v>1984</v>
      </c>
      <c r="AL280" s="1011" t="s">
        <v>1985</v>
      </c>
    </row>
    <row r="281" spans="1:43" ht="15.75" customHeight="1" x14ac:dyDescent="0.2">
      <c r="A281" s="1018" t="s">
        <v>463</v>
      </c>
      <c r="B281" s="1021" t="s">
        <v>741</v>
      </c>
      <c r="C281" s="1020">
        <v>0.49</v>
      </c>
      <c r="D281" s="597" t="s">
        <v>600</v>
      </c>
      <c r="E281" s="597" t="s">
        <v>601</v>
      </c>
      <c r="F281" s="1020">
        <v>0</v>
      </c>
      <c r="G281" s="597" t="s">
        <v>742</v>
      </c>
      <c r="H281" s="597" t="s">
        <v>743</v>
      </c>
      <c r="I281" s="1020">
        <v>0.01</v>
      </c>
      <c r="J281" s="1020">
        <f t="shared" si="12"/>
        <v>0.5</v>
      </c>
      <c r="K281" s="1020"/>
      <c r="L281" s="1020">
        <v>0.49</v>
      </c>
      <c r="M281" s="597" t="s">
        <v>600</v>
      </c>
      <c r="N281" s="597" t="s">
        <v>601</v>
      </c>
      <c r="O281" s="1020">
        <v>0</v>
      </c>
      <c r="P281" s="597" t="s">
        <v>742</v>
      </c>
      <c r="Q281" s="597" t="s">
        <v>743</v>
      </c>
      <c r="R281" s="1020">
        <v>0.01</v>
      </c>
      <c r="S281" s="1020">
        <f t="shared" si="13"/>
        <v>0.5</v>
      </c>
      <c r="T281" s="947"/>
      <c r="U281" s="877"/>
      <c r="V281" s="877"/>
      <c r="W281" s="877"/>
      <c r="X281" s="937" t="s">
        <v>1005</v>
      </c>
      <c r="Y281" s="924"/>
      <c r="Z281" s="883"/>
      <c r="AA281" s="925"/>
      <c r="AB281" s="914" t="s">
        <v>1005</v>
      </c>
      <c r="AC281" s="1011" t="s">
        <v>1206</v>
      </c>
      <c r="AD281" s="1011" t="s">
        <v>1206</v>
      </c>
      <c r="AE281" s="1011" t="s">
        <v>1206</v>
      </c>
      <c r="AF281" s="1011" t="s">
        <v>1206</v>
      </c>
      <c r="AH281" s="1011" t="b">
        <f t="shared" si="14"/>
        <v>1</v>
      </c>
      <c r="AI281" s="1011" t="s">
        <v>463</v>
      </c>
      <c r="AJ281" s="1011" t="s">
        <v>462</v>
      </c>
      <c r="AK281" s="1011" t="s">
        <v>1986</v>
      </c>
      <c r="AL281" s="1011" t="s">
        <v>1987</v>
      </c>
    </row>
    <row r="282" spans="1:43" ht="15.75" customHeight="1" x14ac:dyDescent="0.2">
      <c r="A282" s="1018" t="s">
        <v>465</v>
      </c>
      <c r="B282" s="1019" t="s">
        <v>464</v>
      </c>
      <c r="C282" s="1020">
        <v>0.4</v>
      </c>
      <c r="D282" s="597" t="s">
        <v>673</v>
      </c>
      <c r="E282" s="597" t="s">
        <v>674</v>
      </c>
      <c r="F282" s="1020">
        <v>0.09</v>
      </c>
      <c r="G282" s="597" t="s">
        <v>670</v>
      </c>
      <c r="H282" s="597" t="s">
        <v>671</v>
      </c>
      <c r="I282" s="1020">
        <v>0.01</v>
      </c>
      <c r="J282" s="1020">
        <f t="shared" si="12"/>
        <v>0.5</v>
      </c>
      <c r="K282" s="1020"/>
      <c r="L282" s="1020">
        <v>0.4</v>
      </c>
      <c r="M282" s="597" t="s">
        <v>673</v>
      </c>
      <c r="N282" s="597" t="s">
        <v>674</v>
      </c>
      <c r="O282" s="1020">
        <v>0.09</v>
      </c>
      <c r="P282" s="597" t="s">
        <v>670</v>
      </c>
      <c r="Q282" s="597" t="s">
        <v>671</v>
      </c>
      <c r="R282" s="1020">
        <v>0.01</v>
      </c>
      <c r="S282" s="1020">
        <f t="shared" si="13"/>
        <v>0.5</v>
      </c>
      <c r="T282" s="947"/>
      <c r="U282" s="877"/>
      <c r="V282" s="877"/>
      <c r="W282" s="877"/>
      <c r="X282" s="1015"/>
      <c r="Y282" s="924"/>
      <c r="Z282" s="883"/>
      <c r="AA282" s="925"/>
      <c r="AB282" s="912"/>
      <c r="AC282" s="1011" t="s">
        <v>1206</v>
      </c>
      <c r="AD282" s="1011" t="s">
        <v>1206</v>
      </c>
      <c r="AE282" s="1011" t="s">
        <v>1206</v>
      </c>
      <c r="AF282" s="1011" t="s">
        <v>1206</v>
      </c>
      <c r="AH282" s="1011" t="b">
        <f t="shared" si="14"/>
        <v>1</v>
      </c>
      <c r="AI282" s="1011" t="s">
        <v>465</v>
      </c>
      <c r="AJ282" s="1011" t="s">
        <v>464</v>
      </c>
      <c r="AK282" s="1011" t="s">
        <v>1988</v>
      </c>
      <c r="AL282" s="1011" t="s">
        <v>1989</v>
      </c>
    </row>
    <row r="283" spans="1:43" ht="15.75" customHeight="1" x14ac:dyDescent="0.2">
      <c r="A283" s="1018" t="s">
        <v>467</v>
      </c>
      <c r="B283" s="1019" t="s">
        <v>466</v>
      </c>
      <c r="C283" s="1020">
        <v>0.4</v>
      </c>
      <c r="D283" s="597" t="s">
        <v>685</v>
      </c>
      <c r="E283" s="597" t="s">
        <v>686</v>
      </c>
      <c r="F283" s="1020">
        <v>0.09</v>
      </c>
      <c r="G283" s="597" t="s">
        <v>682</v>
      </c>
      <c r="H283" s="597" t="s">
        <v>683</v>
      </c>
      <c r="I283" s="1020">
        <v>0.01</v>
      </c>
      <c r="J283" s="1020">
        <f t="shared" si="12"/>
        <v>0.5</v>
      </c>
      <c r="K283" s="1020"/>
      <c r="L283" s="1020">
        <v>0.4</v>
      </c>
      <c r="M283" s="597" t="s">
        <v>685</v>
      </c>
      <c r="N283" s="597" t="s">
        <v>686</v>
      </c>
      <c r="O283" s="1020">
        <v>0.09</v>
      </c>
      <c r="P283" s="597" t="s">
        <v>682</v>
      </c>
      <c r="Q283" s="597" t="s">
        <v>683</v>
      </c>
      <c r="R283" s="1020">
        <v>0.01</v>
      </c>
      <c r="S283" s="1020">
        <f t="shared" si="13"/>
        <v>0.5</v>
      </c>
      <c r="T283" s="947"/>
      <c r="U283" s="877"/>
      <c r="V283" s="877"/>
      <c r="W283" s="877"/>
      <c r="X283" s="1015"/>
      <c r="Y283" s="924"/>
      <c r="Z283" s="883"/>
      <c r="AA283" s="925"/>
      <c r="AB283" s="912"/>
      <c r="AC283" s="1011" t="s">
        <v>1206</v>
      </c>
      <c r="AD283" s="1011" t="s">
        <v>1206</v>
      </c>
      <c r="AE283" s="1011" t="s">
        <v>1206</v>
      </c>
      <c r="AF283" s="1011" t="s">
        <v>1206</v>
      </c>
      <c r="AH283" s="1011" t="b">
        <f t="shared" si="14"/>
        <v>1</v>
      </c>
      <c r="AI283" s="1011" t="s">
        <v>467</v>
      </c>
      <c r="AJ283" s="1011" t="s">
        <v>466</v>
      </c>
      <c r="AK283" s="1011" t="s">
        <v>1990</v>
      </c>
      <c r="AL283" s="1011" t="s">
        <v>1991</v>
      </c>
      <c r="AO283" s="1011" t="s">
        <v>1991</v>
      </c>
      <c r="AP283" s="1011" t="s">
        <v>1992</v>
      </c>
      <c r="AQ283" s="1011" t="s">
        <v>1990</v>
      </c>
    </row>
    <row r="284" spans="1:43" ht="15.75" customHeight="1" x14ac:dyDescent="0.2">
      <c r="A284" s="1018" t="s">
        <v>469</v>
      </c>
      <c r="B284" s="1019" t="s">
        <v>468</v>
      </c>
      <c r="C284" s="1020">
        <v>0.4</v>
      </c>
      <c r="D284" s="597" t="s">
        <v>675</v>
      </c>
      <c r="E284" s="597" t="s">
        <v>680</v>
      </c>
      <c r="F284" s="1020">
        <v>0.1</v>
      </c>
      <c r="G284" s="597" t="s">
        <v>600</v>
      </c>
      <c r="H284" s="597" t="s">
        <v>639</v>
      </c>
      <c r="I284" s="1020">
        <v>0</v>
      </c>
      <c r="J284" s="1020">
        <f t="shared" si="12"/>
        <v>0.5</v>
      </c>
      <c r="K284" s="1020"/>
      <c r="L284" s="1020">
        <v>0.4</v>
      </c>
      <c r="M284" s="597" t="s">
        <v>675</v>
      </c>
      <c r="N284" s="597" t="s">
        <v>680</v>
      </c>
      <c r="O284" s="1020">
        <v>0.1</v>
      </c>
      <c r="P284" s="597" t="s">
        <v>600</v>
      </c>
      <c r="Q284" s="597" t="s">
        <v>639</v>
      </c>
      <c r="R284" s="1020">
        <v>0</v>
      </c>
      <c r="S284" s="1020">
        <f t="shared" si="13"/>
        <v>0.5</v>
      </c>
      <c r="T284" s="947"/>
      <c r="U284" s="877"/>
      <c r="V284" s="877"/>
      <c r="W284" s="877"/>
      <c r="X284" s="1015"/>
      <c r="Y284" s="924"/>
      <c r="Z284" s="883"/>
      <c r="AA284" s="925"/>
      <c r="AB284" s="912"/>
      <c r="AC284" s="1011" t="s">
        <v>1206</v>
      </c>
      <c r="AD284" s="1011" t="s">
        <v>1206</v>
      </c>
      <c r="AE284" s="1011" t="s">
        <v>1206</v>
      </c>
      <c r="AF284" s="1011" t="s">
        <v>1206</v>
      </c>
      <c r="AH284" s="1011" t="b">
        <f t="shared" si="14"/>
        <v>1</v>
      </c>
      <c r="AI284" s="1011" t="s">
        <v>469</v>
      </c>
      <c r="AJ284" s="1011" t="s">
        <v>468</v>
      </c>
      <c r="AK284" s="1011" t="s">
        <v>1993</v>
      </c>
      <c r="AL284" s="1011" t="s">
        <v>1994</v>
      </c>
      <c r="AM284" s="1011" t="s">
        <v>1995</v>
      </c>
      <c r="AN284" s="1011" t="s">
        <v>1996</v>
      </c>
      <c r="AO284" s="1011" t="s">
        <v>1994</v>
      </c>
      <c r="AP284" s="1011">
        <v>1684272119</v>
      </c>
      <c r="AQ284" s="1011" t="s">
        <v>1993</v>
      </c>
    </row>
    <row r="285" spans="1:43" ht="15.75" customHeight="1" x14ac:dyDescent="0.2">
      <c r="A285" s="1018" t="s">
        <v>471</v>
      </c>
      <c r="B285" s="1019" t="s">
        <v>470</v>
      </c>
      <c r="C285" s="1020">
        <v>0.4</v>
      </c>
      <c r="D285" s="597" t="s">
        <v>704</v>
      </c>
      <c r="E285" s="597" t="s">
        <v>705</v>
      </c>
      <c r="F285" s="1020">
        <v>0.09</v>
      </c>
      <c r="G285" s="597" t="s">
        <v>702</v>
      </c>
      <c r="H285" s="597" t="s">
        <v>703</v>
      </c>
      <c r="I285" s="1020">
        <v>0.01</v>
      </c>
      <c r="J285" s="1020">
        <f t="shared" si="12"/>
        <v>0.5</v>
      </c>
      <c r="K285" s="1020"/>
      <c r="L285" s="1020">
        <v>0.4</v>
      </c>
      <c r="M285" s="597" t="s">
        <v>704</v>
      </c>
      <c r="N285" s="597" t="s">
        <v>705</v>
      </c>
      <c r="O285" s="1020">
        <v>0.09</v>
      </c>
      <c r="P285" s="597" t="s">
        <v>702</v>
      </c>
      <c r="Q285" s="597" t="s">
        <v>703</v>
      </c>
      <c r="R285" s="1020">
        <v>0.01</v>
      </c>
      <c r="S285" s="1020">
        <f t="shared" si="13"/>
        <v>0.5</v>
      </c>
      <c r="T285" s="947"/>
      <c r="U285" s="877"/>
      <c r="V285" s="877"/>
      <c r="W285" s="877"/>
      <c r="X285" s="1015"/>
      <c r="Y285" s="924"/>
      <c r="Z285" s="883"/>
      <c r="AA285" s="925"/>
      <c r="AB285" s="912"/>
      <c r="AC285" s="1011" t="s">
        <v>1206</v>
      </c>
      <c r="AD285" s="1011" t="s">
        <v>1206</v>
      </c>
      <c r="AE285" s="1011" t="s">
        <v>1206</v>
      </c>
      <c r="AF285" s="1011" t="s">
        <v>1206</v>
      </c>
      <c r="AH285" s="1011" t="b">
        <f t="shared" si="14"/>
        <v>1</v>
      </c>
      <c r="AI285" s="1011" t="s">
        <v>471</v>
      </c>
      <c r="AJ285" s="1011" t="s">
        <v>470</v>
      </c>
      <c r="AK285" s="1011" t="s">
        <v>1997</v>
      </c>
      <c r="AL285" s="1011" t="s">
        <v>1998</v>
      </c>
      <c r="AM285" s="1011" t="s">
        <v>1999</v>
      </c>
      <c r="AN285" s="1011" t="s">
        <v>2000</v>
      </c>
    </row>
    <row r="286" spans="1:43" ht="15.75" customHeight="1" x14ac:dyDescent="0.2">
      <c r="A286" s="1018" t="s">
        <v>473</v>
      </c>
      <c r="B286" s="1019" t="s">
        <v>472</v>
      </c>
      <c r="C286" s="1020">
        <v>0.4</v>
      </c>
      <c r="D286" s="597" t="s">
        <v>692</v>
      </c>
      <c r="E286" s="597" t="s">
        <v>693</v>
      </c>
      <c r="F286" s="1020">
        <v>0.1</v>
      </c>
      <c r="G286" s="597" t="s">
        <v>600</v>
      </c>
      <c r="H286" s="597" t="s">
        <v>639</v>
      </c>
      <c r="I286" s="1020">
        <v>0</v>
      </c>
      <c r="J286" s="1020">
        <f t="shared" si="12"/>
        <v>0.5</v>
      </c>
      <c r="K286" s="1020"/>
      <c r="L286" s="1020">
        <v>0.4</v>
      </c>
      <c r="M286" s="597" t="s">
        <v>692</v>
      </c>
      <c r="N286" s="597" t="s">
        <v>693</v>
      </c>
      <c r="O286" s="1020">
        <v>0.1</v>
      </c>
      <c r="P286" s="597" t="s">
        <v>600</v>
      </c>
      <c r="Q286" s="597" t="s">
        <v>639</v>
      </c>
      <c r="R286" s="1020">
        <v>0</v>
      </c>
      <c r="S286" s="1020">
        <f t="shared" si="13"/>
        <v>0.5</v>
      </c>
      <c r="T286" s="947"/>
      <c r="U286" s="877"/>
      <c r="V286" s="877"/>
      <c r="W286" s="877"/>
      <c r="X286" s="1015"/>
      <c r="Y286" s="924"/>
      <c r="Z286" s="883"/>
      <c r="AA286" s="925"/>
      <c r="AB286" s="912"/>
      <c r="AC286" s="1011" t="s">
        <v>1206</v>
      </c>
      <c r="AD286" s="1011" t="s">
        <v>1206</v>
      </c>
      <c r="AE286" s="1011" t="s">
        <v>1206</v>
      </c>
      <c r="AF286" s="1011" t="s">
        <v>1206</v>
      </c>
      <c r="AH286" s="1011" t="b">
        <f t="shared" si="14"/>
        <v>1</v>
      </c>
      <c r="AI286" s="1011" t="s">
        <v>473</v>
      </c>
      <c r="AJ286" s="1011" t="s">
        <v>472</v>
      </c>
      <c r="AK286" s="1011" t="s">
        <v>2001</v>
      </c>
      <c r="AL286" s="1011" t="s">
        <v>2002</v>
      </c>
    </row>
    <row r="287" spans="1:43" ht="15.75" customHeight="1" x14ac:dyDescent="0.2">
      <c r="A287" s="1018" t="s">
        <v>475</v>
      </c>
      <c r="B287" s="1019" t="s">
        <v>672</v>
      </c>
      <c r="C287" s="1020">
        <v>0.49</v>
      </c>
      <c r="D287" s="597" t="s">
        <v>600</v>
      </c>
      <c r="E287" s="597" t="s">
        <v>601</v>
      </c>
      <c r="F287" s="1020">
        <v>0</v>
      </c>
      <c r="G287" s="597" t="s">
        <v>670</v>
      </c>
      <c r="H287" s="597" t="s">
        <v>671</v>
      </c>
      <c r="I287" s="1020">
        <v>0.01</v>
      </c>
      <c r="J287" s="1020">
        <f t="shared" si="12"/>
        <v>0.5</v>
      </c>
      <c r="K287" s="1020"/>
      <c r="L287" s="1020">
        <v>0.49</v>
      </c>
      <c r="M287" s="597" t="s">
        <v>600</v>
      </c>
      <c r="N287" s="597" t="s">
        <v>601</v>
      </c>
      <c r="O287" s="1020">
        <v>0</v>
      </c>
      <c r="P287" s="597" t="s">
        <v>670</v>
      </c>
      <c r="Q287" s="597" t="s">
        <v>671</v>
      </c>
      <c r="R287" s="1020">
        <v>0.01</v>
      </c>
      <c r="S287" s="1020">
        <f t="shared" si="13"/>
        <v>0.5</v>
      </c>
      <c r="T287" s="947"/>
      <c r="U287" s="877"/>
      <c r="V287" s="877"/>
      <c r="W287" s="877"/>
      <c r="X287" s="937" t="s">
        <v>1005</v>
      </c>
      <c r="Y287" s="924"/>
      <c r="Z287" s="883"/>
      <c r="AA287" s="925"/>
      <c r="AB287" s="914" t="s">
        <v>1005</v>
      </c>
      <c r="AC287" s="1011" t="s">
        <v>1206</v>
      </c>
      <c r="AD287" s="1011" t="s">
        <v>1206</v>
      </c>
      <c r="AE287" s="1011" t="s">
        <v>1206</v>
      </c>
      <c r="AF287" s="1011" t="s">
        <v>1206</v>
      </c>
      <c r="AH287" s="1011" t="b">
        <f t="shared" si="14"/>
        <v>1</v>
      </c>
      <c r="AI287" s="1011" t="s">
        <v>475</v>
      </c>
      <c r="AJ287" s="1011" t="s">
        <v>474</v>
      </c>
      <c r="AK287" s="1011" t="s">
        <v>2003</v>
      </c>
      <c r="AL287" s="1011" t="s">
        <v>2004</v>
      </c>
    </row>
    <row r="288" spans="1:43" ht="15.75" customHeight="1" x14ac:dyDescent="0.2">
      <c r="A288" s="1018" t="s">
        <v>477</v>
      </c>
      <c r="B288" s="1019" t="s">
        <v>706</v>
      </c>
      <c r="C288" s="1020">
        <v>0.4</v>
      </c>
      <c r="D288" s="597" t="s">
        <v>704</v>
      </c>
      <c r="E288" s="597" t="s">
        <v>705</v>
      </c>
      <c r="F288" s="1020">
        <v>0.09</v>
      </c>
      <c r="G288" s="597" t="s">
        <v>702</v>
      </c>
      <c r="H288" s="597" t="s">
        <v>703</v>
      </c>
      <c r="I288" s="1020">
        <v>0.01</v>
      </c>
      <c r="J288" s="1020">
        <f t="shared" si="12"/>
        <v>0.5</v>
      </c>
      <c r="K288" s="1020"/>
      <c r="L288" s="1020">
        <v>0.4</v>
      </c>
      <c r="M288" s="597" t="s">
        <v>704</v>
      </c>
      <c r="N288" s="597" t="s">
        <v>705</v>
      </c>
      <c r="O288" s="1020">
        <v>0.09</v>
      </c>
      <c r="P288" s="597" t="s">
        <v>702</v>
      </c>
      <c r="Q288" s="597" t="s">
        <v>703</v>
      </c>
      <c r="R288" s="1020">
        <v>0.01</v>
      </c>
      <c r="S288" s="1020">
        <f t="shared" si="13"/>
        <v>0.5</v>
      </c>
      <c r="T288" s="1106" t="s">
        <v>1005</v>
      </c>
      <c r="U288" s="1107" t="s">
        <v>2257</v>
      </c>
      <c r="V288" s="877"/>
      <c r="W288" s="877"/>
      <c r="X288" s="1015"/>
      <c r="Y288" s="924"/>
      <c r="Z288" s="883"/>
      <c r="AA288" s="925"/>
      <c r="AB288" s="912"/>
      <c r="AC288" s="1011" t="s">
        <v>1206</v>
      </c>
      <c r="AD288" s="1011" t="s">
        <v>1206</v>
      </c>
      <c r="AE288" s="1011" t="s">
        <v>1206</v>
      </c>
      <c r="AF288" s="1011" t="s">
        <v>1206</v>
      </c>
      <c r="AH288" s="1011" t="b">
        <f t="shared" si="14"/>
        <v>1</v>
      </c>
      <c r="AI288" s="1011" t="s">
        <v>477</v>
      </c>
      <c r="AJ288" s="1011" t="s">
        <v>476</v>
      </c>
      <c r="AK288" s="1011" t="s">
        <v>2005</v>
      </c>
      <c r="AL288" s="1011" t="s">
        <v>2006</v>
      </c>
      <c r="AM288" s="1011" t="s">
        <v>2007</v>
      </c>
      <c r="AN288" s="1011" t="s">
        <v>2008</v>
      </c>
      <c r="AO288" s="1011" t="s">
        <v>2008</v>
      </c>
      <c r="AP288" s="1011" t="s">
        <v>2009</v>
      </c>
      <c r="AQ288" s="1011" t="s">
        <v>2010</v>
      </c>
    </row>
    <row r="289" spans="1:43" ht="15.75" customHeight="1" x14ac:dyDescent="0.2">
      <c r="A289" s="1018" t="s">
        <v>479</v>
      </c>
      <c r="B289" s="1019" t="s">
        <v>651</v>
      </c>
      <c r="C289" s="1020">
        <v>0.49</v>
      </c>
      <c r="D289" s="597" t="s">
        <v>600</v>
      </c>
      <c r="E289" s="597" t="s">
        <v>601</v>
      </c>
      <c r="F289" s="1020">
        <v>0</v>
      </c>
      <c r="G289" s="597" t="s">
        <v>649</v>
      </c>
      <c r="H289" s="597" t="s">
        <v>650</v>
      </c>
      <c r="I289" s="1020">
        <v>0.01</v>
      </c>
      <c r="J289" s="1020">
        <f t="shared" si="12"/>
        <v>0.5</v>
      </c>
      <c r="K289" s="1020"/>
      <c r="L289" s="1020">
        <v>0.49</v>
      </c>
      <c r="M289" s="597" t="s">
        <v>600</v>
      </c>
      <c r="N289" s="597" t="s">
        <v>601</v>
      </c>
      <c r="O289" s="1020">
        <v>0</v>
      </c>
      <c r="P289" s="597" t="s">
        <v>649</v>
      </c>
      <c r="Q289" s="597" t="s">
        <v>650</v>
      </c>
      <c r="R289" s="1020">
        <v>0.01</v>
      </c>
      <c r="S289" s="1020">
        <f t="shared" si="13"/>
        <v>0.5</v>
      </c>
      <c r="T289" s="947"/>
      <c r="U289" s="877"/>
      <c r="V289" s="877"/>
      <c r="W289" s="877"/>
      <c r="X289" s="937" t="s">
        <v>1005</v>
      </c>
      <c r="Y289" s="924"/>
      <c r="Z289" s="883"/>
      <c r="AA289" s="925"/>
      <c r="AB289" s="914" t="s">
        <v>1005</v>
      </c>
      <c r="AC289" s="1011" t="s">
        <v>1206</v>
      </c>
      <c r="AD289" s="1011" t="s">
        <v>1206</v>
      </c>
      <c r="AE289" s="1011" t="s">
        <v>1206</v>
      </c>
      <c r="AF289" s="1011" t="s">
        <v>1206</v>
      </c>
      <c r="AH289" s="1011" t="b">
        <f t="shared" si="14"/>
        <v>1</v>
      </c>
      <c r="AI289" s="1011" t="s">
        <v>479</v>
      </c>
      <c r="AJ289" s="1011" t="s">
        <v>478</v>
      </c>
      <c r="AK289" s="1011" t="s">
        <v>2011</v>
      </c>
      <c r="AL289" s="1011" t="s">
        <v>2012</v>
      </c>
      <c r="AM289" s="1011" t="s">
        <v>2013</v>
      </c>
      <c r="AN289" s="1011" t="s">
        <v>2014</v>
      </c>
    </row>
    <row r="290" spans="1:43" ht="15.75" customHeight="1" x14ac:dyDescent="0.2">
      <c r="A290" s="1018" t="s">
        <v>481</v>
      </c>
      <c r="B290" s="1019" t="s">
        <v>480</v>
      </c>
      <c r="C290" s="1020">
        <v>0.4</v>
      </c>
      <c r="D290" s="597" t="s">
        <v>652</v>
      </c>
      <c r="E290" s="597" t="s">
        <v>653</v>
      </c>
      <c r="F290" s="1020">
        <v>0.09</v>
      </c>
      <c r="G290" s="597" t="s">
        <v>649</v>
      </c>
      <c r="H290" s="597" t="s">
        <v>650</v>
      </c>
      <c r="I290" s="1020">
        <v>0.01</v>
      </c>
      <c r="J290" s="1020">
        <f t="shared" si="12"/>
        <v>0.5</v>
      </c>
      <c r="K290" s="1020"/>
      <c r="L290" s="1020">
        <v>0.4</v>
      </c>
      <c r="M290" s="597" t="s">
        <v>652</v>
      </c>
      <c r="N290" s="597" t="s">
        <v>653</v>
      </c>
      <c r="O290" s="1020">
        <v>0.09</v>
      </c>
      <c r="P290" s="597" t="s">
        <v>649</v>
      </c>
      <c r="Q290" s="597" t="s">
        <v>650</v>
      </c>
      <c r="R290" s="1020">
        <v>0.01</v>
      </c>
      <c r="S290" s="1020">
        <f t="shared" si="13"/>
        <v>0.5</v>
      </c>
      <c r="T290" s="947"/>
      <c r="U290" s="877"/>
      <c r="V290" s="877"/>
      <c r="W290" s="877"/>
      <c r="X290" s="1015"/>
      <c r="Y290" s="930"/>
      <c r="Z290" s="883"/>
      <c r="AA290" s="925"/>
      <c r="AB290" s="912"/>
      <c r="AC290" s="1011" t="s">
        <v>1206</v>
      </c>
      <c r="AD290" s="1011" t="s">
        <v>1206</v>
      </c>
      <c r="AE290" s="1011" t="s">
        <v>1206</v>
      </c>
      <c r="AF290" s="1011" t="s">
        <v>1206</v>
      </c>
      <c r="AH290" s="1011" t="b">
        <f t="shared" si="14"/>
        <v>1</v>
      </c>
      <c r="AI290" s="1011" t="s">
        <v>481</v>
      </c>
      <c r="AJ290" s="1011" t="s">
        <v>480</v>
      </c>
      <c r="AK290" s="1011" t="s">
        <v>2015</v>
      </c>
      <c r="AL290" s="1011" t="s">
        <v>2016</v>
      </c>
    </row>
    <row r="291" spans="1:43" ht="15.75" customHeight="1" x14ac:dyDescent="0.2">
      <c r="A291" s="1018" t="s">
        <v>483</v>
      </c>
      <c r="B291" s="1019" t="s">
        <v>482</v>
      </c>
      <c r="C291" s="1020">
        <v>0.3</v>
      </c>
      <c r="D291" s="597" t="s">
        <v>779</v>
      </c>
      <c r="E291" s="597" t="s">
        <v>780</v>
      </c>
      <c r="F291" s="1020">
        <v>0.37</v>
      </c>
      <c r="G291" s="597" t="s">
        <v>600</v>
      </c>
      <c r="H291" s="597" t="s">
        <v>600</v>
      </c>
      <c r="I291" s="1020">
        <v>0</v>
      </c>
      <c r="J291" s="1020">
        <f t="shared" si="12"/>
        <v>0.66999999999999993</v>
      </c>
      <c r="K291" s="1020"/>
      <c r="L291" s="1020">
        <v>0.3</v>
      </c>
      <c r="M291" s="597" t="s">
        <v>779</v>
      </c>
      <c r="N291" s="597" t="s">
        <v>780</v>
      </c>
      <c r="O291" s="1020">
        <v>0.2</v>
      </c>
      <c r="P291" s="597" t="s">
        <v>600</v>
      </c>
      <c r="Q291" s="597" t="s">
        <v>600</v>
      </c>
      <c r="R291" s="1020">
        <v>0</v>
      </c>
      <c r="S291" s="1020">
        <f t="shared" si="13"/>
        <v>0.5</v>
      </c>
      <c r="T291" s="947"/>
      <c r="U291" s="877"/>
      <c r="V291" s="877"/>
      <c r="W291" s="877"/>
      <c r="X291" s="937" t="s">
        <v>1005</v>
      </c>
      <c r="Y291" s="924"/>
      <c r="Z291" s="883"/>
      <c r="AA291" s="925"/>
      <c r="AB291" s="914" t="s">
        <v>1005</v>
      </c>
      <c r="AC291" s="1011" t="s">
        <v>1206</v>
      </c>
      <c r="AD291" s="1011" t="s">
        <v>1206</v>
      </c>
      <c r="AE291" s="1011" t="s">
        <v>1206</v>
      </c>
      <c r="AF291" s="1011" t="s">
        <v>1206</v>
      </c>
      <c r="AH291" s="1011" t="b">
        <f t="shared" si="14"/>
        <v>1</v>
      </c>
      <c r="AI291" s="1011" t="s">
        <v>483</v>
      </c>
      <c r="AJ291" s="1011" t="s">
        <v>482</v>
      </c>
      <c r="AK291" s="1011" t="s">
        <v>2017</v>
      </c>
      <c r="AL291" s="1011" t="s">
        <v>2018</v>
      </c>
    </row>
    <row r="292" spans="1:43" ht="15.75" customHeight="1" x14ac:dyDescent="0.2">
      <c r="A292" s="1018" t="s">
        <v>485</v>
      </c>
      <c r="B292" s="1019" t="s">
        <v>484</v>
      </c>
      <c r="C292" s="1020">
        <v>0.99</v>
      </c>
      <c r="D292" s="597" t="s">
        <v>600</v>
      </c>
      <c r="E292" s="597" t="s">
        <v>765</v>
      </c>
      <c r="F292" s="1020">
        <v>0</v>
      </c>
      <c r="G292" s="597" t="s">
        <v>766</v>
      </c>
      <c r="H292" s="597" t="s">
        <v>767</v>
      </c>
      <c r="I292" s="1020">
        <v>0.01</v>
      </c>
      <c r="J292" s="1020">
        <f t="shared" si="12"/>
        <v>1</v>
      </c>
      <c r="K292" s="1020"/>
      <c r="L292" s="1020">
        <v>0.49</v>
      </c>
      <c r="M292" s="597" t="s">
        <v>600</v>
      </c>
      <c r="N292" s="597" t="s">
        <v>765</v>
      </c>
      <c r="O292" s="1020">
        <v>0</v>
      </c>
      <c r="P292" s="597" t="s">
        <v>766</v>
      </c>
      <c r="Q292" s="597" t="s">
        <v>767</v>
      </c>
      <c r="R292" s="1020">
        <v>0.01</v>
      </c>
      <c r="S292" s="1020">
        <f t="shared" si="13"/>
        <v>0.5</v>
      </c>
      <c r="T292" s="947"/>
      <c r="U292" s="877"/>
      <c r="V292" s="877"/>
      <c r="W292" s="877"/>
      <c r="X292" s="937" t="s">
        <v>1005</v>
      </c>
      <c r="Y292" s="924"/>
      <c r="Z292" s="883"/>
      <c r="AA292" s="925"/>
      <c r="AB292" s="914" t="s">
        <v>1005</v>
      </c>
      <c r="AC292" s="1011" t="s">
        <v>1206</v>
      </c>
      <c r="AD292" s="1011" t="s">
        <v>1206</v>
      </c>
      <c r="AE292" s="1011" t="s">
        <v>1206</v>
      </c>
      <c r="AF292" s="1011" t="s">
        <v>1206</v>
      </c>
      <c r="AG292" s="1112"/>
      <c r="AH292" s="1011" t="b">
        <f t="shared" si="14"/>
        <v>1</v>
      </c>
      <c r="AI292" s="1011" t="s">
        <v>485</v>
      </c>
      <c r="AJ292" s="1011" t="s">
        <v>484</v>
      </c>
      <c r="AK292" s="1011" t="s">
        <v>2019</v>
      </c>
      <c r="AL292" s="1011" t="s">
        <v>2020</v>
      </c>
    </row>
    <row r="293" spans="1:43" ht="15.75" customHeight="1" x14ac:dyDescent="0.2">
      <c r="A293" s="1018" t="s">
        <v>487</v>
      </c>
      <c r="B293" s="1019" t="s">
        <v>486</v>
      </c>
      <c r="C293" s="1020">
        <v>0.4</v>
      </c>
      <c r="D293" s="597" t="s">
        <v>704</v>
      </c>
      <c r="E293" s="597" t="s">
        <v>705</v>
      </c>
      <c r="F293" s="1020">
        <v>0.09</v>
      </c>
      <c r="G293" s="597" t="s">
        <v>702</v>
      </c>
      <c r="H293" s="597" t="s">
        <v>703</v>
      </c>
      <c r="I293" s="1020">
        <v>0.01</v>
      </c>
      <c r="J293" s="1020">
        <f t="shared" si="12"/>
        <v>0.5</v>
      </c>
      <c r="K293" s="1020"/>
      <c r="L293" s="1020">
        <v>0.4</v>
      </c>
      <c r="M293" s="597" t="s">
        <v>704</v>
      </c>
      <c r="N293" s="597" t="s">
        <v>705</v>
      </c>
      <c r="O293" s="1020">
        <v>0.09</v>
      </c>
      <c r="P293" s="597" t="s">
        <v>702</v>
      </c>
      <c r="Q293" s="597" t="s">
        <v>703</v>
      </c>
      <c r="R293" s="1020">
        <v>0.01</v>
      </c>
      <c r="S293" s="1020">
        <f t="shared" si="13"/>
        <v>0.5</v>
      </c>
      <c r="T293" s="947"/>
      <c r="U293" s="877"/>
      <c r="V293" s="877"/>
      <c r="W293" s="877"/>
      <c r="X293" s="1015"/>
      <c r="Y293" s="924"/>
      <c r="Z293" s="883"/>
      <c r="AA293" s="925"/>
      <c r="AB293" s="912"/>
      <c r="AC293" s="1011" t="s">
        <v>1206</v>
      </c>
      <c r="AD293" s="1011" t="s">
        <v>1206</v>
      </c>
      <c r="AE293" s="1011" t="s">
        <v>1206</v>
      </c>
      <c r="AF293" s="1011" t="s">
        <v>1206</v>
      </c>
      <c r="AH293" s="1011" t="b">
        <f t="shared" si="14"/>
        <v>1</v>
      </c>
      <c r="AI293" s="1011" t="s">
        <v>487</v>
      </c>
      <c r="AJ293" s="1011" t="s">
        <v>486</v>
      </c>
      <c r="AK293" s="1011" t="s">
        <v>2021</v>
      </c>
      <c r="AL293" s="1011" t="s">
        <v>2022</v>
      </c>
    </row>
    <row r="294" spans="1:43" ht="15.75" customHeight="1" x14ac:dyDescent="0.2">
      <c r="A294" s="1018" t="s">
        <v>489</v>
      </c>
      <c r="B294" s="1019" t="s">
        <v>488</v>
      </c>
      <c r="C294" s="1020">
        <v>0.4</v>
      </c>
      <c r="D294" s="597" t="s">
        <v>673</v>
      </c>
      <c r="E294" s="597" t="s">
        <v>674</v>
      </c>
      <c r="F294" s="1020">
        <v>0.09</v>
      </c>
      <c r="G294" s="597" t="s">
        <v>670</v>
      </c>
      <c r="H294" s="597" t="s">
        <v>671</v>
      </c>
      <c r="I294" s="1020">
        <v>0.01</v>
      </c>
      <c r="J294" s="1020">
        <f t="shared" si="12"/>
        <v>0.5</v>
      </c>
      <c r="K294" s="1020"/>
      <c r="L294" s="1020">
        <v>0.4</v>
      </c>
      <c r="M294" s="597" t="s">
        <v>673</v>
      </c>
      <c r="N294" s="597" t="s">
        <v>674</v>
      </c>
      <c r="O294" s="1020">
        <v>0.09</v>
      </c>
      <c r="P294" s="597" t="s">
        <v>670</v>
      </c>
      <c r="Q294" s="597" t="s">
        <v>671</v>
      </c>
      <c r="R294" s="1020">
        <v>0.01</v>
      </c>
      <c r="S294" s="1020">
        <f t="shared" si="13"/>
        <v>0.5</v>
      </c>
      <c r="T294" s="947"/>
      <c r="U294" s="877"/>
      <c r="V294" s="877"/>
      <c r="W294" s="877"/>
      <c r="X294" s="1015"/>
      <c r="Y294" s="924"/>
      <c r="Z294" s="883"/>
      <c r="AA294" s="925"/>
      <c r="AB294" s="912"/>
      <c r="AC294" s="1011" t="s">
        <v>1206</v>
      </c>
      <c r="AD294" s="1011" t="s">
        <v>1206</v>
      </c>
      <c r="AE294" s="1011" t="s">
        <v>1206</v>
      </c>
      <c r="AF294" s="1011" t="s">
        <v>1206</v>
      </c>
      <c r="AH294" s="1011" t="b">
        <f t="shared" si="14"/>
        <v>1</v>
      </c>
      <c r="AI294" s="1011" t="s">
        <v>489</v>
      </c>
      <c r="AJ294" s="1011" t="s">
        <v>488</v>
      </c>
      <c r="AK294" s="1011" t="s">
        <v>2023</v>
      </c>
      <c r="AL294" s="1011" t="s">
        <v>2024</v>
      </c>
      <c r="AO294" s="1011" t="s">
        <v>2024</v>
      </c>
      <c r="AP294" s="1011">
        <v>1799510349</v>
      </c>
      <c r="AQ294" s="1011" t="s">
        <v>2023</v>
      </c>
    </row>
    <row r="295" spans="1:43" customFormat="1" ht="15" x14ac:dyDescent="0.2">
      <c r="A295" s="989" t="s">
        <v>491</v>
      </c>
      <c r="B295" s="891" t="s">
        <v>490</v>
      </c>
      <c r="C295" s="944">
        <v>0.4</v>
      </c>
      <c r="D295" s="891" t="s">
        <v>739</v>
      </c>
      <c r="E295" s="891" t="s">
        <v>740</v>
      </c>
      <c r="F295" s="944">
        <v>0.1</v>
      </c>
      <c r="G295" s="891" t="s">
        <v>600</v>
      </c>
      <c r="H295" s="891" t="s">
        <v>639</v>
      </c>
      <c r="I295" s="945">
        <v>0</v>
      </c>
      <c r="J295" s="945">
        <f t="shared" si="12"/>
        <v>0.5</v>
      </c>
      <c r="K295" s="945"/>
      <c r="L295" s="944">
        <v>0.4</v>
      </c>
      <c r="M295" s="891" t="s">
        <v>739</v>
      </c>
      <c r="N295" s="891" t="s">
        <v>740</v>
      </c>
      <c r="O295" s="944">
        <v>0.1</v>
      </c>
      <c r="P295" s="891" t="s">
        <v>600</v>
      </c>
      <c r="Q295" s="891" t="s">
        <v>639</v>
      </c>
      <c r="R295" s="945">
        <v>0</v>
      </c>
      <c r="S295" s="945">
        <f t="shared" si="13"/>
        <v>0.5</v>
      </c>
      <c r="T295" s="950" t="s">
        <v>1005</v>
      </c>
      <c r="U295" s="892" t="s">
        <v>1001</v>
      </c>
      <c r="V295" s="892" t="s">
        <v>1171</v>
      </c>
      <c r="W295" s="892"/>
      <c r="X295" s="939"/>
      <c r="Y295" s="929">
        <v>1218664</v>
      </c>
      <c r="Z295" s="964">
        <v>1208349</v>
      </c>
      <c r="AA295" s="1061"/>
      <c r="AB295" s="915"/>
      <c r="AC295" s="1011" t="s">
        <v>1206</v>
      </c>
      <c r="AD295" s="1011" t="s">
        <v>1206</v>
      </c>
      <c r="AE295" s="1011" t="s">
        <v>1206</v>
      </c>
      <c r="AF295" s="1011" t="s">
        <v>1206</v>
      </c>
      <c r="AG295" s="1011"/>
      <c r="AH295" s="1011" t="b">
        <f t="shared" si="14"/>
        <v>1</v>
      </c>
      <c r="AI295" t="s">
        <v>491</v>
      </c>
      <c r="AJ295" t="s">
        <v>490</v>
      </c>
      <c r="AK295" t="s">
        <v>1900</v>
      </c>
      <c r="AL295" t="s">
        <v>1901</v>
      </c>
    </row>
    <row r="296" spans="1:43" ht="15.75" customHeight="1" x14ac:dyDescent="0.2">
      <c r="A296" s="1018" t="s">
        <v>493</v>
      </c>
      <c r="B296" s="1019" t="s">
        <v>492</v>
      </c>
      <c r="C296" s="1020">
        <v>0.49</v>
      </c>
      <c r="D296" s="597" t="s">
        <v>600</v>
      </c>
      <c r="E296" s="597" t="s">
        <v>765</v>
      </c>
      <c r="F296" s="1020">
        <v>0</v>
      </c>
      <c r="G296" s="597" t="s">
        <v>776</v>
      </c>
      <c r="H296" s="597" t="s">
        <v>777</v>
      </c>
      <c r="I296" s="1020">
        <v>0.01</v>
      </c>
      <c r="J296" s="1020">
        <f t="shared" si="12"/>
        <v>0.5</v>
      </c>
      <c r="K296" s="1020"/>
      <c r="L296" s="1020">
        <v>0.49</v>
      </c>
      <c r="M296" s="597" t="s">
        <v>600</v>
      </c>
      <c r="N296" s="597" t="s">
        <v>765</v>
      </c>
      <c r="O296" s="1020">
        <v>0</v>
      </c>
      <c r="P296" s="597" t="s">
        <v>776</v>
      </c>
      <c r="Q296" s="597" t="s">
        <v>777</v>
      </c>
      <c r="R296" s="1020">
        <v>0.01</v>
      </c>
      <c r="S296" s="1020">
        <f t="shared" si="13"/>
        <v>0.5</v>
      </c>
      <c r="T296" s="1106" t="s">
        <v>1005</v>
      </c>
      <c r="U296" s="1107" t="s">
        <v>2248</v>
      </c>
      <c r="V296" s="885"/>
      <c r="W296" s="885"/>
      <c r="X296" s="937" t="s">
        <v>1005</v>
      </c>
      <c r="Y296" s="924"/>
      <c r="Z296" s="883"/>
      <c r="AA296" s="925"/>
      <c r="AB296" s="914" t="s">
        <v>1005</v>
      </c>
      <c r="AC296" s="1011" t="s">
        <v>1005</v>
      </c>
      <c r="AD296" s="1011" t="s">
        <v>1206</v>
      </c>
      <c r="AE296" s="1011" t="s">
        <v>1206</v>
      </c>
      <c r="AF296" s="1011" t="s">
        <v>1206</v>
      </c>
      <c r="AH296" s="1011" t="b">
        <f t="shared" si="14"/>
        <v>1</v>
      </c>
      <c r="AI296" s="1011" t="s">
        <v>493</v>
      </c>
      <c r="AJ296" s="1011" t="s">
        <v>492</v>
      </c>
      <c r="AK296" s="1011" t="s">
        <v>2025</v>
      </c>
      <c r="AL296" s="1011" t="s">
        <v>2026</v>
      </c>
      <c r="AO296" s="1011" t="s">
        <v>2026</v>
      </c>
      <c r="AP296" s="1011" t="s">
        <v>2027</v>
      </c>
      <c r="AQ296" s="1011" t="s">
        <v>2025</v>
      </c>
    </row>
    <row r="297" spans="1:43" ht="15" x14ac:dyDescent="0.2">
      <c r="A297" s="1018" t="s">
        <v>495</v>
      </c>
      <c r="B297" s="1019" t="s">
        <v>494</v>
      </c>
      <c r="C297" s="1020">
        <v>0.99</v>
      </c>
      <c r="D297" s="597" t="s">
        <v>600</v>
      </c>
      <c r="E297" s="597" t="s">
        <v>765</v>
      </c>
      <c r="F297" s="1020">
        <v>0</v>
      </c>
      <c r="G297" s="597" t="s">
        <v>774</v>
      </c>
      <c r="H297" s="597" t="s">
        <v>775</v>
      </c>
      <c r="I297" s="1020">
        <v>0.01</v>
      </c>
      <c r="J297" s="1020">
        <f t="shared" si="12"/>
        <v>1</v>
      </c>
      <c r="K297" s="1020"/>
      <c r="L297" s="1020">
        <v>0.49</v>
      </c>
      <c r="M297" s="597" t="s">
        <v>600</v>
      </c>
      <c r="N297" s="597" t="s">
        <v>765</v>
      </c>
      <c r="O297" s="1020">
        <v>0</v>
      </c>
      <c r="P297" s="597" t="s">
        <v>774</v>
      </c>
      <c r="Q297" s="597" t="s">
        <v>775</v>
      </c>
      <c r="R297" s="1020">
        <v>0.01</v>
      </c>
      <c r="S297" s="1020">
        <f t="shared" si="13"/>
        <v>0.5</v>
      </c>
      <c r="T297" s="947" t="s">
        <v>1005</v>
      </c>
      <c r="U297" s="877" t="s">
        <v>1000</v>
      </c>
      <c r="V297" s="877"/>
      <c r="W297" s="877"/>
      <c r="X297" s="937" t="s">
        <v>1005</v>
      </c>
      <c r="Y297" s="926">
        <v>177303</v>
      </c>
      <c r="Z297" s="888"/>
      <c r="AA297" s="927"/>
      <c r="AB297" s="914" t="s">
        <v>1005</v>
      </c>
      <c r="AC297" s="1011" t="s">
        <v>1206</v>
      </c>
      <c r="AD297" s="1011" t="s">
        <v>1206</v>
      </c>
      <c r="AE297" s="1011" t="s">
        <v>1206</v>
      </c>
      <c r="AF297" s="1011" t="s">
        <v>1206</v>
      </c>
      <c r="AH297" s="1011" t="b">
        <f t="shared" si="14"/>
        <v>1</v>
      </c>
      <c r="AI297" s="1011" t="s">
        <v>495</v>
      </c>
      <c r="AJ297" s="1011" t="s">
        <v>494</v>
      </c>
      <c r="AK297" s="1011" t="s">
        <v>2028</v>
      </c>
      <c r="AL297" s="1011" t="s">
        <v>2029</v>
      </c>
    </row>
    <row r="298" spans="1:43" ht="15.75" customHeight="1" x14ac:dyDescent="0.2">
      <c r="A298" s="1018" t="s">
        <v>497</v>
      </c>
      <c r="B298" s="1019" t="s">
        <v>496</v>
      </c>
      <c r="C298" s="1020">
        <v>0.3</v>
      </c>
      <c r="D298" s="597" t="s">
        <v>779</v>
      </c>
      <c r="E298" s="597" t="s">
        <v>780</v>
      </c>
      <c r="F298" s="1020">
        <v>0.37</v>
      </c>
      <c r="G298" s="597" t="s">
        <v>600</v>
      </c>
      <c r="H298" s="597" t="s">
        <v>600</v>
      </c>
      <c r="I298" s="1020">
        <v>0</v>
      </c>
      <c r="J298" s="1020">
        <f t="shared" si="12"/>
        <v>0.66999999999999993</v>
      </c>
      <c r="K298" s="1020"/>
      <c r="L298" s="1020">
        <v>0.3</v>
      </c>
      <c r="M298" s="597" t="s">
        <v>779</v>
      </c>
      <c r="N298" s="597" t="s">
        <v>780</v>
      </c>
      <c r="O298" s="1020">
        <v>0.2</v>
      </c>
      <c r="P298" s="597" t="s">
        <v>600</v>
      </c>
      <c r="Q298" s="597" t="s">
        <v>600</v>
      </c>
      <c r="R298" s="1020">
        <v>0</v>
      </c>
      <c r="S298" s="1020">
        <f t="shared" si="13"/>
        <v>0.5</v>
      </c>
      <c r="T298" s="947"/>
      <c r="U298" s="877"/>
      <c r="V298" s="877"/>
      <c r="W298" s="877"/>
      <c r="X298" s="1015"/>
      <c r="Y298" s="924"/>
      <c r="Z298" s="883"/>
      <c r="AA298" s="925"/>
      <c r="AB298" s="914" t="s">
        <v>1005</v>
      </c>
      <c r="AC298" s="1011" t="s">
        <v>1206</v>
      </c>
      <c r="AD298" s="1011" t="s">
        <v>1206</v>
      </c>
      <c r="AE298" s="1011" t="s">
        <v>1206</v>
      </c>
      <c r="AF298" s="1011" t="s">
        <v>1206</v>
      </c>
      <c r="AH298" s="1011" t="b">
        <f t="shared" si="14"/>
        <v>1</v>
      </c>
      <c r="AI298" s="1011" t="s">
        <v>497</v>
      </c>
      <c r="AJ298" s="1011" t="s">
        <v>496</v>
      </c>
      <c r="AK298" s="1011" t="s">
        <v>2030</v>
      </c>
      <c r="AL298" s="1011" t="s">
        <v>2031</v>
      </c>
      <c r="AM298" s="1011" t="s">
        <v>2032</v>
      </c>
      <c r="AN298" s="1011" t="s">
        <v>2033</v>
      </c>
    </row>
    <row r="299" spans="1:43" ht="15.75" customHeight="1" x14ac:dyDescent="0.2">
      <c r="A299" s="1018" t="s">
        <v>499</v>
      </c>
      <c r="B299" s="1019" t="s">
        <v>498</v>
      </c>
      <c r="C299" s="1020">
        <v>0.3</v>
      </c>
      <c r="D299" s="597" t="s">
        <v>779</v>
      </c>
      <c r="E299" s="597" t="s">
        <v>780</v>
      </c>
      <c r="F299" s="1020">
        <v>0.37</v>
      </c>
      <c r="G299" s="597" t="s">
        <v>600</v>
      </c>
      <c r="H299" s="597" t="s">
        <v>600</v>
      </c>
      <c r="I299" s="1020">
        <v>0</v>
      </c>
      <c r="J299" s="1020">
        <f t="shared" si="12"/>
        <v>0.66999999999999993</v>
      </c>
      <c r="K299" s="1020"/>
      <c r="L299" s="1020">
        <v>0.3</v>
      </c>
      <c r="M299" s="597" t="s">
        <v>779</v>
      </c>
      <c r="N299" s="597" t="s">
        <v>780</v>
      </c>
      <c r="O299" s="1020">
        <v>0.2</v>
      </c>
      <c r="P299" s="597" t="s">
        <v>600</v>
      </c>
      <c r="Q299" s="597" t="s">
        <v>600</v>
      </c>
      <c r="R299" s="1020">
        <v>0</v>
      </c>
      <c r="S299" s="1020">
        <f t="shared" si="13"/>
        <v>0.5</v>
      </c>
      <c r="T299" s="947" t="s">
        <v>1005</v>
      </c>
      <c r="U299" s="877" t="s">
        <v>2108</v>
      </c>
      <c r="V299" s="877"/>
      <c r="W299" s="877"/>
      <c r="X299" s="937" t="s">
        <v>1005</v>
      </c>
      <c r="Y299" s="965">
        <v>4127579</v>
      </c>
      <c r="Z299" s="883"/>
      <c r="AA299" s="925"/>
      <c r="AB299" s="914" t="s">
        <v>1005</v>
      </c>
      <c r="AC299" s="1011" t="s">
        <v>1206</v>
      </c>
      <c r="AD299" s="1011" t="s">
        <v>1206</v>
      </c>
      <c r="AE299" s="1011" t="s">
        <v>1206</v>
      </c>
      <c r="AF299" s="1011" t="s">
        <v>1206</v>
      </c>
      <c r="AH299" s="1011" t="b">
        <f t="shared" si="14"/>
        <v>1</v>
      </c>
      <c r="AI299" s="1011" t="s">
        <v>499</v>
      </c>
      <c r="AJ299" s="1011" t="s">
        <v>498</v>
      </c>
      <c r="AK299" s="1011" t="s">
        <v>2034</v>
      </c>
      <c r="AL299" s="1011" t="s">
        <v>2035</v>
      </c>
      <c r="AM299" s="1011" t="s">
        <v>2036</v>
      </c>
      <c r="AN299" s="1011" t="s">
        <v>2037</v>
      </c>
    </row>
    <row r="300" spans="1:43" ht="15" x14ac:dyDescent="0.2">
      <c r="A300" s="1018" t="s">
        <v>501</v>
      </c>
      <c r="B300" s="1019" t="s">
        <v>631</v>
      </c>
      <c r="C300" s="1020">
        <v>0.49</v>
      </c>
      <c r="D300" s="597" t="s">
        <v>600</v>
      </c>
      <c r="E300" s="597" t="s">
        <v>601</v>
      </c>
      <c r="F300" s="1020">
        <v>0</v>
      </c>
      <c r="G300" s="597" t="s">
        <v>629</v>
      </c>
      <c r="H300" s="597" t="s">
        <v>630</v>
      </c>
      <c r="I300" s="1020">
        <v>0.01</v>
      </c>
      <c r="J300" s="1020">
        <f t="shared" si="12"/>
        <v>0.5</v>
      </c>
      <c r="K300" s="1020"/>
      <c r="L300" s="1020">
        <v>0.49</v>
      </c>
      <c r="M300" s="597" t="s">
        <v>600</v>
      </c>
      <c r="N300" s="597" t="s">
        <v>601</v>
      </c>
      <c r="O300" s="1020">
        <v>0</v>
      </c>
      <c r="P300" s="597" t="s">
        <v>629</v>
      </c>
      <c r="Q300" s="597" t="s">
        <v>630</v>
      </c>
      <c r="R300" s="1020">
        <v>0.01</v>
      </c>
      <c r="S300" s="1020">
        <f t="shared" si="13"/>
        <v>0.5</v>
      </c>
      <c r="T300" s="947" t="s">
        <v>1005</v>
      </c>
      <c r="U300" s="886" t="s">
        <v>1164</v>
      </c>
      <c r="V300" s="877"/>
      <c r="W300" s="877"/>
      <c r="X300" s="937" t="s">
        <v>1005</v>
      </c>
      <c r="Y300" s="1057">
        <v>1174032</v>
      </c>
      <c r="Z300" s="964"/>
      <c r="AA300" s="1023"/>
      <c r="AB300" s="914" t="s">
        <v>1005</v>
      </c>
      <c r="AC300" s="1011" t="s">
        <v>1206</v>
      </c>
      <c r="AD300" s="1011" t="s">
        <v>1206</v>
      </c>
      <c r="AE300" s="1011" t="s">
        <v>1206</v>
      </c>
      <c r="AF300" s="1011" t="s">
        <v>1206</v>
      </c>
      <c r="AH300" s="1011" t="b">
        <f t="shared" si="14"/>
        <v>1</v>
      </c>
      <c r="AI300" s="1011" t="s">
        <v>501</v>
      </c>
      <c r="AJ300" s="1011" t="s">
        <v>500</v>
      </c>
      <c r="AK300" s="1011" t="s">
        <v>2038</v>
      </c>
      <c r="AL300" s="1011" t="s">
        <v>2039</v>
      </c>
      <c r="AM300" s="1011" t="s">
        <v>2040</v>
      </c>
      <c r="AN300" s="1011" t="s">
        <v>2041</v>
      </c>
    </row>
    <row r="301" spans="1:43" ht="15.75" customHeight="1" x14ac:dyDescent="0.2">
      <c r="A301" s="1018" t="s">
        <v>503</v>
      </c>
      <c r="B301" s="1019" t="s">
        <v>502</v>
      </c>
      <c r="C301" s="1020">
        <v>0.4</v>
      </c>
      <c r="D301" s="597" t="s">
        <v>756</v>
      </c>
      <c r="E301" s="597" t="s">
        <v>757</v>
      </c>
      <c r="F301" s="1020">
        <v>0.1</v>
      </c>
      <c r="G301" s="597" t="s">
        <v>600</v>
      </c>
      <c r="H301" s="597" t="s">
        <v>639</v>
      </c>
      <c r="I301" s="1020">
        <v>0</v>
      </c>
      <c r="J301" s="1020">
        <f t="shared" si="12"/>
        <v>0.5</v>
      </c>
      <c r="K301" s="1020"/>
      <c r="L301" s="1020">
        <v>0.4</v>
      </c>
      <c r="M301" s="597" t="s">
        <v>756</v>
      </c>
      <c r="N301" s="597" t="s">
        <v>757</v>
      </c>
      <c r="O301" s="1020">
        <v>0.1</v>
      </c>
      <c r="P301" s="597" t="s">
        <v>600</v>
      </c>
      <c r="Q301" s="597" t="s">
        <v>639</v>
      </c>
      <c r="R301" s="1020">
        <v>0</v>
      </c>
      <c r="S301" s="1020">
        <f t="shared" si="13"/>
        <v>0.5</v>
      </c>
      <c r="T301" s="947"/>
      <c r="U301" s="877"/>
      <c r="V301" s="877"/>
      <c r="W301" s="877"/>
      <c r="X301" s="1015"/>
      <c r="Y301" s="924"/>
      <c r="Z301" s="883"/>
      <c r="AA301" s="925"/>
      <c r="AB301" s="912"/>
      <c r="AC301" s="1011" t="s">
        <v>1206</v>
      </c>
      <c r="AD301" s="1011" t="s">
        <v>1206</v>
      </c>
      <c r="AE301" s="1011" t="s">
        <v>1206</v>
      </c>
      <c r="AF301" s="1011" t="s">
        <v>1206</v>
      </c>
      <c r="AH301" s="1011" t="b">
        <f t="shared" si="14"/>
        <v>1</v>
      </c>
      <c r="AI301" s="1011" t="s">
        <v>503</v>
      </c>
      <c r="AJ301" s="1011" t="s">
        <v>502</v>
      </c>
      <c r="AK301" s="1011" t="s">
        <v>2042</v>
      </c>
      <c r="AL301" s="1011" t="s">
        <v>2043</v>
      </c>
    </row>
    <row r="302" spans="1:43" ht="15.75" customHeight="1" x14ac:dyDescent="0.2">
      <c r="A302" s="1018" t="s">
        <v>505</v>
      </c>
      <c r="B302" s="1019" t="s">
        <v>504</v>
      </c>
      <c r="C302" s="1020">
        <v>0.4</v>
      </c>
      <c r="D302" s="597" t="s">
        <v>692</v>
      </c>
      <c r="E302" s="597" t="s">
        <v>693</v>
      </c>
      <c r="F302" s="1020">
        <v>0.1</v>
      </c>
      <c r="G302" s="597" t="s">
        <v>600</v>
      </c>
      <c r="H302" s="597" t="s">
        <v>639</v>
      </c>
      <c r="I302" s="1020">
        <v>0</v>
      </c>
      <c r="J302" s="1020">
        <f t="shared" si="12"/>
        <v>0.5</v>
      </c>
      <c r="K302" s="1020"/>
      <c r="L302" s="1020">
        <v>0.4</v>
      </c>
      <c r="M302" s="597" t="s">
        <v>692</v>
      </c>
      <c r="N302" s="597" t="s">
        <v>693</v>
      </c>
      <c r="O302" s="1020">
        <v>0.1</v>
      </c>
      <c r="P302" s="597" t="s">
        <v>600</v>
      </c>
      <c r="Q302" s="597" t="s">
        <v>639</v>
      </c>
      <c r="R302" s="1020">
        <v>0</v>
      </c>
      <c r="S302" s="1020">
        <f t="shared" si="13"/>
        <v>0.5</v>
      </c>
      <c r="T302" s="947"/>
      <c r="U302" s="877"/>
      <c r="V302" s="877"/>
      <c r="W302" s="877"/>
      <c r="X302" s="1015"/>
      <c r="Y302" s="924"/>
      <c r="Z302" s="883"/>
      <c r="AA302" s="925"/>
      <c r="AB302" s="912"/>
      <c r="AC302" s="1011" t="s">
        <v>1206</v>
      </c>
      <c r="AD302" s="1011" t="s">
        <v>1206</v>
      </c>
      <c r="AE302" s="1011" t="s">
        <v>1206</v>
      </c>
      <c r="AF302" s="1011" t="s">
        <v>1206</v>
      </c>
      <c r="AH302" s="1011" t="b">
        <f t="shared" si="14"/>
        <v>1</v>
      </c>
      <c r="AI302" s="1011" t="s">
        <v>505</v>
      </c>
      <c r="AJ302" s="1011" t="s">
        <v>504</v>
      </c>
      <c r="AK302" s="1011" t="s">
        <v>2044</v>
      </c>
      <c r="AL302" s="1011" t="s">
        <v>2045</v>
      </c>
      <c r="AM302" s="1011" t="s">
        <v>2046</v>
      </c>
    </row>
    <row r="303" spans="1:43" ht="15" x14ac:dyDescent="0.2">
      <c r="A303" s="1018" t="s">
        <v>507</v>
      </c>
      <c r="B303" s="1019" t="s">
        <v>506</v>
      </c>
      <c r="C303" s="1020">
        <v>0.4</v>
      </c>
      <c r="D303" s="597" t="s">
        <v>751</v>
      </c>
      <c r="E303" s="597" t="s">
        <v>752</v>
      </c>
      <c r="F303" s="1020">
        <v>0.1</v>
      </c>
      <c r="G303" s="597" t="s">
        <v>600</v>
      </c>
      <c r="H303" s="597" t="s">
        <v>639</v>
      </c>
      <c r="I303" s="1020">
        <v>0</v>
      </c>
      <c r="J303" s="1020">
        <f t="shared" si="12"/>
        <v>0.5</v>
      </c>
      <c r="K303" s="1020"/>
      <c r="L303" s="1020">
        <v>0.4</v>
      </c>
      <c r="M303" s="597" t="s">
        <v>751</v>
      </c>
      <c r="N303" s="597" t="s">
        <v>752</v>
      </c>
      <c r="O303" s="1020">
        <v>0.1</v>
      </c>
      <c r="P303" s="597" t="s">
        <v>600</v>
      </c>
      <c r="Q303" s="597" t="s">
        <v>639</v>
      </c>
      <c r="R303" s="1020">
        <v>0</v>
      </c>
      <c r="S303" s="1020">
        <f t="shared" si="13"/>
        <v>0.5</v>
      </c>
      <c r="T303" s="1104" t="s">
        <v>1005</v>
      </c>
      <c r="U303" s="1105" t="s">
        <v>983</v>
      </c>
      <c r="V303" s="877"/>
      <c r="W303" s="877"/>
      <c r="X303" s="1015"/>
      <c r="Y303" s="926">
        <v>0</v>
      </c>
      <c r="Z303" s="888"/>
      <c r="AA303" s="927"/>
      <c r="AB303" s="912"/>
      <c r="AC303" s="1011" t="s">
        <v>1005</v>
      </c>
      <c r="AD303" s="1011" t="s">
        <v>1206</v>
      </c>
      <c r="AE303" s="1011" t="s">
        <v>1206</v>
      </c>
      <c r="AF303" s="1011" t="s">
        <v>1206</v>
      </c>
      <c r="AH303" s="1011" t="b">
        <f t="shared" si="14"/>
        <v>1</v>
      </c>
      <c r="AI303" s="1011" t="s">
        <v>507</v>
      </c>
      <c r="AJ303" s="1011" t="s">
        <v>506</v>
      </c>
      <c r="AK303" s="1011" t="s">
        <v>1952</v>
      </c>
      <c r="AL303" s="1011" t="s">
        <v>1953</v>
      </c>
      <c r="AM303" s="1011" t="s">
        <v>2047</v>
      </c>
      <c r="AN303" s="1011" t="s">
        <v>2048</v>
      </c>
      <c r="AO303" s="1011" t="s">
        <v>2049</v>
      </c>
      <c r="AQ303" s="1011" t="s">
        <v>2050</v>
      </c>
    </row>
    <row r="304" spans="1:43" ht="15.75" customHeight="1" x14ac:dyDescent="0.2">
      <c r="A304" s="1018" t="s">
        <v>509</v>
      </c>
      <c r="B304" s="1019" t="s">
        <v>508</v>
      </c>
      <c r="C304" s="1020">
        <v>0.4</v>
      </c>
      <c r="D304" s="597" t="s">
        <v>753</v>
      </c>
      <c r="E304" s="597" t="s">
        <v>754</v>
      </c>
      <c r="F304" s="1020">
        <v>0.1</v>
      </c>
      <c r="G304" s="597" t="s">
        <v>600</v>
      </c>
      <c r="H304" s="597" t="s">
        <v>639</v>
      </c>
      <c r="I304" s="1020">
        <v>0</v>
      </c>
      <c r="J304" s="1020">
        <f t="shared" si="12"/>
        <v>0.5</v>
      </c>
      <c r="K304" s="1020"/>
      <c r="L304" s="1020">
        <v>0.4</v>
      </c>
      <c r="M304" s="597" t="s">
        <v>753</v>
      </c>
      <c r="N304" s="597" t="s">
        <v>754</v>
      </c>
      <c r="O304" s="1020">
        <v>0.1</v>
      </c>
      <c r="P304" s="597" t="s">
        <v>600</v>
      </c>
      <c r="Q304" s="597" t="s">
        <v>639</v>
      </c>
      <c r="R304" s="1020">
        <v>0</v>
      </c>
      <c r="S304" s="1020">
        <f t="shared" si="13"/>
        <v>0.5</v>
      </c>
      <c r="T304" s="947"/>
      <c r="U304" s="877"/>
      <c r="V304" s="877"/>
      <c r="W304" s="877"/>
      <c r="X304" s="1015"/>
      <c r="Y304" s="924"/>
      <c r="Z304" s="883"/>
      <c r="AA304" s="925"/>
      <c r="AB304" s="912"/>
      <c r="AC304" s="1011" t="s">
        <v>1206</v>
      </c>
      <c r="AD304" s="1011" t="s">
        <v>1206</v>
      </c>
      <c r="AE304" s="1011" t="s">
        <v>1206</v>
      </c>
      <c r="AF304" s="1011" t="s">
        <v>1206</v>
      </c>
      <c r="AH304" s="1011" t="b">
        <f t="shared" si="14"/>
        <v>1</v>
      </c>
      <c r="AI304" s="1011" t="s">
        <v>509</v>
      </c>
      <c r="AJ304" s="1011" t="s">
        <v>508</v>
      </c>
      <c r="AK304" s="1011" t="s">
        <v>2051</v>
      </c>
      <c r="AL304" s="1011" t="s">
        <v>2052</v>
      </c>
      <c r="AM304" s="1011" t="s">
        <v>2053</v>
      </c>
      <c r="AN304" s="1011" t="s">
        <v>2054</v>
      </c>
    </row>
    <row r="305" spans="1:43" ht="15.75" customHeight="1" x14ac:dyDescent="0.2">
      <c r="A305" s="1018" t="s">
        <v>511</v>
      </c>
      <c r="B305" s="1019" t="s">
        <v>510</v>
      </c>
      <c r="C305" s="1020">
        <v>0.4</v>
      </c>
      <c r="D305" s="597" t="s">
        <v>667</v>
      </c>
      <c r="E305" s="597" t="s">
        <v>668</v>
      </c>
      <c r="F305" s="1020">
        <v>0.09</v>
      </c>
      <c r="G305" s="597" t="s">
        <v>665</v>
      </c>
      <c r="H305" s="597" t="s">
        <v>666</v>
      </c>
      <c r="I305" s="1020">
        <v>0.01</v>
      </c>
      <c r="J305" s="1020">
        <f t="shared" si="12"/>
        <v>0.5</v>
      </c>
      <c r="K305" s="1020"/>
      <c r="L305" s="1020">
        <v>0.4</v>
      </c>
      <c r="M305" s="597" t="s">
        <v>667</v>
      </c>
      <c r="N305" s="597" t="s">
        <v>668</v>
      </c>
      <c r="O305" s="1020">
        <v>0.09</v>
      </c>
      <c r="P305" s="597" t="s">
        <v>665</v>
      </c>
      <c r="Q305" s="597" t="s">
        <v>666</v>
      </c>
      <c r="R305" s="1020">
        <v>0.01</v>
      </c>
      <c r="S305" s="1020">
        <f t="shared" si="13"/>
        <v>0.5</v>
      </c>
      <c r="T305" s="947"/>
      <c r="U305" s="877"/>
      <c r="V305" s="877"/>
      <c r="W305" s="877"/>
      <c r="X305" s="1015"/>
      <c r="Y305" s="924"/>
      <c r="Z305" s="883"/>
      <c r="AA305" s="925"/>
      <c r="AB305" s="912"/>
      <c r="AC305" s="1011" t="s">
        <v>1206</v>
      </c>
      <c r="AD305" s="1011" t="s">
        <v>1206</v>
      </c>
      <c r="AE305" s="1011" t="s">
        <v>1206</v>
      </c>
      <c r="AF305" s="1011" t="s">
        <v>1206</v>
      </c>
      <c r="AH305" s="1011" t="b">
        <f t="shared" si="14"/>
        <v>1</v>
      </c>
      <c r="AI305" s="1011" t="s">
        <v>511</v>
      </c>
      <c r="AJ305" s="1011" t="s">
        <v>510</v>
      </c>
      <c r="AK305" s="1011" t="s">
        <v>2055</v>
      </c>
      <c r="AL305" s="1011" t="s">
        <v>2056</v>
      </c>
    </row>
    <row r="306" spans="1:43" ht="15.75" customHeight="1" x14ac:dyDescent="0.2">
      <c r="A306" s="1018" t="s">
        <v>513</v>
      </c>
      <c r="B306" s="1019" t="s">
        <v>512</v>
      </c>
      <c r="C306" s="1020">
        <v>0.4</v>
      </c>
      <c r="D306" s="597" t="s">
        <v>731</v>
      </c>
      <c r="E306" s="597" t="s">
        <v>732</v>
      </c>
      <c r="F306" s="1020">
        <v>0.1</v>
      </c>
      <c r="G306" s="597" t="s">
        <v>600</v>
      </c>
      <c r="H306" s="597" t="s">
        <v>639</v>
      </c>
      <c r="I306" s="1020">
        <v>0</v>
      </c>
      <c r="J306" s="1020">
        <f t="shared" si="12"/>
        <v>0.5</v>
      </c>
      <c r="K306" s="1020"/>
      <c r="L306" s="1020">
        <v>0.4</v>
      </c>
      <c r="M306" s="597" t="s">
        <v>731</v>
      </c>
      <c r="N306" s="597" t="s">
        <v>732</v>
      </c>
      <c r="O306" s="1020">
        <v>0.1</v>
      </c>
      <c r="P306" s="597" t="s">
        <v>600</v>
      </c>
      <c r="Q306" s="597" t="s">
        <v>639</v>
      </c>
      <c r="R306" s="1020">
        <v>0</v>
      </c>
      <c r="S306" s="1020">
        <f t="shared" si="13"/>
        <v>0.5</v>
      </c>
      <c r="T306" s="947"/>
      <c r="U306" s="877"/>
      <c r="V306" s="877"/>
      <c r="W306" s="877"/>
      <c r="X306" s="1015"/>
      <c r="Y306" s="924"/>
      <c r="Z306" s="883"/>
      <c r="AA306" s="925"/>
      <c r="AB306" s="912"/>
      <c r="AC306" s="1011" t="s">
        <v>1206</v>
      </c>
      <c r="AD306" s="1011" t="s">
        <v>1206</v>
      </c>
      <c r="AE306" s="1011" t="s">
        <v>1206</v>
      </c>
      <c r="AF306" s="1011" t="s">
        <v>1206</v>
      </c>
      <c r="AH306" s="1011" t="b">
        <f t="shared" si="14"/>
        <v>1</v>
      </c>
      <c r="AI306" s="1011" t="s">
        <v>513</v>
      </c>
      <c r="AJ306" s="1011" t="s">
        <v>512</v>
      </c>
      <c r="AK306" s="1011" t="s">
        <v>1741</v>
      </c>
      <c r="AL306" s="1011" t="s">
        <v>1742</v>
      </c>
    </row>
    <row r="307" spans="1:43" ht="15.75" customHeight="1" x14ac:dyDescent="0.2">
      <c r="A307" s="1018" t="s">
        <v>515</v>
      </c>
      <c r="B307" s="1019" t="s">
        <v>514</v>
      </c>
      <c r="C307" s="1020">
        <v>0.4</v>
      </c>
      <c r="D307" s="597" t="s">
        <v>692</v>
      </c>
      <c r="E307" s="597" t="s">
        <v>693</v>
      </c>
      <c r="F307" s="1020">
        <v>0.1</v>
      </c>
      <c r="G307" s="597" t="s">
        <v>600</v>
      </c>
      <c r="H307" s="597" t="s">
        <v>639</v>
      </c>
      <c r="I307" s="1020">
        <v>0</v>
      </c>
      <c r="J307" s="1020">
        <f t="shared" si="12"/>
        <v>0.5</v>
      </c>
      <c r="K307" s="1020"/>
      <c r="L307" s="1020">
        <v>0.4</v>
      </c>
      <c r="M307" s="597" t="s">
        <v>692</v>
      </c>
      <c r="N307" s="597" t="s">
        <v>693</v>
      </c>
      <c r="O307" s="1020">
        <v>0.1</v>
      </c>
      <c r="P307" s="597" t="s">
        <v>600</v>
      </c>
      <c r="Q307" s="597" t="s">
        <v>639</v>
      </c>
      <c r="R307" s="1020">
        <v>0</v>
      </c>
      <c r="S307" s="1020">
        <f t="shared" si="13"/>
        <v>0.5</v>
      </c>
      <c r="T307" s="947"/>
      <c r="U307" s="877"/>
      <c r="V307" s="877"/>
      <c r="W307" s="877"/>
      <c r="X307" s="1015"/>
      <c r="Y307" s="924"/>
      <c r="Z307" s="883"/>
      <c r="AA307" s="925"/>
      <c r="AB307" s="912"/>
      <c r="AC307" s="1011" t="s">
        <v>1206</v>
      </c>
      <c r="AD307" s="1011" t="s">
        <v>1206</v>
      </c>
      <c r="AE307" s="1011" t="s">
        <v>1206</v>
      </c>
      <c r="AF307" s="1011" t="s">
        <v>1206</v>
      </c>
      <c r="AH307" s="1011" t="b">
        <f t="shared" si="14"/>
        <v>1</v>
      </c>
      <c r="AI307" s="1011" t="s">
        <v>515</v>
      </c>
      <c r="AJ307" s="1011" t="s">
        <v>514</v>
      </c>
      <c r="AK307" s="1011" t="s">
        <v>2057</v>
      </c>
      <c r="AL307" s="1011" t="s">
        <v>2058</v>
      </c>
      <c r="AO307" s="1011" t="s">
        <v>2058</v>
      </c>
      <c r="AP307" s="1011" t="s">
        <v>2059</v>
      </c>
      <c r="AQ307" s="1011" t="s">
        <v>2057</v>
      </c>
    </row>
    <row r="308" spans="1:43" ht="15.75" customHeight="1" x14ac:dyDescent="0.2">
      <c r="A308" s="1018" t="s">
        <v>517</v>
      </c>
      <c r="B308" s="1019" t="s">
        <v>613</v>
      </c>
      <c r="C308" s="1020">
        <v>0.49</v>
      </c>
      <c r="D308" s="597" t="s">
        <v>600</v>
      </c>
      <c r="E308" s="597" t="s">
        <v>601</v>
      </c>
      <c r="F308" s="1020">
        <v>0</v>
      </c>
      <c r="G308" s="597" t="s">
        <v>611</v>
      </c>
      <c r="H308" s="597" t="s">
        <v>612</v>
      </c>
      <c r="I308" s="1020">
        <v>0.01</v>
      </c>
      <c r="J308" s="1020">
        <f t="shared" si="12"/>
        <v>0.5</v>
      </c>
      <c r="K308" s="1020"/>
      <c r="L308" s="1020">
        <v>0.49</v>
      </c>
      <c r="M308" s="597" t="s">
        <v>600</v>
      </c>
      <c r="N308" s="597" t="s">
        <v>601</v>
      </c>
      <c r="O308" s="1020">
        <v>0</v>
      </c>
      <c r="P308" s="597" t="s">
        <v>611</v>
      </c>
      <c r="Q308" s="597" t="s">
        <v>612</v>
      </c>
      <c r="R308" s="1020">
        <v>0.01</v>
      </c>
      <c r="S308" s="1020">
        <f t="shared" si="13"/>
        <v>0.5</v>
      </c>
      <c r="T308" s="947"/>
      <c r="U308" s="877"/>
      <c r="V308" s="877"/>
      <c r="W308" s="877"/>
      <c r="X308" s="937" t="s">
        <v>1005</v>
      </c>
      <c r="Y308" s="918"/>
      <c r="Z308" s="878"/>
      <c r="AA308" s="919"/>
      <c r="AB308" s="914" t="s">
        <v>1005</v>
      </c>
      <c r="AC308" s="1011" t="s">
        <v>1206</v>
      </c>
      <c r="AD308" s="1011" t="s">
        <v>1206</v>
      </c>
      <c r="AE308" s="1011" t="s">
        <v>1206</v>
      </c>
      <c r="AF308" s="1011" t="s">
        <v>1206</v>
      </c>
      <c r="AH308" s="1011" t="b">
        <f t="shared" si="14"/>
        <v>1</v>
      </c>
      <c r="AI308" s="1011" t="s">
        <v>517</v>
      </c>
      <c r="AJ308" s="1011" t="s">
        <v>516</v>
      </c>
      <c r="AK308" s="1011" t="s">
        <v>2060</v>
      </c>
      <c r="AL308" s="1011" t="s">
        <v>2061</v>
      </c>
    </row>
    <row r="309" spans="1:43" ht="15.75" customHeight="1" x14ac:dyDescent="0.2">
      <c r="A309" s="1018" t="s">
        <v>519</v>
      </c>
      <c r="B309" s="1019" t="s">
        <v>518</v>
      </c>
      <c r="C309" s="1020">
        <v>0.4</v>
      </c>
      <c r="D309" s="597" t="s">
        <v>652</v>
      </c>
      <c r="E309" s="597" t="s">
        <v>653</v>
      </c>
      <c r="F309" s="1020">
        <v>0.09</v>
      </c>
      <c r="G309" s="597" t="s">
        <v>649</v>
      </c>
      <c r="H309" s="597" t="s">
        <v>650</v>
      </c>
      <c r="I309" s="1020">
        <v>0.01</v>
      </c>
      <c r="J309" s="1020">
        <f t="shared" si="12"/>
        <v>0.5</v>
      </c>
      <c r="K309" s="1020"/>
      <c r="L309" s="1020">
        <v>0.4</v>
      </c>
      <c r="M309" s="597" t="s">
        <v>652</v>
      </c>
      <c r="N309" s="597" t="s">
        <v>653</v>
      </c>
      <c r="O309" s="1020">
        <v>0.09</v>
      </c>
      <c r="P309" s="597" t="s">
        <v>649</v>
      </c>
      <c r="Q309" s="597" t="s">
        <v>650</v>
      </c>
      <c r="R309" s="1020">
        <v>0.01</v>
      </c>
      <c r="S309" s="1020">
        <f t="shared" si="13"/>
        <v>0.5</v>
      </c>
      <c r="T309" s="947"/>
      <c r="U309" s="877"/>
      <c r="V309" s="877"/>
      <c r="W309" s="877"/>
      <c r="X309" s="1015"/>
      <c r="Y309" s="924"/>
      <c r="Z309" s="883"/>
      <c r="AA309" s="925"/>
      <c r="AB309" s="912"/>
      <c r="AC309" s="1011" t="s">
        <v>1206</v>
      </c>
      <c r="AD309" s="1011" t="s">
        <v>1206</v>
      </c>
      <c r="AE309" s="1011" t="s">
        <v>1206</v>
      </c>
      <c r="AF309" s="1011" t="s">
        <v>1206</v>
      </c>
      <c r="AH309" s="1011" t="b">
        <f t="shared" si="14"/>
        <v>1</v>
      </c>
      <c r="AI309" s="1011" t="s">
        <v>519</v>
      </c>
      <c r="AJ309" s="1011" t="s">
        <v>518</v>
      </c>
      <c r="AK309" s="1011" t="s">
        <v>2062</v>
      </c>
      <c r="AL309" s="1011" t="s">
        <v>2063</v>
      </c>
    </row>
    <row r="310" spans="1:43" ht="15.75" customHeight="1" x14ac:dyDescent="0.2">
      <c r="A310" s="1018" t="s">
        <v>521</v>
      </c>
      <c r="B310" s="1019" t="s">
        <v>520</v>
      </c>
      <c r="C310" s="1020">
        <v>0.4</v>
      </c>
      <c r="D310" s="597" t="s">
        <v>658</v>
      </c>
      <c r="E310" s="597" t="s">
        <v>659</v>
      </c>
      <c r="F310" s="1020">
        <v>0.09</v>
      </c>
      <c r="G310" s="597" t="s">
        <v>655</v>
      </c>
      <c r="H310" s="597" t="s">
        <v>656</v>
      </c>
      <c r="I310" s="1020">
        <v>0.01</v>
      </c>
      <c r="J310" s="1020">
        <f t="shared" si="12"/>
        <v>0.5</v>
      </c>
      <c r="K310" s="1020"/>
      <c r="L310" s="1020">
        <v>0.4</v>
      </c>
      <c r="M310" s="597" t="s">
        <v>658</v>
      </c>
      <c r="N310" s="597" t="s">
        <v>659</v>
      </c>
      <c r="O310" s="1020">
        <v>0.09</v>
      </c>
      <c r="P310" s="597" t="s">
        <v>655</v>
      </c>
      <c r="Q310" s="597" t="s">
        <v>656</v>
      </c>
      <c r="R310" s="1020">
        <v>0.01</v>
      </c>
      <c r="S310" s="1020">
        <f t="shared" si="13"/>
        <v>0.5</v>
      </c>
      <c r="T310" s="947"/>
      <c r="U310" s="877"/>
      <c r="V310" s="877"/>
      <c r="W310" s="877"/>
      <c r="X310" s="1015"/>
      <c r="Y310" s="924"/>
      <c r="Z310" s="883"/>
      <c r="AA310" s="925"/>
      <c r="AB310" s="912"/>
      <c r="AC310" s="1011" t="s">
        <v>1206</v>
      </c>
      <c r="AD310" s="1011" t="s">
        <v>1206</v>
      </c>
      <c r="AE310" s="1011" t="s">
        <v>1206</v>
      </c>
      <c r="AF310" s="1011" t="s">
        <v>1206</v>
      </c>
      <c r="AH310" s="1011" t="b">
        <f t="shared" si="14"/>
        <v>1</v>
      </c>
      <c r="AI310" s="1011" t="s">
        <v>521</v>
      </c>
      <c r="AJ310" s="1011" t="s">
        <v>520</v>
      </c>
      <c r="AK310" s="1011" t="s">
        <v>1782</v>
      </c>
      <c r="AL310" s="1011" t="s">
        <v>1783</v>
      </c>
    </row>
    <row r="311" spans="1:43" ht="15.75" customHeight="1" x14ac:dyDescent="0.2">
      <c r="A311" s="1018" t="s">
        <v>523</v>
      </c>
      <c r="B311" s="1019" t="s">
        <v>522</v>
      </c>
      <c r="C311" s="1020">
        <v>0.4</v>
      </c>
      <c r="D311" s="597" t="s">
        <v>711</v>
      </c>
      <c r="E311" s="597" t="s">
        <v>712</v>
      </c>
      <c r="F311" s="1020">
        <v>0.09</v>
      </c>
      <c r="G311" s="597" t="s">
        <v>708</v>
      </c>
      <c r="H311" s="597" t="s">
        <v>709</v>
      </c>
      <c r="I311" s="1020">
        <v>0.01</v>
      </c>
      <c r="J311" s="1020">
        <f t="shared" si="12"/>
        <v>0.5</v>
      </c>
      <c r="K311" s="1020"/>
      <c r="L311" s="1020">
        <v>0.4</v>
      </c>
      <c r="M311" s="597" t="s">
        <v>711</v>
      </c>
      <c r="N311" s="597" t="s">
        <v>712</v>
      </c>
      <c r="O311" s="1020">
        <v>0.09</v>
      </c>
      <c r="P311" s="597" t="s">
        <v>708</v>
      </c>
      <c r="Q311" s="597" t="s">
        <v>709</v>
      </c>
      <c r="R311" s="1020">
        <v>0.01</v>
      </c>
      <c r="S311" s="1020">
        <f t="shared" si="13"/>
        <v>0.5</v>
      </c>
      <c r="T311" s="947"/>
      <c r="U311" s="877"/>
      <c r="V311" s="877"/>
      <c r="W311" s="877"/>
      <c r="X311" s="1015"/>
      <c r="Y311" s="924"/>
      <c r="Z311" s="883"/>
      <c r="AA311" s="925"/>
      <c r="AB311" s="912"/>
      <c r="AC311" s="1011" t="s">
        <v>1206</v>
      </c>
      <c r="AD311" s="1011" t="s">
        <v>1206</v>
      </c>
      <c r="AE311" s="1011" t="s">
        <v>1206</v>
      </c>
      <c r="AF311" s="1011" t="s">
        <v>1206</v>
      </c>
      <c r="AH311" s="1011" t="b">
        <f t="shared" si="14"/>
        <v>1</v>
      </c>
      <c r="AI311" s="1011" t="s">
        <v>523</v>
      </c>
      <c r="AJ311" s="1011" t="s">
        <v>522</v>
      </c>
      <c r="AK311" s="1011" t="s">
        <v>2064</v>
      </c>
      <c r="AL311" s="1011" t="s">
        <v>2065</v>
      </c>
    </row>
    <row r="312" spans="1:43" ht="15.75" customHeight="1" x14ac:dyDescent="0.2">
      <c r="A312" s="1018" t="s">
        <v>525</v>
      </c>
      <c r="B312" s="1019" t="s">
        <v>524</v>
      </c>
      <c r="C312" s="1020">
        <v>0.4</v>
      </c>
      <c r="D312" s="597" t="s">
        <v>721</v>
      </c>
      <c r="E312" s="597" t="s">
        <v>722</v>
      </c>
      <c r="F312" s="1020">
        <v>0.1</v>
      </c>
      <c r="G312" s="597" t="s">
        <v>600</v>
      </c>
      <c r="H312" s="597" t="s">
        <v>639</v>
      </c>
      <c r="I312" s="1020">
        <v>0</v>
      </c>
      <c r="J312" s="1020">
        <f t="shared" si="12"/>
        <v>0.5</v>
      </c>
      <c r="K312" s="1020"/>
      <c r="L312" s="1020">
        <v>0.4</v>
      </c>
      <c r="M312" s="597" t="s">
        <v>721</v>
      </c>
      <c r="N312" s="597" t="s">
        <v>722</v>
      </c>
      <c r="O312" s="1020">
        <v>0.1</v>
      </c>
      <c r="P312" s="597" t="s">
        <v>600</v>
      </c>
      <c r="Q312" s="597" t="s">
        <v>639</v>
      </c>
      <c r="R312" s="1020">
        <v>0</v>
      </c>
      <c r="S312" s="1020">
        <f t="shared" si="13"/>
        <v>0.5</v>
      </c>
      <c r="T312" s="947"/>
      <c r="U312" s="877"/>
      <c r="V312" s="877"/>
      <c r="W312" s="877"/>
      <c r="X312" s="1015"/>
      <c r="Y312" s="924"/>
      <c r="Z312" s="883"/>
      <c r="AA312" s="925"/>
      <c r="AB312" s="912"/>
      <c r="AC312" s="1011" t="s">
        <v>1206</v>
      </c>
      <c r="AD312" s="1011" t="s">
        <v>1206</v>
      </c>
      <c r="AE312" s="1011" t="s">
        <v>1206</v>
      </c>
      <c r="AF312" s="1011" t="s">
        <v>1206</v>
      </c>
      <c r="AH312" s="1011" t="b">
        <f t="shared" si="14"/>
        <v>1</v>
      </c>
      <c r="AI312" s="1011" t="s">
        <v>525</v>
      </c>
      <c r="AJ312" s="1011" t="s">
        <v>524</v>
      </c>
      <c r="AK312" s="1011" t="s">
        <v>1653</v>
      </c>
      <c r="AL312" s="1011" t="s">
        <v>1654</v>
      </c>
    </row>
    <row r="313" spans="1:43" ht="15.75" customHeight="1" x14ac:dyDescent="0.2">
      <c r="A313" s="1018" t="s">
        <v>527</v>
      </c>
      <c r="B313" s="1019" t="s">
        <v>526</v>
      </c>
      <c r="C313" s="1020">
        <v>0.4</v>
      </c>
      <c r="D313" s="597" t="s">
        <v>739</v>
      </c>
      <c r="E313" s="597" t="s">
        <v>740</v>
      </c>
      <c r="F313" s="1020">
        <v>0.1</v>
      </c>
      <c r="G313" s="597" t="s">
        <v>600</v>
      </c>
      <c r="H313" s="597" t="s">
        <v>639</v>
      </c>
      <c r="I313" s="1020">
        <v>0</v>
      </c>
      <c r="J313" s="1020">
        <f t="shared" si="12"/>
        <v>0.5</v>
      </c>
      <c r="K313" s="1020"/>
      <c r="L313" s="1020">
        <v>0.4</v>
      </c>
      <c r="M313" s="597" t="s">
        <v>739</v>
      </c>
      <c r="N313" s="597" t="s">
        <v>740</v>
      </c>
      <c r="O313" s="1020">
        <v>0.1</v>
      </c>
      <c r="P313" s="597" t="s">
        <v>600</v>
      </c>
      <c r="Q313" s="597" t="s">
        <v>639</v>
      </c>
      <c r="R313" s="1020">
        <v>0</v>
      </c>
      <c r="S313" s="1020">
        <f t="shared" si="13"/>
        <v>0.5</v>
      </c>
      <c r="T313" s="949"/>
      <c r="U313" s="885"/>
      <c r="V313" s="885"/>
      <c r="W313" s="885"/>
      <c r="X313" s="1015"/>
      <c r="Y313" s="924"/>
      <c r="Z313" s="883"/>
      <c r="AA313" s="925"/>
      <c r="AB313" s="912"/>
      <c r="AC313" s="1011" t="s">
        <v>1206</v>
      </c>
      <c r="AD313" s="1011" t="s">
        <v>1206</v>
      </c>
      <c r="AE313" s="1011" t="s">
        <v>1206</v>
      </c>
      <c r="AF313" s="1011" t="s">
        <v>1206</v>
      </c>
      <c r="AH313" s="1011" t="b">
        <f t="shared" si="14"/>
        <v>1</v>
      </c>
      <c r="AI313" s="1011" t="s">
        <v>527</v>
      </c>
      <c r="AJ313" s="1011" t="s">
        <v>526</v>
      </c>
      <c r="AK313" s="1011" t="s">
        <v>1410</v>
      </c>
      <c r="AL313" s="1011" t="s">
        <v>2066</v>
      </c>
    </row>
    <row r="314" spans="1:43" ht="15.75" customHeight="1" x14ac:dyDescent="0.2">
      <c r="A314" s="1018" t="s">
        <v>529</v>
      </c>
      <c r="B314" s="1019" t="s">
        <v>528</v>
      </c>
      <c r="C314" s="1020">
        <v>0.4</v>
      </c>
      <c r="D314" s="597" t="s">
        <v>744</v>
      </c>
      <c r="E314" s="597" t="s">
        <v>745</v>
      </c>
      <c r="F314" s="1020">
        <v>0.09</v>
      </c>
      <c r="G314" s="597" t="s">
        <v>649</v>
      </c>
      <c r="H314" s="597" t="s">
        <v>650</v>
      </c>
      <c r="I314" s="1020">
        <v>0.01</v>
      </c>
      <c r="J314" s="1020">
        <f t="shared" si="12"/>
        <v>0.5</v>
      </c>
      <c r="K314" s="1020"/>
      <c r="L314" s="1020">
        <v>0.4</v>
      </c>
      <c r="M314" s="597" t="s">
        <v>744</v>
      </c>
      <c r="N314" s="597" t="s">
        <v>745</v>
      </c>
      <c r="O314" s="1020">
        <v>0.09</v>
      </c>
      <c r="P314" s="597" t="s">
        <v>649</v>
      </c>
      <c r="Q314" s="597" t="s">
        <v>650</v>
      </c>
      <c r="R314" s="1020">
        <v>0.01</v>
      </c>
      <c r="S314" s="1020">
        <f t="shared" si="13"/>
        <v>0.5</v>
      </c>
      <c r="T314" s="947"/>
      <c r="U314" s="877"/>
      <c r="V314" s="877"/>
      <c r="W314" s="877"/>
      <c r="X314" s="1015"/>
      <c r="Y314" s="924"/>
      <c r="Z314" s="883"/>
      <c r="AA314" s="925"/>
      <c r="AB314" s="912"/>
      <c r="AC314" s="1011" t="s">
        <v>1206</v>
      </c>
      <c r="AD314" s="1011" t="s">
        <v>1206</v>
      </c>
      <c r="AE314" s="1011" t="s">
        <v>1206</v>
      </c>
      <c r="AF314" s="1011" t="s">
        <v>1206</v>
      </c>
      <c r="AH314" s="1011" t="b">
        <f t="shared" si="14"/>
        <v>1</v>
      </c>
      <c r="AI314" s="1011" t="s">
        <v>529</v>
      </c>
      <c r="AJ314" s="1011" t="s">
        <v>528</v>
      </c>
      <c r="AK314" s="1011" t="s">
        <v>1980</v>
      </c>
      <c r="AL314" s="1011" t="s">
        <v>1981</v>
      </c>
    </row>
    <row r="315" spans="1:43" ht="15.75" customHeight="1" x14ac:dyDescent="0.2">
      <c r="A315" s="1018" t="s">
        <v>531</v>
      </c>
      <c r="B315" s="1019" t="s">
        <v>530</v>
      </c>
      <c r="C315" s="1020">
        <v>0.3</v>
      </c>
      <c r="D315" s="597" t="s">
        <v>779</v>
      </c>
      <c r="E315" s="597" t="s">
        <v>780</v>
      </c>
      <c r="F315" s="1020">
        <v>0.37</v>
      </c>
      <c r="G315" s="597" t="s">
        <v>600</v>
      </c>
      <c r="H315" s="597" t="s">
        <v>600</v>
      </c>
      <c r="I315" s="1020">
        <v>0</v>
      </c>
      <c r="J315" s="1020">
        <f t="shared" si="12"/>
        <v>0.66999999999999993</v>
      </c>
      <c r="K315" s="1020"/>
      <c r="L315" s="1020">
        <v>0.3</v>
      </c>
      <c r="M315" s="597" t="s">
        <v>779</v>
      </c>
      <c r="N315" s="597" t="s">
        <v>780</v>
      </c>
      <c r="O315" s="1020">
        <v>0.2</v>
      </c>
      <c r="P315" s="597" t="s">
        <v>600</v>
      </c>
      <c r="Q315" s="597" t="s">
        <v>600</v>
      </c>
      <c r="R315" s="1020">
        <v>0</v>
      </c>
      <c r="S315" s="1020">
        <f t="shared" si="13"/>
        <v>0.5</v>
      </c>
      <c r="T315" s="947"/>
      <c r="U315" s="877"/>
      <c r="V315" s="877"/>
      <c r="W315" s="877"/>
      <c r="X315" s="937" t="s">
        <v>1005</v>
      </c>
      <c r="Y315" s="924"/>
      <c r="Z315" s="883"/>
      <c r="AA315" s="925"/>
      <c r="AB315" s="914" t="s">
        <v>1005</v>
      </c>
      <c r="AC315" s="1011" t="s">
        <v>1206</v>
      </c>
      <c r="AD315" s="1011" t="s">
        <v>1206</v>
      </c>
      <c r="AE315" s="1011" t="s">
        <v>1206</v>
      </c>
      <c r="AF315" s="1011" t="s">
        <v>1206</v>
      </c>
      <c r="AH315" s="1011" t="b">
        <f t="shared" si="14"/>
        <v>1</v>
      </c>
      <c r="AI315" s="1011" t="s">
        <v>531</v>
      </c>
      <c r="AJ315" s="1011" t="s">
        <v>530</v>
      </c>
      <c r="AK315" s="1011" t="s">
        <v>2067</v>
      </c>
      <c r="AL315" s="1011" t="s">
        <v>2068</v>
      </c>
    </row>
    <row r="316" spans="1:43" ht="15.75" customHeight="1" x14ac:dyDescent="0.2">
      <c r="A316" s="1018" t="s">
        <v>533</v>
      </c>
      <c r="B316" s="1019" t="s">
        <v>660</v>
      </c>
      <c r="C316" s="1020">
        <v>0.4</v>
      </c>
      <c r="D316" s="597" t="s">
        <v>658</v>
      </c>
      <c r="E316" s="597" t="s">
        <v>659</v>
      </c>
      <c r="F316" s="1020">
        <v>0.09</v>
      </c>
      <c r="G316" s="597" t="s">
        <v>655</v>
      </c>
      <c r="H316" s="597" t="s">
        <v>656</v>
      </c>
      <c r="I316" s="1020">
        <v>0.01</v>
      </c>
      <c r="J316" s="1020">
        <f t="shared" si="12"/>
        <v>0.5</v>
      </c>
      <c r="K316" s="1020"/>
      <c r="L316" s="1020">
        <v>0.4</v>
      </c>
      <c r="M316" s="597" t="s">
        <v>658</v>
      </c>
      <c r="N316" s="597" t="s">
        <v>659</v>
      </c>
      <c r="O316" s="1020">
        <v>0.09</v>
      </c>
      <c r="P316" s="597" t="s">
        <v>655</v>
      </c>
      <c r="Q316" s="597" t="s">
        <v>656</v>
      </c>
      <c r="R316" s="1020">
        <v>0.01</v>
      </c>
      <c r="S316" s="1020">
        <f t="shared" si="13"/>
        <v>0.5</v>
      </c>
      <c r="T316" s="947"/>
      <c r="U316" s="877"/>
      <c r="V316" s="877"/>
      <c r="W316" s="877"/>
      <c r="X316" s="1015"/>
      <c r="Y316" s="924"/>
      <c r="Z316" s="883"/>
      <c r="AA316" s="925"/>
      <c r="AB316" s="912"/>
      <c r="AC316" s="1011" t="s">
        <v>1206</v>
      </c>
      <c r="AD316" s="1011" t="s">
        <v>1206</v>
      </c>
      <c r="AE316" s="1011" t="s">
        <v>1206</v>
      </c>
      <c r="AF316" s="1011" t="s">
        <v>1206</v>
      </c>
      <c r="AH316" s="1011" t="b">
        <f t="shared" si="14"/>
        <v>1</v>
      </c>
      <c r="AI316" s="1011" t="s">
        <v>533</v>
      </c>
      <c r="AJ316" s="1011" t="s">
        <v>532</v>
      </c>
      <c r="AK316" s="1011" t="s">
        <v>1782</v>
      </c>
      <c r="AL316" s="1011" t="s">
        <v>1783</v>
      </c>
    </row>
    <row r="317" spans="1:43" ht="15.75" customHeight="1" x14ac:dyDescent="0.2">
      <c r="A317" s="1018" t="s">
        <v>535</v>
      </c>
      <c r="B317" s="1019" t="s">
        <v>534</v>
      </c>
      <c r="C317" s="1020">
        <v>0.99</v>
      </c>
      <c r="D317" s="597" t="s">
        <v>600</v>
      </c>
      <c r="E317" s="597" t="s">
        <v>765</v>
      </c>
      <c r="F317" s="1020">
        <v>0</v>
      </c>
      <c r="G317" s="597" t="s">
        <v>766</v>
      </c>
      <c r="H317" s="597" t="s">
        <v>767</v>
      </c>
      <c r="I317" s="1020">
        <v>0.01</v>
      </c>
      <c r="J317" s="1020">
        <f t="shared" si="12"/>
        <v>1</v>
      </c>
      <c r="K317" s="1020"/>
      <c r="L317" s="1020">
        <v>0.49</v>
      </c>
      <c r="M317" s="597" t="s">
        <v>600</v>
      </c>
      <c r="N317" s="597" t="s">
        <v>765</v>
      </c>
      <c r="O317" s="1020">
        <v>0</v>
      </c>
      <c r="P317" s="597" t="s">
        <v>766</v>
      </c>
      <c r="Q317" s="597" t="s">
        <v>767</v>
      </c>
      <c r="R317" s="1020">
        <v>0.01</v>
      </c>
      <c r="S317" s="1020">
        <f t="shared" si="13"/>
        <v>0.5</v>
      </c>
      <c r="T317" s="947"/>
      <c r="U317" s="877"/>
      <c r="V317" s="877"/>
      <c r="W317" s="877"/>
      <c r="X317" s="937" t="s">
        <v>1005</v>
      </c>
      <c r="Y317" s="924"/>
      <c r="Z317" s="883"/>
      <c r="AA317" s="925"/>
      <c r="AB317" s="914" t="s">
        <v>1005</v>
      </c>
      <c r="AC317" s="1011" t="s">
        <v>1206</v>
      </c>
      <c r="AD317" s="1011" t="s">
        <v>1206</v>
      </c>
      <c r="AE317" s="1011" t="s">
        <v>1206</v>
      </c>
      <c r="AF317" s="1011" t="s">
        <v>1206</v>
      </c>
      <c r="AG317" s="1112"/>
      <c r="AH317" s="1011" t="b">
        <f t="shared" si="14"/>
        <v>1</v>
      </c>
      <c r="AI317" s="1011" t="s">
        <v>535</v>
      </c>
      <c r="AJ317" s="1011" t="s">
        <v>534</v>
      </c>
      <c r="AK317" s="1011" t="s">
        <v>2069</v>
      </c>
      <c r="AL317" s="1011" t="s">
        <v>2070</v>
      </c>
      <c r="AM317" s="1011" t="s">
        <v>2071</v>
      </c>
      <c r="AN317" s="1011" t="s">
        <v>2072</v>
      </c>
    </row>
    <row r="318" spans="1:43" ht="15.75" customHeight="1" x14ac:dyDescent="0.2">
      <c r="A318" s="1018" t="s">
        <v>537</v>
      </c>
      <c r="B318" s="1019" t="s">
        <v>536</v>
      </c>
      <c r="C318" s="1020">
        <v>0.49</v>
      </c>
      <c r="D318" s="597" t="s">
        <v>600</v>
      </c>
      <c r="E318" s="597" t="s">
        <v>601</v>
      </c>
      <c r="F318" s="1020">
        <v>0</v>
      </c>
      <c r="G318" s="597" t="s">
        <v>763</v>
      </c>
      <c r="H318" s="597" t="s">
        <v>764</v>
      </c>
      <c r="I318" s="1020">
        <v>0.01</v>
      </c>
      <c r="J318" s="1020">
        <f t="shared" si="12"/>
        <v>0.5</v>
      </c>
      <c r="K318" s="1020"/>
      <c r="L318" s="1020">
        <v>0.49</v>
      </c>
      <c r="M318" s="597" t="s">
        <v>600</v>
      </c>
      <c r="N318" s="597" t="s">
        <v>601</v>
      </c>
      <c r="O318" s="1020">
        <v>0</v>
      </c>
      <c r="P318" s="597" t="s">
        <v>763</v>
      </c>
      <c r="Q318" s="597" t="s">
        <v>764</v>
      </c>
      <c r="R318" s="1020">
        <v>0.01</v>
      </c>
      <c r="S318" s="1020">
        <f t="shared" si="13"/>
        <v>0.5</v>
      </c>
      <c r="T318" s="947"/>
      <c r="U318" s="877"/>
      <c r="V318" s="877"/>
      <c r="W318" s="877"/>
      <c r="X318" s="937" t="s">
        <v>1005</v>
      </c>
      <c r="Y318" s="924"/>
      <c r="Z318" s="883"/>
      <c r="AA318" s="925"/>
      <c r="AB318" s="914" t="s">
        <v>1005</v>
      </c>
      <c r="AC318" s="1011" t="s">
        <v>1206</v>
      </c>
      <c r="AD318" s="1011" t="s">
        <v>1206</v>
      </c>
      <c r="AE318" s="1011" t="s">
        <v>1206</v>
      </c>
      <c r="AF318" s="1011" t="s">
        <v>1206</v>
      </c>
      <c r="AH318" s="1011" t="b">
        <f t="shared" si="14"/>
        <v>1</v>
      </c>
      <c r="AI318" s="1011" t="s">
        <v>537</v>
      </c>
      <c r="AJ318" s="1011" t="s">
        <v>2073</v>
      </c>
      <c r="AK318" s="1011" t="s">
        <v>2074</v>
      </c>
      <c r="AL318" s="1011" t="s">
        <v>2075</v>
      </c>
    </row>
    <row r="319" spans="1:43" ht="15.75" customHeight="1" x14ac:dyDescent="0.2">
      <c r="A319" s="1018" t="s">
        <v>539</v>
      </c>
      <c r="B319" s="1019" t="s">
        <v>538</v>
      </c>
      <c r="C319" s="1020">
        <v>0.4</v>
      </c>
      <c r="D319" s="597" t="s">
        <v>685</v>
      </c>
      <c r="E319" s="597" t="s">
        <v>686</v>
      </c>
      <c r="F319" s="1020">
        <v>0.09</v>
      </c>
      <c r="G319" s="597" t="s">
        <v>682</v>
      </c>
      <c r="H319" s="597" t="s">
        <v>683</v>
      </c>
      <c r="I319" s="1020">
        <v>0.01</v>
      </c>
      <c r="J319" s="1020">
        <f t="shared" si="12"/>
        <v>0.5</v>
      </c>
      <c r="K319" s="1020"/>
      <c r="L319" s="1020">
        <v>0.4</v>
      </c>
      <c r="M319" s="597" t="s">
        <v>685</v>
      </c>
      <c r="N319" s="597" t="s">
        <v>686</v>
      </c>
      <c r="O319" s="1020">
        <v>0.09</v>
      </c>
      <c r="P319" s="597" t="s">
        <v>682</v>
      </c>
      <c r="Q319" s="597" t="s">
        <v>683</v>
      </c>
      <c r="R319" s="1020">
        <v>0.01</v>
      </c>
      <c r="S319" s="1020">
        <f t="shared" si="13"/>
        <v>0.5</v>
      </c>
      <c r="T319" s="947"/>
      <c r="U319" s="877"/>
      <c r="V319" s="877"/>
      <c r="W319" s="877"/>
      <c r="X319" s="1015"/>
      <c r="Y319" s="924"/>
      <c r="Z319" s="883"/>
      <c r="AA319" s="925"/>
      <c r="AB319" s="912"/>
      <c r="AC319" s="1011" t="s">
        <v>1206</v>
      </c>
      <c r="AD319" s="1011" t="s">
        <v>1206</v>
      </c>
      <c r="AE319" s="1011" t="s">
        <v>1206</v>
      </c>
      <c r="AF319" s="1011" t="s">
        <v>1206</v>
      </c>
      <c r="AH319" s="1011" t="b">
        <f t="shared" si="14"/>
        <v>1</v>
      </c>
      <c r="AI319" s="1011" t="s">
        <v>539</v>
      </c>
      <c r="AJ319" s="1011" t="s">
        <v>538</v>
      </c>
      <c r="AK319" s="1011" t="s">
        <v>2076</v>
      </c>
      <c r="AL319" s="1011" t="s">
        <v>2077</v>
      </c>
      <c r="AM319" s="1011" t="s">
        <v>2078</v>
      </c>
      <c r="AN319" s="1011" t="s">
        <v>2079</v>
      </c>
    </row>
    <row r="320" spans="1:43" ht="15.75" customHeight="1" x14ac:dyDescent="0.2">
      <c r="A320" s="1018" t="s">
        <v>541</v>
      </c>
      <c r="B320" s="1019" t="s">
        <v>616</v>
      </c>
      <c r="C320" s="1020">
        <v>0.49</v>
      </c>
      <c r="D320" s="597" t="s">
        <v>600</v>
      </c>
      <c r="E320" s="597" t="s">
        <v>601</v>
      </c>
      <c r="F320" s="1020">
        <v>0</v>
      </c>
      <c r="G320" s="597" t="s">
        <v>611</v>
      </c>
      <c r="H320" s="597" t="s">
        <v>612</v>
      </c>
      <c r="I320" s="1020">
        <v>0.01</v>
      </c>
      <c r="J320" s="1020">
        <f t="shared" si="12"/>
        <v>0.5</v>
      </c>
      <c r="K320" s="1020"/>
      <c r="L320" s="1020">
        <v>0.49</v>
      </c>
      <c r="M320" s="597" t="s">
        <v>600</v>
      </c>
      <c r="N320" s="597" t="s">
        <v>601</v>
      </c>
      <c r="O320" s="1020">
        <v>0</v>
      </c>
      <c r="P320" s="597" t="s">
        <v>611</v>
      </c>
      <c r="Q320" s="597" t="s">
        <v>612</v>
      </c>
      <c r="R320" s="1020">
        <v>0.01</v>
      </c>
      <c r="S320" s="1020">
        <f t="shared" si="13"/>
        <v>0.5</v>
      </c>
      <c r="T320" s="947"/>
      <c r="U320" s="877"/>
      <c r="V320" s="877"/>
      <c r="W320" s="877"/>
      <c r="X320" s="937" t="s">
        <v>1005</v>
      </c>
      <c r="Y320" s="918"/>
      <c r="Z320" s="878"/>
      <c r="AA320" s="919"/>
      <c r="AB320" s="914" t="s">
        <v>1005</v>
      </c>
      <c r="AC320" s="1011" t="s">
        <v>1206</v>
      </c>
      <c r="AD320" s="1011" t="s">
        <v>1206</v>
      </c>
      <c r="AE320" s="1011" t="s">
        <v>1206</v>
      </c>
      <c r="AF320" s="1011" t="s">
        <v>1206</v>
      </c>
      <c r="AH320" s="1011" t="b">
        <f t="shared" si="14"/>
        <v>1</v>
      </c>
      <c r="AI320" s="1011" t="s">
        <v>541</v>
      </c>
      <c r="AJ320" s="1011" t="s">
        <v>540</v>
      </c>
      <c r="AK320" s="1011" t="s">
        <v>2080</v>
      </c>
      <c r="AL320" s="1011" t="s">
        <v>2081</v>
      </c>
      <c r="AM320" s="1011" t="s">
        <v>2082</v>
      </c>
      <c r="AN320" s="1011" t="s">
        <v>1332</v>
      </c>
    </row>
    <row r="321" spans="1:43" ht="15" x14ac:dyDescent="0.2">
      <c r="A321" s="1018" t="s">
        <v>543</v>
      </c>
      <c r="B321" s="1019" t="s">
        <v>542</v>
      </c>
      <c r="C321" s="1020">
        <v>0.99</v>
      </c>
      <c r="D321" s="597" t="s">
        <v>600</v>
      </c>
      <c r="E321" s="597" t="s">
        <v>765</v>
      </c>
      <c r="F321" s="1020">
        <v>0</v>
      </c>
      <c r="G321" s="597" t="s">
        <v>768</v>
      </c>
      <c r="H321" s="597" t="s">
        <v>769</v>
      </c>
      <c r="I321" s="1020">
        <v>0.01</v>
      </c>
      <c r="J321" s="1020">
        <f t="shared" si="12"/>
        <v>1</v>
      </c>
      <c r="K321" s="1020"/>
      <c r="L321" s="1020">
        <v>0.49</v>
      </c>
      <c r="M321" s="597" t="s">
        <v>600</v>
      </c>
      <c r="N321" s="597" t="s">
        <v>765</v>
      </c>
      <c r="O321" s="1020">
        <v>0</v>
      </c>
      <c r="P321" s="597" t="s">
        <v>768</v>
      </c>
      <c r="Q321" s="597" t="s">
        <v>769</v>
      </c>
      <c r="R321" s="1020">
        <v>0.01</v>
      </c>
      <c r="S321" s="1020">
        <f t="shared" si="13"/>
        <v>0.5</v>
      </c>
      <c r="T321" s="947" t="s">
        <v>1005</v>
      </c>
      <c r="U321" s="877" t="s">
        <v>990</v>
      </c>
      <c r="V321" s="877"/>
      <c r="W321" s="877"/>
      <c r="X321" s="937" t="s">
        <v>1005</v>
      </c>
      <c r="Y321" s="1057">
        <v>858846</v>
      </c>
      <c r="Z321" s="888"/>
      <c r="AA321" s="927"/>
      <c r="AB321" s="914" t="s">
        <v>1005</v>
      </c>
      <c r="AC321" s="1011" t="s">
        <v>1206</v>
      </c>
      <c r="AD321" s="1011" t="s">
        <v>1206</v>
      </c>
      <c r="AE321" s="1011" t="s">
        <v>1206</v>
      </c>
      <c r="AF321" s="1011" t="s">
        <v>1206</v>
      </c>
      <c r="AH321" s="1011" t="b">
        <f t="shared" si="14"/>
        <v>1</v>
      </c>
      <c r="AI321" s="1011" t="s">
        <v>543</v>
      </c>
      <c r="AJ321" s="1011" t="s">
        <v>542</v>
      </c>
      <c r="AK321" s="1011" t="s">
        <v>2083</v>
      </c>
      <c r="AL321" s="1011" t="s">
        <v>2084</v>
      </c>
      <c r="AM321" s="1011" t="s">
        <v>2085</v>
      </c>
      <c r="AN321" s="1011" t="s">
        <v>2086</v>
      </c>
    </row>
    <row r="322" spans="1:43" ht="15.75" customHeight="1" x14ac:dyDescent="0.2">
      <c r="A322" s="1018" t="s">
        <v>545</v>
      </c>
      <c r="B322" s="1019" t="s">
        <v>544</v>
      </c>
      <c r="C322" s="1020">
        <v>0.4</v>
      </c>
      <c r="D322" s="597" t="s">
        <v>753</v>
      </c>
      <c r="E322" s="597" t="s">
        <v>754</v>
      </c>
      <c r="F322" s="1020">
        <v>0.1</v>
      </c>
      <c r="G322" s="597" t="s">
        <v>600</v>
      </c>
      <c r="H322" s="597" t="s">
        <v>639</v>
      </c>
      <c r="I322" s="1020">
        <v>0</v>
      </c>
      <c r="J322" s="1020">
        <f t="shared" si="12"/>
        <v>0.5</v>
      </c>
      <c r="K322" s="1020"/>
      <c r="L322" s="1020">
        <v>0.4</v>
      </c>
      <c r="M322" s="597" t="s">
        <v>753</v>
      </c>
      <c r="N322" s="597" t="s">
        <v>754</v>
      </c>
      <c r="O322" s="1020">
        <v>0.1</v>
      </c>
      <c r="P322" s="597" t="s">
        <v>600</v>
      </c>
      <c r="Q322" s="597" t="s">
        <v>639</v>
      </c>
      <c r="R322" s="1020">
        <v>0</v>
      </c>
      <c r="S322" s="1020">
        <f t="shared" si="13"/>
        <v>0.5</v>
      </c>
      <c r="T322" s="947"/>
      <c r="U322" s="877"/>
      <c r="V322" s="877"/>
      <c r="W322" s="877"/>
      <c r="X322" s="1015"/>
      <c r="Y322" s="924"/>
      <c r="Z322" s="883"/>
      <c r="AA322" s="925"/>
      <c r="AB322" s="912"/>
      <c r="AC322" s="1011" t="s">
        <v>1206</v>
      </c>
      <c r="AD322" s="1011" t="s">
        <v>1206</v>
      </c>
      <c r="AE322" s="1011" t="s">
        <v>1206</v>
      </c>
      <c r="AF322" s="1011" t="s">
        <v>1206</v>
      </c>
      <c r="AH322" s="1011" t="b">
        <f t="shared" si="14"/>
        <v>1</v>
      </c>
      <c r="AI322" s="1011" t="s">
        <v>545</v>
      </c>
      <c r="AJ322" s="1011" t="s">
        <v>544</v>
      </c>
      <c r="AK322" s="1011" t="s">
        <v>2087</v>
      </c>
      <c r="AL322" s="1011" t="s">
        <v>2088</v>
      </c>
    </row>
    <row r="323" spans="1:43" ht="15.75" customHeight="1" x14ac:dyDescent="0.2">
      <c r="A323" s="1018" t="s">
        <v>547</v>
      </c>
      <c r="B323" s="1019" t="s">
        <v>617</v>
      </c>
      <c r="C323" s="1020">
        <v>0.49</v>
      </c>
      <c r="D323" s="597" t="s">
        <v>600</v>
      </c>
      <c r="E323" s="597" t="s">
        <v>601</v>
      </c>
      <c r="F323" s="1020">
        <v>0</v>
      </c>
      <c r="G323" s="597" t="s">
        <v>611</v>
      </c>
      <c r="H323" s="597" t="s">
        <v>612</v>
      </c>
      <c r="I323" s="1020">
        <v>0.01</v>
      </c>
      <c r="J323" s="1020">
        <f t="shared" si="12"/>
        <v>0.5</v>
      </c>
      <c r="K323" s="1020"/>
      <c r="L323" s="1020">
        <v>0.49</v>
      </c>
      <c r="M323" s="597" t="s">
        <v>600</v>
      </c>
      <c r="N323" s="597" t="s">
        <v>601</v>
      </c>
      <c r="O323" s="1020">
        <v>0</v>
      </c>
      <c r="P323" s="597" t="s">
        <v>611</v>
      </c>
      <c r="Q323" s="597" t="s">
        <v>612</v>
      </c>
      <c r="R323" s="1020">
        <v>0.01</v>
      </c>
      <c r="S323" s="1020">
        <f t="shared" si="13"/>
        <v>0.5</v>
      </c>
      <c r="T323" s="947"/>
      <c r="U323" s="877"/>
      <c r="V323" s="877"/>
      <c r="W323" s="877"/>
      <c r="X323" s="937" t="s">
        <v>1005</v>
      </c>
      <c r="Y323" s="918"/>
      <c r="Z323" s="878"/>
      <c r="AA323" s="919"/>
      <c r="AB323" s="914" t="s">
        <v>1005</v>
      </c>
      <c r="AC323" s="1011" t="s">
        <v>1206</v>
      </c>
      <c r="AD323" s="1011" t="s">
        <v>1206</v>
      </c>
      <c r="AE323" s="1011" t="s">
        <v>1206</v>
      </c>
      <c r="AF323" s="1011" t="s">
        <v>1206</v>
      </c>
      <c r="AH323" s="1011" t="b">
        <f t="shared" si="14"/>
        <v>1</v>
      </c>
      <c r="AI323" s="1011" t="s">
        <v>547</v>
      </c>
      <c r="AJ323" s="1011" t="s">
        <v>546</v>
      </c>
      <c r="AK323" s="1011" t="s">
        <v>2089</v>
      </c>
      <c r="AL323" s="1011" t="s">
        <v>2090</v>
      </c>
    </row>
    <row r="324" spans="1:43" ht="15" x14ac:dyDescent="0.2">
      <c r="A324" s="1018" t="s">
        <v>549</v>
      </c>
      <c r="B324" s="1019" t="s">
        <v>548</v>
      </c>
      <c r="C324" s="1020">
        <v>0.99</v>
      </c>
      <c r="D324" s="597" t="s">
        <v>600</v>
      </c>
      <c r="E324" s="597" t="s">
        <v>765</v>
      </c>
      <c r="F324" s="1020">
        <v>0</v>
      </c>
      <c r="G324" s="597" t="s">
        <v>774</v>
      </c>
      <c r="H324" s="597" t="s">
        <v>775</v>
      </c>
      <c r="I324" s="1020">
        <v>0.01</v>
      </c>
      <c r="J324" s="1020">
        <f t="shared" si="12"/>
        <v>1</v>
      </c>
      <c r="K324" s="1020"/>
      <c r="L324" s="1020">
        <v>0.49</v>
      </c>
      <c r="M324" s="597" t="s">
        <v>600</v>
      </c>
      <c r="N324" s="597" t="s">
        <v>765</v>
      </c>
      <c r="O324" s="1020">
        <v>0</v>
      </c>
      <c r="P324" s="597" t="s">
        <v>774</v>
      </c>
      <c r="Q324" s="597" t="s">
        <v>775</v>
      </c>
      <c r="R324" s="1020">
        <v>0.01</v>
      </c>
      <c r="S324" s="1020">
        <f t="shared" si="13"/>
        <v>0.5</v>
      </c>
      <c r="T324" s="947" t="s">
        <v>1005</v>
      </c>
      <c r="U324" s="877" t="s">
        <v>1000</v>
      </c>
      <c r="V324" s="877"/>
      <c r="W324" s="877"/>
      <c r="X324" s="937" t="s">
        <v>1005</v>
      </c>
      <c r="Y324" s="926">
        <v>89287</v>
      </c>
      <c r="Z324" s="888"/>
      <c r="AA324" s="927"/>
      <c r="AB324" s="914" t="s">
        <v>1005</v>
      </c>
      <c r="AC324" s="1011" t="s">
        <v>1206</v>
      </c>
      <c r="AD324" s="1011" t="s">
        <v>1206</v>
      </c>
      <c r="AE324" s="1011" t="s">
        <v>1206</v>
      </c>
      <c r="AF324" s="1011" t="s">
        <v>1206</v>
      </c>
      <c r="AH324" s="1011" t="b">
        <f t="shared" si="14"/>
        <v>1</v>
      </c>
      <c r="AI324" s="1011" t="s">
        <v>549</v>
      </c>
      <c r="AJ324" s="1011" t="s">
        <v>548</v>
      </c>
      <c r="AK324" s="1011" t="s">
        <v>2091</v>
      </c>
      <c r="AL324" s="1011" t="s">
        <v>2092</v>
      </c>
    </row>
    <row r="325" spans="1:43" ht="15.75" customHeight="1" x14ac:dyDescent="0.2">
      <c r="A325" s="1018" t="s">
        <v>551</v>
      </c>
      <c r="B325" s="1019" t="s">
        <v>550</v>
      </c>
      <c r="C325" s="1020">
        <v>0.4</v>
      </c>
      <c r="D325" s="597" t="s">
        <v>690</v>
      </c>
      <c r="E325" s="597" t="s">
        <v>691</v>
      </c>
      <c r="F325" s="1020">
        <v>0.09</v>
      </c>
      <c r="G325" s="597" t="s">
        <v>688</v>
      </c>
      <c r="H325" s="597" t="s">
        <v>689</v>
      </c>
      <c r="I325" s="1020">
        <v>0.01</v>
      </c>
      <c r="J325" s="1020">
        <f t="shared" si="12"/>
        <v>0.5</v>
      </c>
      <c r="K325" s="1020"/>
      <c r="L325" s="1020">
        <v>0.4</v>
      </c>
      <c r="M325" s="597" t="s">
        <v>690</v>
      </c>
      <c r="N325" s="597" t="s">
        <v>691</v>
      </c>
      <c r="O325" s="1020">
        <v>0.09</v>
      </c>
      <c r="P325" s="597" t="s">
        <v>688</v>
      </c>
      <c r="Q325" s="597" t="s">
        <v>689</v>
      </c>
      <c r="R325" s="1020">
        <v>0.01</v>
      </c>
      <c r="S325" s="1020">
        <f t="shared" si="13"/>
        <v>0.5</v>
      </c>
      <c r="T325" s="947"/>
      <c r="U325" s="877"/>
      <c r="V325" s="877"/>
      <c r="W325" s="877"/>
      <c r="X325" s="1015"/>
      <c r="Y325" s="924"/>
      <c r="Z325" s="883"/>
      <c r="AA325" s="925"/>
      <c r="AB325" s="912"/>
      <c r="AC325" s="1011" t="s">
        <v>1206</v>
      </c>
      <c r="AD325" s="1011" t="s">
        <v>1206</v>
      </c>
      <c r="AE325" s="1011" t="s">
        <v>1206</v>
      </c>
      <c r="AF325" s="1011" t="s">
        <v>1206</v>
      </c>
      <c r="AH325" s="1011" t="b">
        <f t="shared" si="14"/>
        <v>1</v>
      </c>
      <c r="AI325" s="1011" t="s">
        <v>551</v>
      </c>
      <c r="AJ325" s="1011" t="s">
        <v>550</v>
      </c>
      <c r="AK325" s="1011" t="s">
        <v>1667</v>
      </c>
      <c r="AL325" s="1011" t="s">
        <v>1668</v>
      </c>
    </row>
    <row r="326" spans="1:43" ht="15.75" customHeight="1" x14ac:dyDescent="0.2">
      <c r="A326" s="1018" t="s">
        <v>553</v>
      </c>
      <c r="B326" s="1019" t="s">
        <v>552</v>
      </c>
      <c r="C326" s="1020">
        <v>0.4</v>
      </c>
      <c r="D326" s="597" t="s">
        <v>760</v>
      </c>
      <c r="E326" s="597" t="s">
        <v>761</v>
      </c>
      <c r="F326" s="1020">
        <v>0.1</v>
      </c>
      <c r="G326" s="597" t="s">
        <v>600</v>
      </c>
      <c r="H326" s="597" t="s">
        <v>639</v>
      </c>
      <c r="I326" s="1020">
        <v>0</v>
      </c>
      <c r="J326" s="1020">
        <f t="shared" ref="J326:J331" si="15">+C326+F326+I326</f>
        <v>0.5</v>
      </c>
      <c r="K326" s="1020"/>
      <c r="L326" s="1020">
        <v>0.4</v>
      </c>
      <c r="M326" s="597" t="s">
        <v>760</v>
      </c>
      <c r="N326" s="597" t="s">
        <v>761</v>
      </c>
      <c r="O326" s="1020">
        <v>0.1</v>
      </c>
      <c r="P326" s="597" t="s">
        <v>600</v>
      </c>
      <c r="Q326" s="597" t="s">
        <v>639</v>
      </c>
      <c r="R326" s="1020">
        <v>0</v>
      </c>
      <c r="S326" s="1020">
        <f t="shared" ref="S326:S331" si="16">+L326+O326+R326</f>
        <v>0.5</v>
      </c>
      <c r="T326" s="947"/>
      <c r="U326" s="877"/>
      <c r="V326" s="877"/>
      <c r="W326" s="877"/>
      <c r="X326" s="1015"/>
      <c r="Y326" s="924"/>
      <c r="Z326" s="883"/>
      <c r="AA326" s="925"/>
      <c r="AB326" s="912"/>
      <c r="AC326" s="1011" t="s">
        <v>1206</v>
      </c>
      <c r="AD326" s="1011" t="s">
        <v>1206</v>
      </c>
      <c r="AE326" s="1011" t="s">
        <v>1206</v>
      </c>
      <c r="AF326" s="1011" t="s">
        <v>1206</v>
      </c>
      <c r="AH326" s="1011" t="b">
        <f t="shared" ref="AH326:AH331" si="17">+A326=AI326</f>
        <v>1</v>
      </c>
      <c r="AI326" s="1011" t="s">
        <v>553</v>
      </c>
      <c r="AJ326" s="1011" t="s">
        <v>552</v>
      </c>
      <c r="AK326" s="1011" t="s">
        <v>2093</v>
      </c>
      <c r="AL326" s="1011" t="s">
        <v>2094</v>
      </c>
      <c r="AM326" s="1011" t="s">
        <v>2095</v>
      </c>
      <c r="AN326" s="1011" t="s">
        <v>2096</v>
      </c>
    </row>
    <row r="327" spans="1:43" ht="15.75" customHeight="1" x14ac:dyDescent="0.2">
      <c r="A327" s="1018" t="s">
        <v>555</v>
      </c>
      <c r="B327" s="1019" t="s">
        <v>554</v>
      </c>
      <c r="C327" s="1020">
        <v>0.4</v>
      </c>
      <c r="D327" s="597" t="s">
        <v>690</v>
      </c>
      <c r="E327" s="597" t="s">
        <v>691</v>
      </c>
      <c r="F327" s="1020">
        <v>0.09</v>
      </c>
      <c r="G327" s="597" t="s">
        <v>688</v>
      </c>
      <c r="H327" s="597" t="s">
        <v>689</v>
      </c>
      <c r="I327" s="1020">
        <v>0.01</v>
      </c>
      <c r="J327" s="1020">
        <f t="shared" si="15"/>
        <v>0.5</v>
      </c>
      <c r="K327" s="1020"/>
      <c r="L327" s="1020">
        <v>0.4</v>
      </c>
      <c r="M327" s="597" t="s">
        <v>690</v>
      </c>
      <c r="N327" s="597" t="s">
        <v>691</v>
      </c>
      <c r="O327" s="1020">
        <v>0.09</v>
      </c>
      <c r="P327" s="597" t="s">
        <v>688</v>
      </c>
      <c r="Q327" s="597" t="s">
        <v>689</v>
      </c>
      <c r="R327" s="1020">
        <v>0.01</v>
      </c>
      <c r="S327" s="1020">
        <f t="shared" si="16"/>
        <v>0.5</v>
      </c>
      <c r="T327" s="947"/>
      <c r="U327" s="877"/>
      <c r="V327" s="877"/>
      <c r="W327" s="877"/>
      <c r="X327" s="1015"/>
      <c r="Y327" s="924"/>
      <c r="Z327" s="883"/>
      <c r="AA327" s="925"/>
      <c r="AB327" s="912"/>
      <c r="AC327" s="1011" t="s">
        <v>1206</v>
      </c>
      <c r="AD327" s="1011" t="s">
        <v>1206</v>
      </c>
      <c r="AE327" s="1011" t="s">
        <v>1206</v>
      </c>
      <c r="AF327" s="1011" t="s">
        <v>1206</v>
      </c>
      <c r="AH327" s="1011" t="b">
        <f t="shared" si="17"/>
        <v>1</v>
      </c>
      <c r="AI327" s="1011" t="s">
        <v>555</v>
      </c>
      <c r="AJ327" s="1011" t="s">
        <v>554</v>
      </c>
      <c r="AK327" s="1011" t="s">
        <v>1667</v>
      </c>
      <c r="AL327" s="1011" t="s">
        <v>1668</v>
      </c>
    </row>
    <row r="328" spans="1:43" ht="15.75" customHeight="1" x14ac:dyDescent="0.2">
      <c r="A328" s="1018" t="s">
        <v>557</v>
      </c>
      <c r="B328" s="1019" t="s">
        <v>556</v>
      </c>
      <c r="C328" s="1020">
        <v>0.4</v>
      </c>
      <c r="D328" s="597" t="s">
        <v>621</v>
      </c>
      <c r="E328" s="597" t="s">
        <v>622</v>
      </c>
      <c r="F328" s="1020">
        <v>0.09</v>
      </c>
      <c r="G328" s="597" t="s">
        <v>619</v>
      </c>
      <c r="H328" s="597" t="s">
        <v>620</v>
      </c>
      <c r="I328" s="1020">
        <v>0.01</v>
      </c>
      <c r="J328" s="1020">
        <f t="shared" si="15"/>
        <v>0.5</v>
      </c>
      <c r="K328" s="1020"/>
      <c r="L328" s="1020">
        <v>0.4</v>
      </c>
      <c r="M328" s="597" t="s">
        <v>621</v>
      </c>
      <c r="N328" s="597" t="s">
        <v>622</v>
      </c>
      <c r="O328" s="1020">
        <v>0.09</v>
      </c>
      <c r="P328" s="597" t="s">
        <v>619</v>
      </c>
      <c r="Q328" s="597" t="s">
        <v>620</v>
      </c>
      <c r="R328" s="1020">
        <v>0.01</v>
      </c>
      <c r="S328" s="1020">
        <f t="shared" si="16"/>
        <v>0.5</v>
      </c>
      <c r="T328" s="947"/>
      <c r="U328" s="877"/>
      <c r="V328" s="877"/>
      <c r="W328" s="877"/>
      <c r="X328" s="1015"/>
      <c r="Y328" s="924"/>
      <c r="Z328" s="883"/>
      <c r="AA328" s="925"/>
      <c r="AB328" s="912"/>
      <c r="AC328" s="1011" t="s">
        <v>1206</v>
      </c>
      <c r="AD328" s="1011" t="s">
        <v>1206</v>
      </c>
      <c r="AE328" s="1011" t="s">
        <v>1206</v>
      </c>
      <c r="AF328" s="1011" t="s">
        <v>1206</v>
      </c>
      <c r="AH328" s="1011" t="b">
        <f t="shared" si="17"/>
        <v>1</v>
      </c>
      <c r="AI328" s="1011" t="s">
        <v>557</v>
      </c>
      <c r="AJ328" s="1011" t="s">
        <v>556</v>
      </c>
      <c r="AK328" s="1011" t="s">
        <v>2097</v>
      </c>
      <c r="AL328" s="1011" t="s">
        <v>2098</v>
      </c>
    </row>
    <row r="329" spans="1:43" ht="13.5" customHeight="1" x14ac:dyDescent="0.2">
      <c r="A329" s="1018" t="s">
        <v>559</v>
      </c>
      <c r="B329" s="1019" t="s">
        <v>558</v>
      </c>
      <c r="C329" s="1020">
        <v>0.4</v>
      </c>
      <c r="D329" s="597" t="s">
        <v>711</v>
      </c>
      <c r="E329" s="597" t="s">
        <v>712</v>
      </c>
      <c r="F329" s="1020">
        <v>0.09</v>
      </c>
      <c r="G329" s="597" t="s">
        <v>708</v>
      </c>
      <c r="H329" s="597" t="s">
        <v>709</v>
      </c>
      <c r="I329" s="1020">
        <v>0.01</v>
      </c>
      <c r="J329" s="1020">
        <f t="shared" si="15"/>
        <v>0.5</v>
      </c>
      <c r="K329" s="1020"/>
      <c r="L329" s="1020">
        <v>0.4</v>
      </c>
      <c r="M329" s="597" t="s">
        <v>711</v>
      </c>
      <c r="N329" s="597" t="s">
        <v>712</v>
      </c>
      <c r="O329" s="1020">
        <v>0.09</v>
      </c>
      <c r="P329" s="597" t="s">
        <v>708</v>
      </c>
      <c r="Q329" s="597" t="s">
        <v>709</v>
      </c>
      <c r="R329" s="1020">
        <v>0.01</v>
      </c>
      <c r="S329" s="1020">
        <f t="shared" si="16"/>
        <v>0.5</v>
      </c>
      <c r="T329" s="947" t="s">
        <v>1005</v>
      </c>
      <c r="U329" s="886" t="s">
        <v>1189</v>
      </c>
      <c r="V329" s="877"/>
      <c r="W329" s="877"/>
      <c r="X329" s="1015"/>
      <c r="Y329" s="1057">
        <f>+[9]Edited!$F$97</f>
        <v>2526622</v>
      </c>
      <c r="Z329" s="964"/>
      <c r="AA329" s="1023"/>
      <c r="AB329" s="912"/>
      <c r="AC329" s="1011" t="s">
        <v>1206</v>
      </c>
      <c r="AD329" s="1011" t="s">
        <v>1206</v>
      </c>
      <c r="AE329" s="1011" t="s">
        <v>1206</v>
      </c>
      <c r="AF329" s="1011" t="s">
        <v>1206</v>
      </c>
      <c r="AH329" s="1011" t="b">
        <f t="shared" si="17"/>
        <v>1</v>
      </c>
      <c r="AI329" s="1011" t="s">
        <v>559</v>
      </c>
      <c r="AJ329" s="1011" t="s">
        <v>558</v>
      </c>
      <c r="AK329" s="1011" t="s">
        <v>2099</v>
      </c>
      <c r="AL329" s="1011" t="s">
        <v>2100</v>
      </c>
      <c r="AO329" s="1011" t="s">
        <v>2100</v>
      </c>
      <c r="AP329" s="1011" t="s">
        <v>2101</v>
      </c>
      <c r="AQ329" s="1011" t="s">
        <v>2099</v>
      </c>
    </row>
    <row r="330" spans="1:43" ht="15.75" customHeight="1" x14ac:dyDescent="0.2">
      <c r="A330" s="1018" t="s">
        <v>561</v>
      </c>
      <c r="B330" s="1019" t="s">
        <v>560</v>
      </c>
      <c r="C330" s="1020">
        <v>0.4</v>
      </c>
      <c r="D330" s="597" t="s">
        <v>690</v>
      </c>
      <c r="E330" s="597" t="s">
        <v>691</v>
      </c>
      <c r="F330" s="1020">
        <v>0.09</v>
      </c>
      <c r="G330" s="597" t="s">
        <v>688</v>
      </c>
      <c r="H330" s="597" t="s">
        <v>689</v>
      </c>
      <c r="I330" s="1020">
        <v>0.01</v>
      </c>
      <c r="J330" s="1020">
        <f t="shared" si="15"/>
        <v>0.5</v>
      </c>
      <c r="K330" s="1020"/>
      <c r="L330" s="1020">
        <v>0.4</v>
      </c>
      <c r="M330" s="597" t="s">
        <v>690</v>
      </c>
      <c r="N330" s="597" t="s">
        <v>691</v>
      </c>
      <c r="O330" s="1020">
        <v>0.09</v>
      </c>
      <c r="P330" s="597" t="s">
        <v>688</v>
      </c>
      <c r="Q330" s="597" t="s">
        <v>689</v>
      </c>
      <c r="R330" s="1020">
        <v>0.01</v>
      </c>
      <c r="S330" s="1020">
        <f t="shared" si="16"/>
        <v>0.5</v>
      </c>
      <c r="T330" s="947"/>
      <c r="U330" s="877"/>
      <c r="V330" s="877"/>
      <c r="W330" s="877"/>
      <c r="X330" s="1015"/>
      <c r="Y330" s="931"/>
      <c r="Z330" s="895"/>
      <c r="AA330" s="932"/>
      <c r="AB330" s="912"/>
      <c r="AC330" s="1011" t="s">
        <v>1206</v>
      </c>
      <c r="AD330" s="1011" t="s">
        <v>1206</v>
      </c>
      <c r="AE330" s="1011" t="s">
        <v>1206</v>
      </c>
      <c r="AF330" s="1011" t="s">
        <v>1206</v>
      </c>
      <c r="AH330" s="1011" t="b">
        <f t="shared" si="17"/>
        <v>1</v>
      </c>
      <c r="AI330" s="1011" t="s">
        <v>561</v>
      </c>
      <c r="AJ330" s="1011" t="s">
        <v>560</v>
      </c>
      <c r="AK330" s="1011" t="s">
        <v>2102</v>
      </c>
      <c r="AL330" s="1011" t="s">
        <v>2103</v>
      </c>
      <c r="AM330" s="1011" t="s">
        <v>2104</v>
      </c>
      <c r="AN330" s="1011" t="s">
        <v>2105</v>
      </c>
    </row>
    <row r="331" spans="1:43" ht="15.75" customHeight="1" x14ac:dyDescent="0.2">
      <c r="A331" s="1018" t="s">
        <v>563</v>
      </c>
      <c r="B331" s="1019" t="s">
        <v>726</v>
      </c>
      <c r="C331" s="1020">
        <v>0.49</v>
      </c>
      <c r="D331" s="597" t="s">
        <v>600</v>
      </c>
      <c r="E331" s="597" t="s">
        <v>601</v>
      </c>
      <c r="F331" s="1020">
        <v>0</v>
      </c>
      <c r="G331" s="597" t="s">
        <v>727</v>
      </c>
      <c r="H331" s="597" t="s">
        <v>728</v>
      </c>
      <c r="I331" s="1020">
        <v>0.01</v>
      </c>
      <c r="J331" s="1020">
        <f t="shared" si="15"/>
        <v>0.5</v>
      </c>
      <c r="K331" s="1020"/>
      <c r="L331" s="1020">
        <v>0.49</v>
      </c>
      <c r="M331" s="597" t="s">
        <v>600</v>
      </c>
      <c r="N331" s="597" t="s">
        <v>601</v>
      </c>
      <c r="O331" s="1020">
        <v>0</v>
      </c>
      <c r="P331" s="597" t="s">
        <v>727</v>
      </c>
      <c r="Q331" s="597" t="s">
        <v>728</v>
      </c>
      <c r="R331" s="1020">
        <v>0.01</v>
      </c>
      <c r="S331" s="1020">
        <f t="shared" si="16"/>
        <v>0.5</v>
      </c>
      <c r="T331" s="1106" t="s">
        <v>1005</v>
      </c>
      <c r="U331" s="1107" t="s">
        <v>2249</v>
      </c>
      <c r="V331" s="896"/>
      <c r="W331" s="896"/>
      <c r="X331" s="937" t="s">
        <v>1005</v>
      </c>
      <c r="Y331" s="924"/>
      <c r="Z331" s="883"/>
      <c r="AA331" s="925"/>
      <c r="AB331" s="914" t="s">
        <v>1005</v>
      </c>
      <c r="AC331" s="1011" t="s">
        <v>1005</v>
      </c>
      <c r="AD331" s="1011" t="s">
        <v>1206</v>
      </c>
      <c r="AE331" s="1011" t="s">
        <v>1206</v>
      </c>
      <c r="AF331" s="1011" t="s">
        <v>1206</v>
      </c>
      <c r="AH331" s="1011" t="b">
        <f t="shared" si="17"/>
        <v>1</v>
      </c>
      <c r="AI331" s="1011" t="s">
        <v>563</v>
      </c>
      <c r="AJ331" s="1011" t="s">
        <v>562</v>
      </c>
      <c r="AK331" s="1011" t="s">
        <v>2106</v>
      </c>
      <c r="AL331" s="1011" t="s">
        <v>2107</v>
      </c>
    </row>
    <row r="332" spans="1:43" ht="16.5" customHeight="1" thickBot="1" x14ac:dyDescent="0.25">
      <c r="A332" s="897" t="s">
        <v>565</v>
      </c>
      <c r="B332" s="898" t="s">
        <v>1094</v>
      </c>
      <c r="C332" s="1026"/>
      <c r="D332" s="898"/>
      <c r="E332" s="898"/>
      <c r="F332" s="1026"/>
      <c r="G332" s="898"/>
      <c r="H332" s="898"/>
      <c r="I332" s="1026"/>
      <c r="J332" s="1026"/>
      <c r="K332" s="1026"/>
      <c r="L332" s="1026"/>
      <c r="M332" s="1026"/>
      <c r="N332" s="1026"/>
      <c r="O332" s="1026"/>
      <c r="P332" s="1026"/>
      <c r="Q332" s="1026"/>
      <c r="R332" s="1026"/>
      <c r="S332" s="1027"/>
      <c r="T332" s="951"/>
      <c r="U332" s="899"/>
      <c r="V332" s="899"/>
      <c r="W332" s="899"/>
      <c r="X332" s="940"/>
      <c r="Y332" s="933"/>
      <c r="Z332" s="900"/>
      <c r="AA332" s="934"/>
      <c r="AB332" s="916"/>
      <c r="AC332" s="1011" t="s">
        <v>1206</v>
      </c>
      <c r="AD332" s="1011" t="s">
        <v>1206</v>
      </c>
      <c r="AE332" s="1011" t="s">
        <v>1206</v>
      </c>
      <c r="AF332" s="1011" t="s">
        <v>1206</v>
      </c>
    </row>
    <row r="333" spans="1:43" x14ac:dyDescent="0.2">
      <c r="J333" s="1030"/>
      <c r="K333" s="1030"/>
      <c r="L333" s="1030"/>
      <c r="M333" s="1030"/>
      <c r="N333" s="1030"/>
      <c r="O333" s="1030"/>
      <c r="P333" s="1030"/>
      <c r="Q333" s="1030"/>
      <c r="R333" s="1030"/>
      <c r="T333" s="952"/>
      <c r="U333" s="941"/>
      <c r="V333" s="941"/>
      <c r="W333" s="941"/>
      <c r="Y333" s="1028"/>
      <c r="Z333" s="1028"/>
      <c r="AA333" s="1028"/>
    </row>
    <row r="334" spans="1:43" x14ac:dyDescent="0.2">
      <c r="J334" s="1032"/>
      <c r="K334" s="1032"/>
      <c r="L334" s="1032"/>
      <c r="M334" s="1032"/>
      <c r="N334" s="1032"/>
      <c r="O334" s="1032"/>
      <c r="P334" s="1032"/>
      <c r="Q334" s="1032"/>
      <c r="R334" s="1032"/>
      <c r="T334" s="952"/>
      <c r="U334" s="941"/>
      <c r="V334" s="941"/>
      <c r="W334" s="941"/>
      <c r="Y334" s="1028"/>
      <c r="Z334" s="1028"/>
      <c r="AA334" s="1028"/>
    </row>
    <row r="335" spans="1:43" x14ac:dyDescent="0.2">
      <c r="J335" s="1030"/>
      <c r="K335" s="1030"/>
      <c r="L335" s="1030"/>
      <c r="M335" s="1030"/>
      <c r="N335" s="1030"/>
      <c r="O335" s="1030"/>
      <c r="P335" s="1030"/>
      <c r="Q335" s="1030"/>
      <c r="R335" s="1030"/>
      <c r="T335" s="952"/>
      <c r="U335" s="941"/>
      <c r="V335" s="941"/>
      <c r="W335" s="941"/>
    </row>
    <row r="336" spans="1:43" x14ac:dyDescent="0.2">
      <c r="J336" s="1030"/>
      <c r="K336" s="1030"/>
      <c r="L336" s="1030"/>
      <c r="M336" s="1030"/>
      <c r="N336" s="1030"/>
      <c r="O336" s="1030"/>
      <c r="P336" s="1030"/>
      <c r="Q336" s="1030"/>
      <c r="R336" s="1030"/>
      <c r="T336" s="952"/>
      <c r="U336" s="941"/>
      <c r="V336" s="941"/>
      <c r="W336" s="941"/>
    </row>
    <row r="337" spans="10:25" s="1011" customFormat="1" x14ac:dyDescent="0.2">
      <c r="J337" s="1030"/>
      <c r="K337" s="1030"/>
      <c r="L337" s="1030"/>
      <c r="M337" s="1030"/>
      <c r="N337" s="1030"/>
      <c r="O337" s="1030"/>
      <c r="P337" s="1030"/>
      <c r="Q337" s="1030"/>
      <c r="R337" s="1030"/>
      <c r="S337" s="1031"/>
      <c r="T337" s="952"/>
      <c r="U337" s="941"/>
      <c r="V337" s="941"/>
      <c r="W337" s="941"/>
      <c r="Y337" s="1052"/>
    </row>
    <row r="338" spans="10:25" s="1011" customFormat="1" x14ac:dyDescent="0.2">
      <c r="J338" s="1030"/>
      <c r="K338" s="1030"/>
      <c r="L338" s="1030"/>
      <c r="M338" s="1030"/>
      <c r="N338" s="1030"/>
      <c r="O338" s="1030"/>
      <c r="P338" s="1030"/>
      <c r="Q338" s="1030"/>
      <c r="R338" s="1030"/>
      <c r="S338" s="1031"/>
      <c r="T338" s="952"/>
      <c r="U338" s="941"/>
      <c r="V338" s="941"/>
      <c r="W338" s="941"/>
      <c r="Y338" s="1052"/>
    </row>
    <row r="339" spans="10:25" s="1011" customFormat="1" x14ac:dyDescent="0.2">
      <c r="J339" s="1030"/>
      <c r="K339" s="1030"/>
      <c r="L339" s="1030"/>
      <c r="M339" s="1030"/>
      <c r="N339" s="1030"/>
      <c r="O339" s="1030"/>
      <c r="P339" s="1030"/>
      <c r="Q339" s="1030"/>
      <c r="R339" s="1030"/>
      <c r="S339" s="1031"/>
      <c r="T339" s="952"/>
      <c r="U339" s="941"/>
      <c r="V339" s="941"/>
      <c r="W339" s="941"/>
    </row>
    <row r="340" spans="10:25" s="1011" customFormat="1" x14ac:dyDescent="0.2">
      <c r="J340" s="1030"/>
      <c r="K340" s="1030"/>
      <c r="L340" s="1030"/>
      <c r="M340" s="1030"/>
      <c r="N340" s="1030"/>
      <c r="O340" s="1030"/>
      <c r="P340" s="1030"/>
      <c r="Q340" s="1030"/>
      <c r="R340" s="1030"/>
      <c r="S340" s="1031"/>
      <c r="T340" s="952"/>
      <c r="U340" s="941"/>
      <c r="V340" s="941"/>
      <c r="W340" s="941"/>
    </row>
    <row r="341" spans="10:25" s="1011" customFormat="1" x14ac:dyDescent="0.2">
      <c r="J341" s="1030"/>
      <c r="K341" s="1030"/>
      <c r="L341" s="1030"/>
      <c r="M341" s="1030"/>
      <c r="N341" s="1030"/>
      <c r="O341" s="1030"/>
      <c r="P341" s="1030"/>
      <c r="Q341" s="1030"/>
      <c r="R341" s="1030"/>
      <c r="S341" s="1031"/>
      <c r="T341" s="952"/>
      <c r="U341" s="941"/>
      <c r="V341" s="941"/>
      <c r="W341" s="941"/>
    </row>
    <row r="342" spans="10:25" s="1011" customFormat="1" x14ac:dyDescent="0.2">
      <c r="J342" s="1030"/>
      <c r="K342" s="1030"/>
      <c r="L342" s="1030"/>
      <c r="M342" s="1030"/>
      <c r="N342" s="1030"/>
      <c r="O342" s="1030"/>
      <c r="P342" s="1030"/>
      <c r="Q342" s="1030"/>
      <c r="R342" s="1030"/>
      <c r="S342" s="1031"/>
      <c r="T342" s="952"/>
      <c r="U342" s="941"/>
      <c r="V342" s="941"/>
      <c r="W342" s="941"/>
    </row>
    <row r="343" spans="10:25" s="1011" customFormat="1" x14ac:dyDescent="0.2">
      <c r="J343" s="1030"/>
      <c r="K343" s="1030"/>
      <c r="L343" s="1030"/>
      <c r="M343" s="1030"/>
      <c r="N343" s="1030"/>
      <c r="O343" s="1030"/>
      <c r="P343" s="1030"/>
      <c r="Q343" s="1030"/>
      <c r="R343" s="1030"/>
      <c r="S343" s="1031"/>
      <c r="T343" s="952"/>
      <c r="U343" s="941"/>
      <c r="V343" s="941"/>
      <c r="W343" s="941"/>
    </row>
    <row r="344" spans="10:25" s="1011" customFormat="1" x14ac:dyDescent="0.2">
      <c r="J344" s="1030"/>
      <c r="K344" s="1030"/>
      <c r="L344" s="1030"/>
      <c r="M344" s="1030"/>
      <c r="N344" s="1030"/>
      <c r="O344" s="1030"/>
      <c r="P344" s="1030"/>
      <c r="Q344" s="1030"/>
      <c r="R344" s="1030"/>
      <c r="S344" s="1031"/>
      <c r="T344" s="952"/>
      <c r="U344" s="941"/>
      <c r="V344" s="941"/>
      <c r="W344" s="941"/>
    </row>
    <row r="345" spans="10:25" s="1011" customFormat="1" x14ac:dyDescent="0.2">
      <c r="J345" s="1030"/>
      <c r="K345" s="1030"/>
      <c r="L345" s="1030"/>
      <c r="M345" s="1030"/>
      <c r="N345" s="1030"/>
      <c r="O345" s="1030"/>
      <c r="P345" s="1030"/>
      <c r="Q345" s="1030"/>
      <c r="R345" s="1030"/>
      <c r="S345" s="1031"/>
      <c r="T345" s="952"/>
      <c r="U345" s="941"/>
      <c r="V345" s="941"/>
      <c r="W345" s="941"/>
    </row>
    <row r="346" spans="10:25" s="1011" customFormat="1" x14ac:dyDescent="0.2">
      <c r="J346" s="1030"/>
      <c r="K346" s="1030"/>
      <c r="L346" s="1030"/>
      <c r="M346" s="1030"/>
      <c r="N346" s="1030"/>
      <c r="O346" s="1030"/>
      <c r="P346" s="1030"/>
      <c r="Q346" s="1030"/>
      <c r="R346" s="1030"/>
      <c r="S346" s="1031"/>
      <c r="T346" s="952"/>
      <c r="U346" s="941"/>
      <c r="V346" s="941"/>
      <c r="W346" s="941"/>
    </row>
    <row r="347" spans="10:25" s="1011" customFormat="1" x14ac:dyDescent="0.2">
      <c r="J347" s="1030"/>
      <c r="K347" s="1030"/>
      <c r="L347" s="1030"/>
      <c r="M347" s="1030"/>
      <c r="N347" s="1030"/>
      <c r="O347" s="1030"/>
      <c r="P347" s="1030"/>
      <c r="Q347" s="1030"/>
      <c r="R347" s="1030"/>
      <c r="S347" s="1031"/>
      <c r="T347" s="952"/>
      <c r="U347" s="941"/>
      <c r="V347" s="941"/>
      <c r="W347" s="941"/>
    </row>
    <row r="348" spans="10:25" s="1011" customFormat="1" x14ac:dyDescent="0.2">
      <c r="J348" s="1030"/>
      <c r="K348" s="1030"/>
      <c r="L348" s="1030"/>
      <c r="M348" s="1030"/>
      <c r="N348" s="1030"/>
      <c r="O348" s="1030"/>
      <c r="P348" s="1030"/>
      <c r="Q348" s="1030"/>
      <c r="R348" s="1030"/>
      <c r="S348" s="1031"/>
      <c r="T348" s="952"/>
      <c r="U348" s="941"/>
      <c r="V348" s="941"/>
      <c r="W348" s="941"/>
    </row>
    <row r="349" spans="10:25" s="1011" customFormat="1" x14ac:dyDescent="0.2">
      <c r="J349" s="1030"/>
      <c r="K349" s="1030"/>
      <c r="L349" s="1030"/>
      <c r="M349" s="1030"/>
      <c r="N349" s="1030"/>
      <c r="O349" s="1030"/>
      <c r="P349" s="1030"/>
      <c r="Q349" s="1030"/>
      <c r="R349" s="1030"/>
      <c r="S349" s="1031"/>
      <c r="T349" s="952"/>
      <c r="U349" s="941"/>
      <c r="V349" s="941"/>
      <c r="W349" s="941"/>
    </row>
    <row r="350" spans="10:25" s="1011" customFormat="1" x14ac:dyDescent="0.2">
      <c r="J350" s="1030"/>
      <c r="K350" s="1030"/>
      <c r="L350" s="1030"/>
      <c r="M350" s="1030"/>
      <c r="N350" s="1030"/>
      <c r="O350" s="1030"/>
      <c r="P350" s="1030"/>
      <c r="Q350" s="1030"/>
      <c r="R350" s="1030"/>
      <c r="S350" s="1031"/>
      <c r="T350" s="952"/>
      <c r="U350" s="941"/>
      <c r="V350" s="941"/>
      <c r="W350" s="941"/>
    </row>
    <row r="351" spans="10:25" s="1011" customFormat="1" x14ac:dyDescent="0.2">
      <c r="J351" s="1030"/>
      <c r="K351" s="1030"/>
      <c r="L351" s="1030"/>
      <c r="M351" s="1030"/>
      <c r="N351" s="1030"/>
      <c r="O351" s="1030"/>
      <c r="P351" s="1030"/>
      <c r="Q351" s="1030"/>
      <c r="R351" s="1030"/>
      <c r="S351" s="1031"/>
      <c r="T351" s="952"/>
      <c r="U351" s="941"/>
      <c r="V351" s="941"/>
      <c r="W351" s="941"/>
    </row>
    <row r="352" spans="10:25" s="1011" customFormat="1" x14ac:dyDescent="0.2">
      <c r="J352" s="1030"/>
      <c r="K352" s="1030"/>
      <c r="L352" s="1030"/>
      <c r="M352" s="1030"/>
      <c r="N352" s="1030"/>
      <c r="O352" s="1030"/>
      <c r="P352" s="1030"/>
      <c r="Q352" s="1030"/>
      <c r="R352" s="1030"/>
      <c r="S352" s="1031"/>
      <c r="T352" s="952"/>
      <c r="U352" s="941"/>
      <c r="V352" s="941"/>
      <c r="W352" s="941"/>
    </row>
    <row r="353" spans="10:23" s="1011" customFormat="1" x14ac:dyDescent="0.2">
      <c r="J353" s="1030"/>
      <c r="K353" s="1030"/>
      <c r="L353" s="1030"/>
      <c r="M353" s="1030"/>
      <c r="N353" s="1030"/>
      <c r="O353" s="1030"/>
      <c r="P353" s="1030"/>
      <c r="Q353" s="1030"/>
      <c r="R353" s="1030"/>
      <c r="S353" s="1031"/>
      <c r="T353" s="952"/>
      <c r="U353" s="941"/>
      <c r="V353" s="941"/>
      <c r="W353" s="941"/>
    </row>
    <row r="354" spans="10:23" s="1011" customFormat="1" x14ac:dyDescent="0.2">
      <c r="J354" s="1030"/>
      <c r="K354" s="1030"/>
      <c r="L354" s="1030"/>
      <c r="M354" s="1030"/>
      <c r="N354" s="1030"/>
      <c r="O354" s="1030"/>
      <c r="P354" s="1030"/>
      <c r="Q354" s="1030"/>
      <c r="R354" s="1030"/>
      <c r="S354" s="1031"/>
      <c r="T354" s="952"/>
      <c r="U354" s="941"/>
      <c r="V354" s="941"/>
      <c r="W354" s="941"/>
    </row>
    <row r="355" spans="10:23" s="1011" customFormat="1" x14ac:dyDescent="0.2">
      <c r="J355" s="1030"/>
      <c r="K355" s="1030"/>
      <c r="L355" s="1030"/>
      <c r="M355" s="1030"/>
      <c r="N355" s="1030"/>
      <c r="O355" s="1030"/>
      <c r="P355" s="1030"/>
      <c r="Q355" s="1030"/>
      <c r="R355" s="1030"/>
      <c r="S355" s="1031"/>
      <c r="T355" s="952"/>
      <c r="U355" s="941"/>
      <c r="V355" s="941"/>
      <c r="W355" s="941"/>
    </row>
    <row r="356" spans="10:23" s="1011" customFormat="1" x14ac:dyDescent="0.2">
      <c r="J356" s="1030"/>
      <c r="K356" s="1030"/>
      <c r="L356" s="1030"/>
      <c r="M356" s="1030"/>
      <c r="N356" s="1030"/>
      <c r="O356" s="1030"/>
      <c r="P356" s="1030"/>
      <c r="Q356" s="1030"/>
      <c r="R356" s="1030"/>
      <c r="S356" s="1031"/>
      <c r="T356" s="952"/>
      <c r="U356" s="941"/>
      <c r="V356" s="941"/>
      <c r="W356" s="941"/>
    </row>
    <row r="357" spans="10:23" s="1011" customFormat="1" x14ac:dyDescent="0.2">
      <c r="J357" s="1030"/>
      <c r="K357" s="1030"/>
      <c r="L357" s="1030"/>
      <c r="M357" s="1030"/>
      <c r="N357" s="1030"/>
      <c r="O357" s="1030"/>
      <c r="P357" s="1030"/>
      <c r="Q357" s="1030"/>
      <c r="R357" s="1030"/>
      <c r="S357" s="1031"/>
      <c r="T357" s="952"/>
      <c r="U357" s="941"/>
      <c r="V357" s="941"/>
      <c r="W357" s="941"/>
    </row>
    <row r="358" spans="10:23" s="1011" customFormat="1" x14ac:dyDescent="0.2">
      <c r="J358" s="1030"/>
      <c r="K358" s="1030"/>
      <c r="L358" s="1030"/>
      <c r="M358" s="1030"/>
      <c r="N358" s="1030"/>
      <c r="O358" s="1030"/>
      <c r="P358" s="1030"/>
      <c r="Q358" s="1030"/>
      <c r="R358" s="1030"/>
      <c r="S358" s="1031"/>
      <c r="T358" s="952"/>
      <c r="U358" s="941"/>
      <c r="V358" s="941"/>
      <c r="W358" s="941"/>
    </row>
    <row r="359" spans="10:23" s="1011" customFormat="1" x14ac:dyDescent="0.2">
      <c r="J359" s="1030"/>
      <c r="K359" s="1030"/>
      <c r="L359" s="1030"/>
      <c r="M359" s="1030"/>
      <c r="N359" s="1030"/>
      <c r="O359" s="1030"/>
      <c r="P359" s="1030"/>
      <c r="Q359" s="1030"/>
      <c r="R359" s="1030"/>
      <c r="S359" s="1031"/>
      <c r="T359" s="952"/>
      <c r="U359" s="941"/>
      <c r="V359" s="941"/>
      <c r="W359" s="941"/>
    </row>
    <row r="360" spans="10:23" s="1011" customFormat="1" x14ac:dyDescent="0.2">
      <c r="J360" s="1030"/>
      <c r="K360" s="1030"/>
      <c r="L360" s="1030"/>
      <c r="M360" s="1030"/>
      <c r="N360" s="1030"/>
      <c r="O360" s="1030"/>
      <c r="P360" s="1030"/>
      <c r="Q360" s="1030"/>
      <c r="R360" s="1030"/>
      <c r="S360" s="1031"/>
      <c r="T360" s="952"/>
      <c r="U360" s="941"/>
      <c r="V360" s="941"/>
      <c r="W360" s="941"/>
    </row>
    <row r="361" spans="10:23" s="1011" customFormat="1" x14ac:dyDescent="0.2">
      <c r="J361" s="1030"/>
      <c r="K361" s="1030"/>
      <c r="L361" s="1030"/>
      <c r="M361" s="1030"/>
      <c r="N361" s="1030"/>
      <c r="O361" s="1030"/>
      <c r="P361" s="1030"/>
      <c r="Q361" s="1030"/>
      <c r="R361" s="1030"/>
      <c r="S361" s="1031"/>
      <c r="T361" s="952"/>
      <c r="U361" s="941"/>
      <c r="V361" s="941"/>
      <c r="W361" s="941"/>
    </row>
    <row r="362" spans="10:23" s="1011" customFormat="1" x14ac:dyDescent="0.2">
      <c r="J362" s="1030"/>
      <c r="K362" s="1030"/>
      <c r="L362" s="1030"/>
      <c r="M362" s="1030"/>
      <c r="N362" s="1030"/>
      <c r="O362" s="1030"/>
      <c r="P362" s="1030"/>
      <c r="Q362" s="1030"/>
      <c r="R362" s="1030"/>
      <c r="S362" s="1031"/>
      <c r="T362" s="952"/>
      <c r="U362" s="941"/>
      <c r="V362" s="941"/>
      <c r="W362" s="941"/>
    </row>
    <row r="363" spans="10:23" s="1011" customFormat="1" x14ac:dyDescent="0.2">
      <c r="J363" s="1030"/>
      <c r="K363" s="1030"/>
      <c r="L363" s="1030"/>
      <c r="M363" s="1030"/>
      <c r="N363" s="1030"/>
      <c r="O363" s="1030"/>
      <c r="P363" s="1030"/>
      <c r="Q363" s="1030"/>
      <c r="R363" s="1030"/>
      <c r="S363" s="1031"/>
      <c r="T363" s="952"/>
      <c r="U363" s="941"/>
      <c r="V363" s="941"/>
      <c r="W363" s="941"/>
    </row>
    <row r="364" spans="10:23" s="1011" customFormat="1" x14ac:dyDescent="0.2">
      <c r="J364" s="1030"/>
      <c r="K364" s="1030"/>
      <c r="L364" s="1030"/>
      <c r="M364" s="1030"/>
      <c r="N364" s="1030"/>
      <c r="O364" s="1030"/>
      <c r="P364" s="1030"/>
      <c r="Q364" s="1030"/>
      <c r="R364" s="1030"/>
      <c r="S364" s="1031"/>
      <c r="T364" s="952"/>
      <c r="U364" s="941"/>
      <c r="V364" s="941"/>
      <c r="W364" s="941"/>
    </row>
    <row r="365" spans="10:23" s="1011" customFormat="1" x14ac:dyDescent="0.2">
      <c r="J365" s="1030"/>
      <c r="K365" s="1030"/>
      <c r="L365" s="1030"/>
      <c r="M365" s="1030"/>
      <c r="N365" s="1030"/>
      <c r="O365" s="1030"/>
      <c r="P365" s="1030"/>
      <c r="Q365" s="1030"/>
      <c r="R365" s="1030"/>
      <c r="S365" s="1031"/>
      <c r="T365" s="952"/>
      <c r="U365" s="941"/>
      <c r="V365" s="941"/>
      <c r="W365" s="941"/>
    </row>
    <row r="366" spans="10:23" s="1011" customFormat="1" x14ac:dyDescent="0.2">
      <c r="J366" s="1030"/>
      <c r="K366" s="1030"/>
      <c r="L366" s="1030"/>
      <c r="M366" s="1030"/>
      <c r="N366" s="1030"/>
      <c r="O366" s="1030"/>
      <c r="P366" s="1030"/>
      <c r="Q366" s="1030"/>
      <c r="R366" s="1030"/>
      <c r="S366" s="1031"/>
      <c r="T366" s="952"/>
      <c r="U366" s="941"/>
      <c r="V366" s="941"/>
      <c r="W366" s="941"/>
    </row>
    <row r="367" spans="10:23" s="1011" customFormat="1" x14ac:dyDescent="0.2">
      <c r="J367" s="1030"/>
      <c r="K367" s="1030"/>
      <c r="L367" s="1030"/>
      <c r="M367" s="1030"/>
      <c r="N367" s="1030"/>
      <c r="O367" s="1030"/>
      <c r="P367" s="1030"/>
      <c r="Q367" s="1030"/>
      <c r="R367" s="1030"/>
      <c r="S367" s="1031"/>
      <c r="T367" s="952"/>
      <c r="U367" s="941"/>
      <c r="V367" s="941"/>
      <c r="W367" s="941"/>
    </row>
    <row r="368" spans="10:23" s="1011" customFormat="1" x14ac:dyDescent="0.2">
      <c r="J368" s="1030"/>
      <c r="K368" s="1030"/>
      <c r="L368" s="1030"/>
      <c r="M368" s="1030"/>
      <c r="N368" s="1030"/>
      <c r="O368" s="1030"/>
      <c r="P368" s="1030"/>
      <c r="Q368" s="1030"/>
      <c r="R368" s="1030"/>
      <c r="S368" s="1031"/>
      <c r="T368" s="952"/>
      <c r="U368" s="941"/>
      <c r="V368" s="941"/>
      <c r="W368" s="941"/>
    </row>
    <row r="369" spans="10:23" s="1011" customFormat="1" x14ac:dyDescent="0.2">
      <c r="J369" s="1030"/>
      <c r="K369" s="1030"/>
      <c r="L369" s="1030"/>
      <c r="M369" s="1030"/>
      <c r="N369" s="1030"/>
      <c r="O369" s="1030"/>
      <c r="P369" s="1030"/>
      <c r="Q369" s="1030"/>
      <c r="R369" s="1030"/>
      <c r="S369" s="1031"/>
      <c r="T369" s="952"/>
      <c r="U369" s="941"/>
      <c r="V369" s="941"/>
      <c r="W369" s="941"/>
    </row>
    <row r="370" spans="10:23" s="1011" customFormat="1" x14ac:dyDescent="0.2">
      <c r="J370" s="1030"/>
      <c r="K370" s="1030"/>
      <c r="L370" s="1030"/>
      <c r="M370" s="1030"/>
      <c r="N370" s="1030"/>
      <c r="O370" s="1030"/>
      <c r="P370" s="1030"/>
      <c r="Q370" s="1030"/>
      <c r="R370" s="1030"/>
      <c r="S370" s="1031"/>
      <c r="T370" s="952"/>
      <c r="U370" s="941"/>
      <c r="V370" s="941"/>
      <c r="W370" s="941"/>
    </row>
    <row r="371" spans="10:23" s="1011" customFormat="1" x14ac:dyDescent="0.2">
      <c r="J371" s="1030"/>
      <c r="K371" s="1030"/>
      <c r="L371" s="1030"/>
      <c r="M371" s="1030"/>
      <c r="N371" s="1030"/>
      <c r="O371" s="1030"/>
      <c r="P371" s="1030"/>
      <c r="Q371" s="1030"/>
      <c r="R371" s="1030"/>
      <c r="S371" s="1031"/>
      <c r="T371" s="952"/>
      <c r="U371" s="941"/>
      <c r="V371" s="941"/>
      <c r="W371" s="941"/>
    </row>
    <row r="372" spans="10:23" s="1011" customFormat="1" x14ac:dyDescent="0.2">
      <c r="J372" s="1030"/>
      <c r="K372" s="1030"/>
      <c r="L372" s="1030"/>
      <c r="M372" s="1030"/>
      <c r="N372" s="1030"/>
      <c r="O372" s="1030"/>
      <c r="P372" s="1030"/>
      <c r="Q372" s="1030"/>
      <c r="R372" s="1030"/>
      <c r="S372" s="1031"/>
      <c r="T372" s="952"/>
      <c r="U372" s="941"/>
      <c r="V372" s="941"/>
      <c r="W372" s="941"/>
    </row>
    <row r="373" spans="10:23" s="1011" customFormat="1" x14ac:dyDescent="0.2">
      <c r="J373" s="1030"/>
      <c r="K373" s="1030"/>
      <c r="L373" s="1030"/>
      <c r="M373" s="1030"/>
      <c r="N373" s="1030"/>
      <c r="O373" s="1030"/>
      <c r="P373" s="1030"/>
      <c r="Q373" s="1030"/>
      <c r="R373" s="1030"/>
      <c r="S373" s="1031"/>
      <c r="T373" s="952"/>
      <c r="U373" s="941"/>
      <c r="V373" s="941"/>
      <c r="W373" s="941"/>
    </row>
    <row r="374" spans="10:23" s="1011" customFormat="1" x14ac:dyDescent="0.2">
      <c r="J374" s="1030"/>
      <c r="K374" s="1030"/>
      <c r="L374" s="1030"/>
      <c r="M374" s="1030"/>
      <c r="N374" s="1030"/>
      <c r="O374" s="1030"/>
      <c r="P374" s="1030"/>
      <c r="Q374" s="1030"/>
      <c r="R374" s="1030"/>
      <c r="S374" s="1031"/>
      <c r="T374" s="952"/>
      <c r="U374" s="941"/>
      <c r="V374" s="941"/>
      <c r="W374" s="941"/>
    </row>
    <row r="375" spans="10:23" s="1011" customFormat="1" x14ac:dyDescent="0.2">
      <c r="J375" s="1030"/>
      <c r="K375" s="1030"/>
      <c r="L375" s="1030"/>
      <c r="M375" s="1030"/>
      <c r="N375" s="1030"/>
      <c r="O375" s="1030"/>
      <c r="P375" s="1030"/>
      <c r="Q375" s="1030"/>
      <c r="R375" s="1030"/>
      <c r="S375" s="1031"/>
      <c r="T375" s="952"/>
      <c r="U375" s="941"/>
      <c r="V375" s="941"/>
      <c r="W375" s="941"/>
    </row>
    <row r="376" spans="10:23" s="1011" customFormat="1" x14ac:dyDescent="0.2">
      <c r="J376" s="1030"/>
      <c r="K376" s="1030"/>
      <c r="L376" s="1030"/>
      <c r="M376" s="1030"/>
      <c r="N376" s="1030"/>
      <c r="O376" s="1030"/>
      <c r="P376" s="1030"/>
      <c r="Q376" s="1030"/>
      <c r="R376" s="1030"/>
      <c r="S376" s="1031"/>
      <c r="T376" s="952"/>
      <c r="U376" s="941"/>
      <c r="V376" s="941"/>
      <c r="W376" s="941"/>
    </row>
    <row r="377" spans="10:23" s="1011" customFormat="1" x14ac:dyDescent="0.2">
      <c r="J377" s="1030"/>
      <c r="K377" s="1030"/>
      <c r="L377" s="1030"/>
      <c r="M377" s="1030"/>
      <c r="N377" s="1030"/>
      <c r="O377" s="1030"/>
      <c r="P377" s="1030"/>
      <c r="Q377" s="1030"/>
      <c r="R377" s="1030"/>
      <c r="S377" s="1031"/>
      <c r="T377" s="952"/>
      <c r="U377" s="941"/>
      <c r="V377" s="941"/>
      <c r="W377" s="941"/>
    </row>
    <row r="378" spans="10:23" s="1011" customFormat="1" x14ac:dyDescent="0.2">
      <c r="J378" s="1030"/>
      <c r="K378" s="1030"/>
      <c r="L378" s="1030"/>
      <c r="M378" s="1030"/>
      <c r="N378" s="1030"/>
      <c r="O378" s="1030"/>
      <c r="P378" s="1030"/>
      <c r="Q378" s="1030"/>
      <c r="R378" s="1030"/>
      <c r="S378" s="1031"/>
      <c r="T378" s="952"/>
      <c r="U378" s="941"/>
      <c r="V378" s="941"/>
      <c r="W378" s="941"/>
    </row>
    <row r="379" spans="10:23" s="1011" customFormat="1" x14ac:dyDescent="0.2">
      <c r="J379" s="1030"/>
      <c r="K379" s="1030"/>
      <c r="L379" s="1030"/>
      <c r="M379" s="1030"/>
      <c r="N379" s="1030"/>
      <c r="O379" s="1030"/>
      <c r="P379" s="1030"/>
      <c r="Q379" s="1030"/>
      <c r="R379" s="1030"/>
      <c r="S379" s="1031"/>
      <c r="T379" s="952"/>
      <c r="U379" s="941"/>
      <c r="V379" s="941"/>
      <c r="W379" s="941"/>
    </row>
    <row r="380" spans="10:23" s="1011" customFormat="1" x14ac:dyDescent="0.2">
      <c r="J380" s="1030"/>
      <c r="K380" s="1030"/>
      <c r="L380" s="1030"/>
      <c r="M380" s="1030"/>
      <c r="N380" s="1030"/>
      <c r="O380" s="1030"/>
      <c r="P380" s="1030"/>
      <c r="Q380" s="1030"/>
      <c r="R380" s="1030"/>
      <c r="S380" s="1031"/>
      <c r="T380" s="952"/>
      <c r="U380" s="941"/>
      <c r="V380" s="941"/>
      <c r="W380" s="941"/>
    </row>
    <row r="381" spans="10:23" s="1011" customFormat="1" x14ac:dyDescent="0.2">
      <c r="J381" s="1030"/>
      <c r="K381" s="1030"/>
      <c r="L381" s="1030"/>
      <c r="M381" s="1030"/>
      <c r="N381" s="1030"/>
      <c r="O381" s="1030"/>
      <c r="P381" s="1030"/>
      <c r="Q381" s="1030"/>
      <c r="R381" s="1030"/>
      <c r="S381" s="1031"/>
      <c r="T381" s="952"/>
      <c r="U381" s="941"/>
      <c r="V381" s="941"/>
      <c r="W381" s="941"/>
    </row>
    <row r="382" spans="10:23" s="1011" customFormat="1" x14ac:dyDescent="0.2">
      <c r="J382" s="1030"/>
      <c r="K382" s="1030"/>
      <c r="L382" s="1030"/>
      <c r="M382" s="1030"/>
      <c r="N382" s="1030"/>
      <c r="O382" s="1030"/>
      <c r="P382" s="1030"/>
      <c r="Q382" s="1030"/>
      <c r="R382" s="1030"/>
      <c r="S382" s="1031"/>
      <c r="T382" s="952"/>
      <c r="U382" s="941"/>
      <c r="V382" s="941"/>
      <c r="W382" s="941"/>
    </row>
    <row r="383" spans="10:23" s="1011" customFormat="1" x14ac:dyDescent="0.2">
      <c r="J383" s="1030"/>
      <c r="K383" s="1030"/>
      <c r="L383" s="1030"/>
      <c r="M383" s="1030"/>
      <c r="N383" s="1030"/>
      <c r="O383" s="1030"/>
      <c r="P383" s="1030"/>
      <c r="Q383" s="1030"/>
      <c r="R383" s="1030"/>
      <c r="S383" s="1031"/>
      <c r="T383" s="952"/>
      <c r="U383" s="941"/>
      <c r="V383" s="941"/>
      <c r="W383" s="941"/>
    </row>
    <row r="384" spans="10:23" s="1011" customFormat="1" x14ac:dyDescent="0.2">
      <c r="J384" s="1030"/>
      <c r="K384" s="1030"/>
      <c r="L384" s="1030"/>
      <c r="M384" s="1030"/>
      <c r="N384" s="1030"/>
      <c r="O384" s="1030"/>
      <c r="P384" s="1030"/>
      <c r="Q384" s="1030"/>
      <c r="R384" s="1030"/>
      <c r="S384" s="1031"/>
      <c r="T384" s="952"/>
      <c r="U384" s="941"/>
      <c r="V384" s="941"/>
      <c r="W384" s="941"/>
    </row>
    <row r="385" spans="10:23" s="1011" customFormat="1" x14ac:dyDescent="0.2">
      <c r="J385" s="1030"/>
      <c r="K385" s="1030"/>
      <c r="L385" s="1030"/>
      <c r="M385" s="1030"/>
      <c r="N385" s="1030"/>
      <c r="O385" s="1030"/>
      <c r="P385" s="1030"/>
      <c r="Q385" s="1030"/>
      <c r="R385" s="1030"/>
      <c r="S385" s="1031"/>
      <c r="T385" s="952"/>
      <c r="U385" s="941"/>
      <c r="V385" s="941"/>
      <c r="W385" s="941"/>
    </row>
    <row r="386" spans="10:23" s="1011" customFormat="1" x14ac:dyDescent="0.2">
      <c r="J386" s="1030"/>
      <c r="K386" s="1030"/>
      <c r="L386" s="1030"/>
      <c r="M386" s="1030"/>
      <c r="N386" s="1030"/>
      <c r="O386" s="1030"/>
      <c r="P386" s="1030"/>
      <c r="Q386" s="1030"/>
      <c r="R386" s="1030"/>
      <c r="S386" s="1031"/>
      <c r="T386" s="952"/>
      <c r="U386" s="941"/>
      <c r="V386" s="941"/>
      <c r="W386" s="941"/>
    </row>
    <row r="387" spans="10:23" s="1011" customFormat="1" x14ac:dyDescent="0.2">
      <c r="J387" s="1030"/>
      <c r="K387" s="1030"/>
      <c r="L387" s="1030"/>
      <c r="M387" s="1030"/>
      <c r="N387" s="1030"/>
      <c r="O387" s="1030"/>
      <c r="P387" s="1030"/>
      <c r="Q387" s="1030"/>
      <c r="R387" s="1030"/>
      <c r="S387" s="1031"/>
      <c r="T387" s="952"/>
      <c r="U387" s="941"/>
      <c r="V387" s="941"/>
      <c r="W387" s="941"/>
    </row>
    <row r="388" spans="10:23" s="1011" customFormat="1" x14ac:dyDescent="0.2">
      <c r="J388" s="1030"/>
      <c r="K388" s="1030"/>
      <c r="L388" s="1030"/>
      <c r="M388" s="1030"/>
      <c r="N388" s="1030"/>
      <c r="O388" s="1030"/>
      <c r="P388" s="1030"/>
      <c r="Q388" s="1030"/>
      <c r="R388" s="1030"/>
      <c r="S388" s="1031"/>
      <c r="T388" s="952"/>
      <c r="U388" s="941"/>
      <c r="V388" s="941"/>
      <c r="W388" s="941"/>
    </row>
    <row r="389" spans="10:23" s="1011" customFormat="1" x14ac:dyDescent="0.2">
      <c r="J389" s="1030"/>
      <c r="K389" s="1030"/>
      <c r="L389" s="1030"/>
      <c r="M389" s="1030"/>
      <c r="N389" s="1030"/>
      <c r="O389" s="1030"/>
      <c r="P389" s="1030"/>
      <c r="Q389" s="1030"/>
      <c r="R389" s="1030"/>
      <c r="S389" s="1031"/>
      <c r="T389" s="952"/>
      <c r="U389" s="941"/>
      <c r="V389" s="941"/>
      <c r="W389" s="941"/>
    </row>
    <row r="390" spans="10:23" s="1011" customFormat="1" x14ac:dyDescent="0.2">
      <c r="J390" s="1030"/>
      <c r="K390" s="1030"/>
      <c r="L390" s="1030"/>
      <c r="M390" s="1030"/>
      <c r="N390" s="1030"/>
      <c r="O390" s="1030"/>
      <c r="P390" s="1030"/>
      <c r="Q390" s="1030"/>
      <c r="R390" s="1030"/>
      <c r="S390" s="1031"/>
      <c r="T390" s="952"/>
      <c r="U390" s="941"/>
      <c r="V390" s="941"/>
      <c r="W390" s="941"/>
    </row>
    <row r="391" spans="10:23" s="1011" customFormat="1" x14ac:dyDescent="0.2">
      <c r="J391" s="1030"/>
      <c r="K391" s="1030"/>
      <c r="L391" s="1030"/>
      <c r="M391" s="1030"/>
      <c r="N391" s="1030"/>
      <c r="O391" s="1030"/>
      <c r="P391" s="1030"/>
      <c r="Q391" s="1030"/>
      <c r="R391" s="1030"/>
      <c r="S391" s="1031"/>
      <c r="T391" s="952"/>
      <c r="U391" s="941"/>
      <c r="V391" s="941"/>
      <c r="W391" s="941"/>
    </row>
    <row r="392" spans="10:23" s="1011" customFormat="1" x14ac:dyDescent="0.2">
      <c r="J392" s="1030"/>
      <c r="K392" s="1030"/>
      <c r="L392" s="1030"/>
      <c r="M392" s="1030"/>
      <c r="N392" s="1030"/>
      <c r="O392" s="1030"/>
      <c r="P392" s="1030"/>
      <c r="Q392" s="1030"/>
      <c r="R392" s="1030"/>
      <c r="S392" s="1031"/>
      <c r="T392" s="952"/>
      <c r="U392" s="941"/>
      <c r="V392" s="941"/>
      <c r="W392" s="941"/>
    </row>
    <row r="393" spans="10:23" s="1011" customFormat="1" x14ac:dyDescent="0.2">
      <c r="J393" s="1030"/>
      <c r="K393" s="1030"/>
      <c r="L393" s="1030"/>
      <c r="M393" s="1030"/>
      <c r="N393" s="1030"/>
      <c r="O393" s="1030"/>
      <c r="P393" s="1030"/>
      <c r="Q393" s="1030"/>
      <c r="R393" s="1030"/>
      <c r="S393" s="1031"/>
      <c r="T393" s="952"/>
      <c r="U393" s="941"/>
      <c r="V393" s="941"/>
      <c r="W393" s="941"/>
    </row>
    <row r="394" spans="10:23" s="1011" customFormat="1" x14ac:dyDescent="0.2">
      <c r="J394" s="1030"/>
      <c r="K394" s="1030"/>
      <c r="L394" s="1030"/>
      <c r="M394" s="1030"/>
      <c r="N394" s="1030"/>
      <c r="O394" s="1030"/>
      <c r="P394" s="1030"/>
      <c r="Q394" s="1030"/>
      <c r="R394" s="1030"/>
      <c r="S394" s="1031"/>
      <c r="T394" s="952"/>
      <c r="U394" s="941"/>
      <c r="V394" s="941"/>
      <c r="W394" s="941"/>
    </row>
    <row r="395" spans="10:23" s="1011" customFormat="1" x14ac:dyDescent="0.2">
      <c r="J395" s="1030"/>
      <c r="K395" s="1030"/>
      <c r="L395" s="1030"/>
      <c r="M395" s="1030"/>
      <c r="N395" s="1030"/>
      <c r="O395" s="1030"/>
      <c r="P395" s="1030"/>
      <c r="Q395" s="1030"/>
      <c r="R395" s="1030"/>
      <c r="S395" s="1031"/>
      <c r="T395" s="952"/>
      <c r="U395" s="941"/>
      <c r="V395" s="941"/>
      <c r="W395" s="941"/>
    </row>
    <row r="396" spans="10:23" s="1011" customFormat="1" x14ac:dyDescent="0.2">
      <c r="J396" s="1030"/>
      <c r="K396" s="1030"/>
      <c r="L396" s="1030"/>
      <c r="M396" s="1030"/>
      <c r="N396" s="1030"/>
      <c r="O396" s="1030"/>
      <c r="P396" s="1030"/>
      <c r="Q396" s="1030"/>
      <c r="R396" s="1030"/>
      <c r="S396" s="1031"/>
      <c r="T396" s="952"/>
      <c r="U396" s="941"/>
      <c r="V396" s="941"/>
      <c r="W396" s="941"/>
    </row>
    <row r="397" spans="10:23" s="1011" customFormat="1" x14ac:dyDescent="0.2">
      <c r="J397" s="1030"/>
      <c r="K397" s="1030"/>
      <c r="L397" s="1030"/>
      <c r="M397" s="1030"/>
      <c r="N397" s="1030"/>
      <c r="O397" s="1030"/>
      <c r="P397" s="1030"/>
      <c r="Q397" s="1030"/>
      <c r="R397" s="1030"/>
      <c r="S397" s="1031"/>
      <c r="T397" s="952"/>
      <c r="U397" s="941"/>
      <c r="V397" s="941"/>
      <c r="W397" s="941"/>
    </row>
    <row r="398" spans="10:23" s="1011" customFormat="1" x14ac:dyDescent="0.2">
      <c r="J398" s="1030"/>
      <c r="K398" s="1030"/>
      <c r="L398" s="1030"/>
      <c r="M398" s="1030"/>
      <c r="N398" s="1030"/>
      <c r="O398" s="1030"/>
      <c r="P398" s="1030"/>
      <c r="Q398" s="1030"/>
      <c r="R398" s="1030"/>
      <c r="S398" s="1031"/>
      <c r="T398" s="952"/>
      <c r="U398" s="941"/>
      <c r="V398" s="941"/>
      <c r="W398" s="941"/>
    </row>
    <row r="399" spans="10:23" s="1011" customFormat="1" x14ac:dyDescent="0.2">
      <c r="J399" s="1030"/>
      <c r="K399" s="1030"/>
      <c r="L399" s="1030"/>
      <c r="M399" s="1030"/>
      <c r="N399" s="1030"/>
      <c r="O399" s="1030"/>
      <c r="P399" s="1030"/>
      <c r="Q399" s="1030"/>
      <c r="R399" s="1030"/>
      <c r="S399" s="1031"/>
      <c r="T399" s="952"/>
      <c r="U399" s="941"/>
      <c r="V399" s="941"/>
      <c r="W399" s="941"/>
    </row>
    <row r="400" spans="10:23" s="1011" customFormat="1" x14ac:dyDescent="0.2">
      <c r="J400" s="1030"/>
      <c r="K400" s="1030"/>
      <c r="L400" s="1030"/>
      <c r="M400" s="1030"/>
      <c r="N400" s="1030"/>
      <c r="O400" s="1030"/>
      <c r="P400" s="1030"/>
      <c r="Q400" s="1030"/>
      <c r="R400" s="1030"/>
      <c r="S400" s="1031"/>
      <c r="T400" s="952"/>
      <c r="U400" s="941"/>
      <c r="V400" s="941"/>
      <c r="W400" s="941"/>
    </row>
    <row r="401" spans="10:23" s="1011" customFormat="1" x14ac:dyDescent="0.2">
      <c r="J401" s="1030"/>
      <c r="K401" s="1030"/>
      <c r="L401" s="1030"/>
      <c r="M401" s="1030"/>
      <c r="N401" s="1030"/>
      <c r="O401" s="1030"/>
      <c r="P401" s="1030"/>
      <c r="Q401" s="1030"/>
      <c r="R401" s="1030"/>
      <c r="S401" s="1031"/>
      <c r="T401" s="952"/>
      <c r="U401" s="941"/>
      <c r="V401" s="941"/>
      <c r="W401" s="941"/>
    </row>
    <row r="402" spans="10:23" s="1011" customFormat="1" x14ac:dyDescent="0.2">
      <c r="J402" s="1030"/>
      <c r="K402" s="1030"/>
      <c r="L402" s="1030"/>
      <c r="M402" s="1030"/>
      <c r="N402" s="1030"/>
      <c r="O402" s="1030"/>
      <c r="P402" s="1030"/>
      <c r="Q402" s="1030"/>
      <c r="R402" s="1030"/>
      <c r="S402" s="1031"/>
      <c r="T402" s="952"/>
      <c r="U402" s="941"/>
      <c r="V402" s="941"/>
      <c r="W402" s="941"/>
    </row>
    <row r="403" spans="10:23" s="1011" customFormat="1" x14ac:dyDescent="0.2">
      <c r="J403" s="1030"/>
      <c r="K403" s="1030"/>
      <c r="L403" s="1030"/>
      <c r="M403" s="1030"/>
      <c r="N403" s="1030"/>
      <c r="O403" s="1030"/>
      <c r="P403" s="1030"/>
      <c r="Q403" s="1030"/>
      <c r="R403" s="1030"/>
      <c r="S403" s="1031"/>
      <c r="T403" s="952"/>
      <c r="U403" s="941"/>
      <c r="V403" s="941"/>
      <c r="W403" s="941"/>
    </row>
    <row r="404" spans="10:23" s="1011" customFormat="1" x14ac:dyDescent="0.2">
      <c r="J404" s="1030"/>
      <c r="K404" s="1030"/>
      <c r="L404" s="1030"/>
      <c r="M404" s="1030"/>
      <c r="N404" s="1030"/>
      <c r="O404" s="1030"/>
      <c r="P404" s="1030"/>
      <c r="Q404" s="1030"/>
      <c r="R404" s="1030"/>
      <c r="S404" s="1031"/>
      <c r="T404" s="952"/>
      <c r="U404" s="941"/>
      <c r="V404" s="941"/>
      <c r="W404" s="941"/>
    </row>
    <row r="405" spans="10:23" s="1011" customFormat="1" x14ac:dyDescent="0.2">
      <c r="J405" s="1030"/>
      <c r="K405" s="1030"/>
      <c r="L405" s="1030"/>
      <c r="M405" s="1030"/>
      <c r="N405" s="1030"/>
      <c r="O405" s="1030"/>
      <c r="P405" s="1030"/>
      <c r="Q405" s="1030"/>
      <c r="R405" s="1030"/>
      <c r="S405" s="1031"/>
      <c r="T405" s="952"/>
      <c r="U405" s="941"/>
      <c r="V405" s="941"/>
      <c r="W405" s="941"/>
    </row>
    <row r="406" spans="10:23" s="1011" customFormat="1" x14ac:dyDescent="0.2">
      <c r="J406" s="1030"/>
      <c r="K406" s="1030"/>
      <c r="L406" s="1030"/>
      <c r="M406" s="1030"/>
      <c r="N406" s="1030"/>
      <c r="O406" s="1030"/>
      <c r="P406" s="1030"/>
      <c r="Q406" s="1030"/>
      <c r="R406" s="1030"/>
      <c r="S406" s="1031"/>
      <c r="T406" s="952"/>
      <c r="U406" s="941"/>
      <c r="V406" s="941"/>
      <c r="W406" s="941"/>
    </row>
    <row r="407" spans="10:23" s="1011" customFormat="1" x14ac:dyDescent="0.2">
      <c r="J407" s="1030"/>
      <c r="K407" s="1030"/>
      <c r="L407" s="1030"/>
      <c r="M407" s="1030"/>
      <c r="N407" s="1030"/>
      <c r="O407" s="1030"/>
      <c r="P407" s="1030"/>
      <c r="Q407" s="1030"/>
      <c r="R407" s="1030"/>
      <c r="S407" s="1031"/>
      <c r="T407" s="952"/>
      <c r="U407" s="941"/>
      <c r="V407" s="941"/>
      <c r="W407" s="941"/>
    </row>
    <row r="408" spans="10:23" s="1011" customFormat="1" x14ac:dyDescent="0.2">
      <c r="J408" s="1030"/>
      <c r="K408" s="1030"/>
      <c r="L408" s="1030"/>
      <c r="M408" s="1030"/>
      <c r="N408" s="1030"/>
      <c r="O408" s="1030"/>
      <c r="P408" s="1030"/>
      <c r="Q408" s="1030"/>
      <c r="R408" s="1030"/>
      <c r="S408" s="1031"/>
      <c r="T408" s="952"/>
      <c r="U408" s="941"/>
      <c r="V408" s="941"/>
      <c r="W408" s="941"/>
    </row>
    <row r="409" spans="10:23" s="1011" customFormat="1" x14ac:dyDescent="0.2">
      <c r="J409" s="1030"/>
      <c r="K409" s="1030"/>
      <c r="L409" s="1030"/>
      <c r="M409" s="1030"/>
      <c r="N409" s="1030"/>
      <c r="O409" s="1030"/>
      <c r="P409" s="1030"/>
      <c r="Q409" s="1030"/>
      <c r="R409" s="1030"/>
      <c r="S409" s="1031"/>
      <c r="T409" s="952"/>
      <c r="U409" s="941"/>
      <c r="V409" s="941"/>
      <c r="W409" s="941"/>
    </row>
    <row r="410" spans="10:23" s="1011" customFormat="1" x14ac:dyDescent="0.2">
      <c r="J410" s="1030"/>
      <c r="K410" s="1030"/>
      <c r="L410" s="1030"/>
      <c r="M410" s="1030"/>
      <c r="N410" s="1030"/>
      <c r="O410" s="1030"/>
      <c r="P410" s="1030"/>
      <c r="Q410" s="1030"/>
      <c r="R410" s="1030"/>
      <c r="S410" s="1031"/>
      <c r="T410" s="952"/>
      <c r="U410" s="941"/>
      <c r="V410" s="941"/>
      <c r="W410" s="941"/>
    </row>
    <row r="411" spans="10:23" s="1011" customFormat="1" x14ac:dyDescent="0.2">
      <c r="J411" s="1030"/>
      <c r="K411" s="1030"/>
      <c r="L411" s="1030"/>
      <c r="M411" s="1030"/>
      <c r="N411" s="1030"/>
      <c r="O411" s="1030"/>
      <c r="P411" s="1030"/>
      <c r="Q411" s="1030"/>
      <c r="R411" s="1030"/>
      <c r="S411" s="1031"/>
      <c r="T411" s="952"/>
      <c r="U411" s="941"/>
      <c r="V411" s="941"/>
      <c r="W411" s="941"/>
    </row>
    <row r="412" spans="10:23" s="1011" customFormat="1" x14ac:dyDescent="0.2">
      <c r="J412" s="1030"/>
      <c r="K412" s="1030"/>
      <c r="L412" s="1030"/>
      <c r="M412" s="1030"/>
      <c r="N412" s="1030"/>
      <c r="O412" s="1030"/>
      <c r="P412" s="1030"/>
      <c r="Q412" s="1030"/>
      <c r="R412" s="1030"/>
      <c r="S412" s="1031"/>
      <c r="T412" s="952"/>
      <c r="U412" s="941"/>
      <c r="V412" s="941"/>
      <c r="W412" s="941"/>
    </row>
    <row r="413" spans="10:23" s="1011" customFormat="1" x14ac:dyDescent="0.2">
      <c r="J413" s="1030"/>
      <c r="K413" s="1030"/>
      <c r="L413" s="1030"/>
      <c r="M413" s="1030"/>
      <c r="N413" s="1030"/>
      <c r="O413" s="1030"/>
      <c r="P413" s="1030"/>
      <c r="Q413" s="1030"/>
      <c r="R413" s="1030"/>
      <c r="S413" s="1031"/>
      <c r="T413" s="952"/>
      <c r="U413" s="941"/>
      <c r="V413" s="941"/>
      <c r="W413" s="941"/>
    </row>
    <row r="414" spans="10:23" s="1011" customFormat="1" x14ac:dyDescent="0.2">
      <c r="J414" s="1030"/>
      <c r="K414" s="1030"/>
      <c r="L414" s="1030"/>
      <c r="M414" s="1030"/>
      <c r="N414" s="1030"/>
      <c r="O414" s="1030"/>
      <c r="P414" s="1030"/>
      <c r="Q414" s="1030"/>
      <c r="R414" s="1030"/>
      <c r="S414" s="1031"/>
      <c r="T414" s="952"/>
      <c r="U414" s="941"/>
      <c r="V414" s="941"/>
      <c r="W414" s="941"/>
    </row>
    <row r="415" spans="10:23" s="1011" customFormat="1" x14ac:dyDescent="0.2">
      <c r="J415" s="1030"/>
      <c r="K415" s="1030"/>
      <c r="L415" s="1030"/>
      <c r="M415" s="1030"/>
      <c r="N415" s="1030"/>
      <c r="O415" s="1030"/>
      <c r="P415" s="1030"/>
      <c r="Q415" s="1030"/>
      <c r="R415" s="1030"/>
      <c r="S415" s="1031"/>
      <c r="T415" s="952"/>
      <c r="U415" s="941"/>
      <c r="V415" s="941"/>
      <c r="W415" s="941"/>
    </row>
    <row r="416" spans="10:23" s="1011" customFormat="1" x14ac:dyDescent="0.2">
      <c r="J416" s="1030"/>
      <c r="K416" s="1030"/>
      <c r="L416" s="1030"/>
      <c r="M416" s="1030"/>
      <c r="N416" s="1030"/>
      <c r="O416" s="1030"/>
      <c r="P416" s="1030"/>
      <c r="Q416" s="1030"/>
      <c r="R416" s="1030"/>
      <c r="S416" s="1031"/>
      <c r="T416" s="952"/>
      <c r="U416" s="941"/>
      <c r="V416" s="941"/>
      <c r="W416" s="941"/>
    </row>
    <row r="417" spans="10:23" s="1011" customFormat="1" x14ac:dyDescent="0.2">
      <c r="J417" s="1030"/>
      <c r="K417" s="1030"/>
      <c r="L417" s="1030"/>
      <c r="M417" s="1030"/>
      <c r="N417" s="1030"/>
      <c r="O417" s="1030"/>
      <c r="P417" s="1030"/>
      <c r="Q417" s="1030"/>
      <c r="R417" s="1030"/>
      <c r="S417" s="1031"/>
      <c r="T417" s="952"/>
      <c r="U417" s="941"/>
      <c r="V417" s="941"/>
      <c r="W417" s="941"/>
    </row>
    <row r="418" spans="10:23" s="1011" customFormat="1" x14ac:dyDescent="0.2">
      <c r="J418" s="1030"/>
      <c r="K418" s="1030"/>
      <c r="L418" s="1030"/>
      <c r="M418" s="1030"/>
      <c r="N418" s="1030"/>
      <c r="O418" s="1030"/>
      <c r="P418" s="1030"/>
      <c r="Q418" s="1030"/>
      <c r="R418" s="1030"/>
      <c r="S418" s="1031"/>
      <c r="T418" s="952"/>
      <c r="U418" s="941"/>
      <c r="V418" s="941"/>
      <c r="W418" s="941"/>
    </row>
    <row r="419" spans="10:23" s="1011" customFormat="1" x14ac:dyDescent="0.2">
      <c r="J419" s="1030"/>
      <c r="K419" s="1030"/>
      <c r="L419" s="1030"/>
      <c r="M419" s="1030"/>
      <c r="N419" s="1030"/>
      <c r="O419" s="1030"/>
      <c r="P419" s="1030"/>
      <c r="Q419" s="1030"/>
      <c r="R419" s="1030"/>
      <c r="S419" s="1031"/>
      <c r="T419" s="952"/>
      <c r="U419" s="941"/>
      <c r="V419" s="941"/>
      <c r="W419" s="941"/>
    </row>
    <row r="420" spans="10:23" s="1011" customFormat="1" x14ac:dyDescent="0.2">
      <c r="J420" s="1030"/>
      <c r="K420" s="1030"/>
      <c r="L420" s="1030"/>
      <c r="M420" s="1030"/>
      <c r="N420" s="1030"/>
      <c r="O420" s="1030"/>
      <c r="P420" s="1030"/>
      <c r="Q420" s="1030"/>
      <c r="R420" s="1030"/>
      <c r="S420" s="1031"/>
      <c r="T420" s="952"/>
      <c r="U420" s="941"/>
      <c r="V420" s="941"/>
      <c r="W420" s="941"/>
    </row>
    <row r="421" spans="10:23" s="1011" customFormat="1" x14ac:dyDescent="0.2">
      <c r="J421" s="1030"/>
      <c r="K421" s="1030"/>
      <c r="L421" s="1030"/>
      <c r="M421" s="1030"/>
      <c r="N421" s="1030"/>
      <c r="O421" s="1030"/>
      <c r="P421" s="1030"/>
      <c r="Q421" s="1030"/>
      <c r="R421" s="1030"/>
      <c r="S421" s="1031"/>
      <c r="T421" s="952"/>
      <c r="U421" s="941"/>
      <c r="V421" s="941"/>
      <c r="W421" s="941"/>
    </row>
    <row r="422" spans="10:23" s="1011" customFormat="1" x14ac:dyDescent="0.2">
      <c r="J422" s="1030"/>
      <c r="K422" s="1030"/>
      <c r="L422" s="1030"/>
      <c r="M422" s="1030"/>
      <c r="N422" s="1030"/>
      <c r="O422" s="1030"/>
      <c r="P422" s="1030"/>
      <c r="Q422" s="1030"/>
      <c r="R422" s="1030"/>
      <c r="S422" s="1031"/>
      <c r="T422" s="952"/>
      <c r="U422" s="941"/>
      <c r="V422" s="941"/>
      <c r="W422" s="941"/>
    </row>
    <row r="423" spans="10:23" s="1011" customFormat="1" x14ac:dyDescent="0.2">
      <c r="J423" s="1030"/>
      <c r="K423" s="1030"/>
      <c r="L423" s="1030"/>
      <c r="M423" s="1030"/>
      <c r="N423" s="1030"/>
      <c r="O423" s="1030"/>
      <c r="P423" s="1030"/>
      <c r="Q423" s="1030"/>
      <c r="R423" s="1030"/>
      <c r="S423" s="1031"/>
      <c r="T423" s="952"/>
      <c r="U423" s="941"/>
      <c r="V423" s="941"/>
      <c r="W423" s="941"/>
    </row>
    <row r="424" spans="10:23" s="1011" customFormat="1" x14ac:dyDescent="0.2">
      <c r="J424" s="1030"/>
      <c r="K424" s="1030"/>
      <c r="L424" s="1030"/>
      <c r="M424" s="1030"/>
      <c r="N424" s="1030"/>
      <c r="O424" s="1030"/>
      <c r="P424" s="1030"/>
      <c r="Q424" s="1030"/>
      <c r="R424" s="1030"/>
      <c r="S424" s="1031"/>
      <c r="T424" s="952"/>
      <c r="U424" s="941"/>
      <c r="V424" s="941"/>
      <c r="W424" s="941"/>
    </row>
    <row r="425" spans="10:23" s="1011" customFormat="1" x14ac:dyDescent="0.2">
      <c r="J425" s="1030"/>
      <c r="K425" s="1030"/>
      <c r="L425" s="1030"/>
      <c r="M425" s="1030"/>
      <c r="N425" s="1030"/>
      <c r="O425" s="1030"/>
      <c r="P425" s="1030"/>
      <c r="Q425" s="1030"/>
      <c r="R425" s="1030"/>
      <c r="S425" s="1031"/>
      <c r="T425" s="952"/>
      <c r="U425" s="941"/>
      <c r="V425" s="941"/>
      <c r="W425" s="941"/>
    </row>
    <row r="426" spans="10:23" s="1011" customFormat="1" x14ac:dyDescent="0.2">
      <c r="J426" s="1030"/>
      <c r="K426" s="1030"/>
      <c r="L426" s="1030"/>
      <c r="M426" s="1030"/>
      <c r="N426" s="1030"/>
      <c r="O426" s="1030"/>
      <c r="P426" s="1030"/>
      <c r="Q426" s="1030"/>
      <c r="R426" s="1030"/>
      <c r="S426" s="1031"/>
      <c r="T426" s="952"/>
      <c r="U426" s="941"/>
      <c r="V426" s="941"/>
      <c r="W426" s="941"/>
    </row>
    <row r="427" spans="10:23" s="1011" customFormat="1" x14ac:dyDescent="0.2">
      <c r="J427" s="1030"/>
      <c r="K427" s="1030"/>
      <c r="L427" s="1030"/>
      <c r="M427" s="1030"/>
      <c r="N427" s="1030"/>
      <c r="O427" s="1030"/>
      <c r="P427" s="1030"/>
      <c r="Q427" s="1030"/>
      <c r="R427" s="1030"/>
      <c r="S427" s="1031"/>
      <c r="T427" s="952"/>
      <c r="U427" s="941"/>
      <c r="V427" s="941"/>
      <c r="W427" s="941"/>
    </row>
    <row r="428" spans="10:23" s="1011" customFormat="1" x14ac:dyDescent="0.2">
      <c r="J428" s="1030"/>
      <c r="K428" s="1030"/>
      <c r="L428" s="1030"/>
      <c r="M428" s="1030"/>
      <c r="N428" s="1030"/>
      <c r="O428" s="1030"/>
      <c r="P428" s="1030"/>
      <c r="Q428" s="1030"/>
      <c r="R428" s="1030"/>
      <c r="S428" s="1031"/>
      <c r="T428" s="952"/>
      <c r="U428" s="941"/>
      <c r="V428" s="941"/>
      <c r="W428" s="941"/>
    </row>
    <row r="429" spans="10:23" s="1011" customFormat="1" x14ac:dyDescent="0.2">
      <c r="J429" s="1030"/>
      <c r="K429" s="1030"/>
      <c r="L429" s="1030"/>
      <c r="M429" s="1030"/>
      <c r="N429" s="1030"/>
      <c r="O429" s="1030"/>
      <c r="P429" s="1030"/>
      <c r="Q429" s="1030"/>
      <c r="R429" s="1030"/>
      <c r="S429" s="1031"/>
      <c r="T429" s="952"/>
      <c r="U429" s="941"/>
      <c r="V429" s="941"/>
      <c r="W429" s="941"/>
    </row>
    <row r="430" spans="10:23" s="1011" customFormat="1" x14ac:dyDescent="0.2">
      <c r="J430" s="1030"/>
      <c r="K430" s="1030"/>
      <c r="L430" s="1030"/>
      <c r="M430" s="1030"/>
      <c r="N430" s="1030"/>
      <c r="O430" s="1030"/>
      <c r="P430" s="1030"/>
      <c r="Q430" s="1030"/>
      <c r="R430" s="1030"/>
      <c r="S430" s="1031"/>
      <c r="T430" s="952"/>
      <c r="U430" s="941"/>
      <c r="V430" s="941"/>
      <c r="W430" s="941"/>
    </row>
    <row r="431" spans="10:23" s="1011" customFormat="1" x14ac:dyDescent="0.2">
      <c r="J431" s="1030"/>
      <c r="K431" s="1030"/>
      <c r="L431" s="1030"/>
      <c r="M431" s="1030"/>
      <c r="N431" s="1030"/>
      <c r="O431" s="1030"/>
      <c r="P431" s="1030"/>
      <c r="Q431" s="1030"/>
      <c r="R431" s="1030"/>
      <c r="S431" s="1031"/>
      <c r="T431" s="952"/>
      <c r="U431" s="941"/>
      <c r="V431" s="941"/>
      <c r="W431" s="941"/>
    </row>
    <row r="432" spans="10:23" s="1011" customFormat="1" x14ac:dyDescent="0.2">
      <c r="J432" s="1030"/>
      <c r="K432" s="1030"/>
      <c r="L432" s="1030"/>
      <c r="M432" s="1030"/>
      <c r="N432" s="1030"/>
      <c r="O432" s="1030"/>
      <c r="P432" s="1030"/>
      <c r="Q432" s="1030"/>
      <c r="R432" s="1030"/>
      <c r="S432" s="1031"/>
      <c r="T432" s="952"/>
      <c r="U432" s="941"/>
      <c r="V432" s="941"/>
      <c r="W432" s="941"/>
    </row>
    <row r="433" spans="10:23" s="1011" customFormat="1" x14ac:dyDescent="0.2">
      <c r="J433" s="1030"/>
      <c r="K433" s="1030"/>
      <c r="L433" s="1030"/>
      <c r="M433" s="1030"/>
      <c r="N433" s="1030"/>
      <c r="O433" s="1030"/>
      <c r="P433" s="1030"/>
      <c r="Q433" s="1030"/>
      <c r="R433" s="1030"/>
      <c r="S433" s="1031"/>
      <c r="T433" s="952"/>
      <c r="U433" s="941"/>
      <c r="V433" s="941"/>
      <c r="W433" s="941"/>
    </row>
    <row r="434" spans="10:23" s="1011" customFormat="1" x14ac:dyDescent="0.2">
      <c r="J434" s="1030"/>
      <c r="K434" s="1030"/>
      <c r="L434" s="1030"/>
      <c r="M434" s="1030"/>
      <c r="N434" s="1030"/>
      <c r="O434" s="1030"/>
      <c r="P434" s="1030"/>
      <c r="Q434" s="1030"/>
      <c r="R434" s="1030"/>
      <c r="S434" s="1031"/>
      <c r="T434" s="952"/>
      <c r="U434" s="941"/>
      <c r="V434" s="941"/>
      <c r="W434" s="941"/>
    </row>
    <row r="435" spans="10:23" s="1011" customFormat="1" x14ac:dyDescent="0.2">
      <c r="J435" s="1030"/>
      <c r="K435" s="1030"/>
      <c r="L435" s="1030"/>
      <c r="M435" s="1030"/>
      <c r="N435" s="1030"/>
      <c r="O435" s="1030"/>
      <c r="P435" s="1030"/>
      <c r="Q435" s="1030"/>
      <c r="R435" s="1030"/>
      <c r="S435" s="1031"/>
      <c r="T435" s="952"/>
      <c r="U435" s="941"/>
      <c r="V435" s="941"/>
      <c r="W435" s="941"/>
    </row>
    <row r="436" spans="10:23" s="1011" customFormat="1" x14ac:dyDescent="0.2">
      <c r="J436" s="1030"/>
      <c r="K436" s="1030"/>
      <c r="L436" s="1030"/>
      <c r="M436" s="1030"/>
      <c r="N436" s="1030"/>
      <c r="O436" s="1030"/>
      <c r="P436" s="1030"/>
      <c r="Q436" s="1030"/>
      <c r="R436" s="1030"/>
      <c r="S436" s="1031"/>
      <c r="T436" s="952"/>
      <c r="U436" s="941"/>
      <c r="V436" s="941"/>
      <c r="W436" s="941"/>
    </row>
    <row r="437" spans="10:23" s="1011" customFormat="1" x14ac:dyDescent="0.2">
      <c r="J437" s="1030"/>
      <c r="K437" s="1030"/>
      <c r="L437" s="1030"/>
      <c r="M437" s="1030"/>
      <c r="N437" s="1030"/>
      <c r="O437" s="1030"/>
      <c r="P437" s="1030"/>
      <c r="Q437" s="1030"/>
      <c r="R437" s="1030"/>
      <c r="S437" s="1031"/>
      <c r="T437" s="952"/>
      <c r="U437" s="941"/>
      <c r="V437" s="941"/>
      <c r="W437" s="941"/>
    </row>
    <row r="438" spans="10:23" s="1011" customFormat="1" x14ac:dyDescent="0.2">
      <c r="J438" s="1030"/>
      <c r="K438" s="1030"/>
      <c r="L438" s="1030"/>
      <c r="M438" s="1030"/>
      <c r="N438" s="1030"/>
      <c r="O438" s="1030"/>
      <c r="P438" s="1030"/>
      <c r="Q438" s="1030"/>
      <c r="R438" s="1030"/>
      <c r="S438" s="1031"/>
      <c r="T438" s="952"/>
      <c r="U438" s="941"/>
      <c r="V438" s="941"/>
      <c r="W438" s="941"/>
    </row>
    <row r="439" spans="10:23" s="1011" customFormat="1" x14ac:dyDescent="0.2">
      <c r="J439" s="1030"/>
      <c r="K439" s="1030"/>
      <c r="L439" s="1030"/>
      <c r="M439" s="1030"/>
      <c r="N439" s="1030"/>
      <c r="O439" s="1030"/>
      <c r="P439" s="1030"/>
      <c r="Q439" s="1030"/>
      <c r="R439" s="1030"/>
      <c r="S439" s="1031"/>
      <c r="T439" s="952"/>
      <c r="U439" s="941"/>
      <c r="V439" s="941"/>
      <c r="W439" s="941"/>
    </row>
    <row r="440" spans="10:23" s="1011" customFormat="1" x14ac:dyDescent="0.2">
      <c r="J440" s="1030"/>
      <c r="K440" s="1030"/>
      <c r="L440" s="1030"/>
      <c r="M440" s="1030"/>
      <c r="N440" s="1030"/>
      <c r="O440" s="1030"/>
      <c r="P440" s="1030"/>
      <c r="Q440" s="1030"/>
      <c r="R440" s="1030"/>
      <c r="S440" s="1031"/>
      <c r="T440" s="952"/>
      <c r="U440" s="941"/>
      <c r="V440" s="941"/>
      <c r="W440" s="941"/>
    </row>
    <row r="441" spans="10:23" s="1011" customFormat="1" x14ac:dyDescent="0.2">
      <c r="J441" s="1030"/>
      <c r="K441" s="1030"/>
      <c r="L441" s="1030"/>
      <c r="M441" s="1030"/>
      <c r="N441" s="1030"/>
      <c r="O441" s="1030"/>
      <c r="P441" s="1030"/>
      <c r="Q441" s="1030"/>
      <c r="R441" s="1030"/>
      <c r="S441" s="1031"/>
      <c r="T441" s="952"/>
      <c r="U441" s="941"/>
      <c r="V441" s="941"/>
      <c r="W441" s="941"/>
    </row>
    <row r="442" spans="10:23" s="1011" customFormat="1" x14ac:dyDescent="0.2">
      <c r="J442" s="1030"/>
      <c r="K442" s="1030"/>
      <c r="L442" s="1030"/>
      <c r="M442" s="1030"/>
      <c r="N442" s="1030"/>
      <c r="O442" s="1030"/>
      <c r="P442" s="1030"/>
      <c r="Q442" s="1030"/>
      <c r="R442" s="1030"/>
      <c r="S442" s="1031"/>
      <c r="T442" s="952"/>
      <c r="U442" s="941"/>
      <c r="V442" s="941"/>
      <c r="W442" s="941"/>
    </row>
    <row r="443" spans="10:23" s="1011" customFormat="1" x14ac:dyDescent="0.2">
      <c r="J443" s="1030"/>
      <c r="K443" s="1030"/>
      <c r="L443" s="1030"/>
      <c r="M443" s="1030"/>
      <c r="N443" s="1030"/>
      <c r="O443" s="1030"/>
      <c r="P443" s="1030"/>
      <c r="Q443" s="1030"/>
      <c r="R443" s="1030"/>
      <c r="S443" s="1031"/>
      <c r="T443" s="952"/>
      <c r="U443" s="941"/>
      <c r="V443" s="941"/>
      <c r="W443" s="941"/>
    </row>
    <row r="444" spans="10:23" s="1011" customFormat="1" x14ac:dyDescent="0.2">
      <c r="J444" s="1030"/>
      <c r="K444" s="1030"/>
      <c r="L444" s="1030"/>
      <c r="M444" s="1030"/>
      <c r="N444" s="1030"/>
      <c r="O444" s="1030"/>
      <c r="P444" s="1030"/>
      <c r="Q444" s="1030"/>
      <c r="R444" s="1030"/>
      <c r="S444" s="1031"/>
      <c r="T444" s="952"/>
      <c r="U444" s="941"/>
      <c r="V444" s="941"/>
      <c r="W444" s="941"/>
    </row>
    <row r="445" spans="10:23" s="1011" customFormat="1" x14ac:dyDescent="0.2">
      <c r="J445" s="1030"/>
      <c r="K445" s="1030"/>
      <c r="L445" s="1030"/>
      <c r="M445" s="1030"/>
      <c r="N445" s="1030"/>
      <c r="O445" s="1030"/>
      <c r="P445" s="1030"/>
      <c r="Q445" s="1030"/>
      <c r="R445" s="1030"/>
      <c r="S445" s="1031"/>
      <c r="T445" s="952"/>
      <c r="U445" s="941"/>
      <c r="V445" s="941"/>
      <c r="W445" s="941"/>
    </row>
    <row r="446" spans="10:23" s="1011" customFormat="1" x14ac:dyDescent="0.2">
      <c r="J446" s="1030"/>
      <c r="K446" s="1030"/>
      <c r="L446" s="1030"/>
      <c r="M446" s="1030"/>
      <c r="N446" s="1030"/>
      <c r="O446" s="1030"/>
      <c r="P446" s="1030"/>
      <c r="Q446" s="1030"/>
      <c r="R446" s="1030"/>
      <c r="S446" s="1031"/>
      <c r="T446" s="952"/>
      <c r="U446" s="941"/>
      <c r="V446" s="941"/>
      <c r="W446" s="941"/>
    </row>
    <row r="447" spans="10:23" s="1011" customFormat="1" x14ac:dyDescent="0.2">
      <c r="J447" s="1030"/>
      <c r="K447" s="1030"/>
      <c r="L447" s="1030"/>
      <c r="M447" s="1030"/>
      <c r="N447" s="1030"/>
      <c r="O447" s="1030"/>
      <c r="P447" s="1030"/>
      <c r="Q447" s="1030"/>
      <c r="R447" s="1030"/>
      <c r="S447" s="1031"/>
      <c r="T447" s="952"/>
      <c r="U447" s="941"/>
      <c r="V447" s="941"/>
      <c r="W447" s="941"/>
    </row>
    <row r="448" spans="10:23" s="1011" customFormat="1" x14ac:dyDescent="0.2">
      <c r="J448" s="1030"/>
      <c r="K448" s="1030"/>
      <c r="L448" s="1030"/>
      <c r="M448" s="1030"/>
      <c r="N448" s="1030"/>
      <c r="O448" s="1030"/>
      <c r="P448" s="1030"/>
      <c r="Q448" s="1030"/>
      <c r="R448" s="1030"/>
      <c r="S448" s="1031"/>
      <c r="T448" s="952"/>
      <c r="U448" s="941"/>
      <c r="V448" s="941"/>
      <c r="W448" s="941"/>
    </row>
    <row r="449" spans="10:23" s="1011" customFormat="1" x14ac:dyDescent="0.2">
      <c r="J449" s="1030"/>
      <c r="K449" s="1030"/>
      <c r="L449" s="1030"/>
      <c r="M449" s="1030"/>
      <c r="N449" s="1030"/>
      <c r="O449" s="1030"/>
      <c r="P449" s="1030"/>
      <c r="Q449" s="1030"/>
      <c r="R449" s="1030"/>
      <c r="S449" s="1031"/>
      <c r="T449" s="952"/>
      <c r="U449" s="941"/>
      <c r="V449" s="941"/>
      <c r="W449" s="941"/>
    </row>
    <row r="450" spans="10:23" s="1011" customFormat="1" x14ac:dyDescent="0.2">
      <c r="J450" s="1030"/>
      <c r="K450" s="1030"/>
      <c r="L450" s="1030"/>
      <c r="M450" s="1030"/>
      <c r="N450" s="1030"/>
      <c r="O450" s="1030"/>
      <c r="P450" s="1030"/>
      <c r="Q450" s="1030"/>
      <c r="R450" s="1030"/>
      <c r="S450" s="1031"/>
      <c r="T450" s="952"/>
      <c r="U450" s="941"/>
      <c r="V450" s="941"/>
      <c r="W450" s="941"/>
    </row>
    <row r="451" spans="10:23" s="1011" customFormat="1" x14ac:dyDescent="0.2">
      <c r="J451" s="1030"/>
      <c r="K451" s="1030"/>
      <c r="L451" s="1030"/>
      <c r="M451" s="1030"/>
      <c r="N451" s="1030"/>
      <c r="O451" s="1030"/>
      <c r="P451" s="1030"/>
      <c r="Q451" s="1030"/>
      <c r="R451" s="1030"/>
      <c r="S451" s="1031"/>
      <c r="T451" s="952"/>
      <c r="U451" s="941"/>
      <c r="V451" s="941"/>
      <c r="W451" s="941"/>
    </row>
    <row r="452" spans="10:23" s="1011" customFormat="1" x14ac:dyDescent="0.2">
      <c r="J452" s="1030"/>
      <c r="K452" s="1030"/>
      <c r="L452" s="1030"/>
      <c r="M452" s="1030"/>
      <c r="N452" s="1030"/>
      <c r="O452" s="1030"/>
      <c r="P452" s="1030"/>
      <c r="Q452" s="1030"/>
      <c r="R452" s="1030"/>
      <c r="S452" s="1031"/>
      <c r="T452" s="952"/>
      <c r="U452" s="941"/>
      <c r="V452" s="941"/>
      <c r="W452" s="941"/>
    </row>
    <row r="453" spans="10:23" s="1011" customFormat="1" x14ac:dyDescent="0.2">
      <c r="J453" s="1030"/>
      <c r="K453" s="1030"/>
      <c r="L453" s="1030"/>
      <c r="M453" s="1030"/>
      <c r="N453" s="1030"/>
      <c r="O453" s="1030"/>
      <c r="P453" s="1030"/>
      <c r="Q453" s="1030"/>
      <c r="R453" s="1030"/>
      <c r="S453" s="1031"/>
      <c r="T453" s="952"/>
      <c r="U453" s="941"/>
      <c r="V453" s="941"/>
      <c r="W453" s="941"/>
    </row>
    <row r="454" spans="10:23" s="1011" customFormat="1" x14ac:dyDescent="0.2">
      <c r="J454" s="1030"/>
      <c r="K454" s="1030"/>
      <c r="L454" s="1030"/>
      <c r="M454" s="1030"/>
      <c r="N454" s="1030"/>
      <c r="O454" s="1030"/>
      <c r="P454" s="1030"/>
      <c r="Q454" s="1030"/>
      <c r="R454" s="1030"/>
      <c r="S454" s="1031"/>
      <c r="T454" s="952"/>
      <c r="U454" s="941"/>
      <c r="V454" s="941"/>
      <c r="W454" s="941"/>
    </row>
    <row r="455" spans="10:23" s="1011" customFormat="1" x14ac:dyDescent="0.2">
      <c r="J455" s="1030"/>
      <c r="K455" s="1030"/>
      <c r="L455" s="1030"/>
      <c r="M455" s="1030"/>
      <c r="N455" s="1030"/>
      <c r="O455" s="1030"/>
      <c r="P455" s="1030"/>
      <c r="Q455" s="1030"/>
      <c r="R455" s="1030"/>
      <c r="S455" s="1031"/>
      <c r="T455" s="952"/>
      <c r="U455" s="941"/>
      <c r="V455" s="941"/>
      <c r="W455" s="941"/>
    </row>
    <row r="456" spans="10:23" s="1011" customFormat="1" x14ac:dyDescent="0.2">
      <c r="J456" s="1030"/>
      <c r="K456" s="1030"/>
      <c r="L456" s="1030"/>
      <c r="M456" s="1030"/>
      <c r="N456" s="1030"/>
      <c r="O456" s="1030"/>
      <c r="P456" s="1030"/>
      <c r="Q456" s="1030"/>
      <c r="R456" s="1030"/>
      <c r="S456" s="1031"/>
      <c r="T456" s="952"/>
      <c r="U456" s="941"/>
      <c r="V456" s="941"/>
      <c r="W456" s="941"/>
    </row>
    <row r="457" spans="10:23" s="1011" customFormat="1" x14ac:dyDescent="0.2">
      <c r="J457" s="1030"/>
      <c r="K457" s="1030"/>
      <c r="L457" s="1030"/>
      <c r="M457" s="1030"/>
      <c r="N457" s="1030"/>
      <c r="O457" s="1030"/>
      <c r="P457" s="1030"/>
      <c r="Q457" s="1030"/>
      <c r="R457" s="1030"/>
      <c r="S457" s="1031"/>
      <c r="T457" s="952"/>
      <c r="U457" s="941"/>
      <c r="V457" s="941"/>
      <c r="W457" s="941"/>
    </row>
    <row r="458" spans="10:23" s="1011" customFormat="1" x14ac:dyDescent="0.2">
      <c r="J458" s="1030"/>
      <c r="K458" s="1030"/>
      <c r="L458" s="1030"/>
      <c r="M458" s="1030"/>
      <c r="N458" s="1030"/>
      <c r="O458" s="1030"/>
      <c r="P458" s="1030"/>
      <c r="Q458" s="1030"/>
      <c r="R458" s="1030"/>
      <c r="S458" s="1031"/>
      <c r="T458" s="952"/>
      <c r="U458" s="941"/>
      <c r="V458" s="941"/>
      <c r="W458" s="941"/>
    </row>
    <row r="459" spans="10:23" s="1011" customFormat="1" x14ac:dyDescent="0.2">
      <c r="J459" s="1030"/>
      <c r="K459" s="1030"/>
      <c r="L459" s="1030"/>
      <c r="M459" s="1030"/>
      <c r="N459" s="1030"/>
      <c r="O459" s="1030"/>
      <c r="P459" s="1030"/>
      <c r="Q459" s="1030"/>
      <c r="R459" s="1030"/>
      <c r="S459" s="1031"/>
      <c r="T459" s="952"/>
      <c r="U459" s="941"/>
      <c r="V459" s="941"/>
      <c r="W459" s="941"/>
    </row>
    <row r="460" spans="10:23" s="1011" customFormat="1" x14ac:dyDescent="0.2">
      <c r="J460" s="1030"/>
      <c r="K460" s="1030"/>
      <c r="L460" s="1030"/>
      <c r="M460" s="1030"/>
      <c r="N460" s="1030"/>
      <c r="O460" s="1030"/>
      <c r="P460" s="1030"/>
      <c r="Q460" s="1030"/>
      <c r="R460" s="1030"/>
      <c r="S460" s="1031"/>
      <c r="T460" s="952"/>
      <c r="U460" s="941"/>
      <c r="V460" s="941"/>
      <c r="W460" s="941"/>
    </row>
    <row r="461" spans="10:23" s="1011" customFormat="1" x14ac:dyDescent="0.2">
      <c r="J461" s="1030"/>
      <c r="K461" s="1030"/>
      <c r="L461" s="1030"/>
      <c r="M461" s="1030"/>
      <c r="N461" s="1030"/>
      <c r="O461" s="1030"/>
      <c r="P461" s="1030"/>
      <c r="Q461" s="1030"/>
      <c r="R461" s="1030"/>
      <c r="S461" s="1031"/>
      <c r="T461" s="952"/>
      <c r="U461" s="941"/>
      <c r="V461" s="941"/>
      <c r="W461" s="941"/>
    </row>
    <row r="462" spans="10:23" s="1011" customFormat="1" x14ac:dyDescent="0.2">
      <c r="J462" s="1030"/>
      <c r="K462" s="1030"/>
      <c r="L462" s="1030"/>
      <c r="M462" s="1030"/>
      <c r="N462" s="1030"/>
      <c r="O462" s="1030"/>
      <c r="P462" s="1030"/>
      <c r="Q462" s="1030"/>
      <c r="R462" s="1030"/>
      <c r="S462" s="1031"/>
      <c r="T462" s="952"/>
      <c r="U462" s="941"/>
      <c r="V462" s="941"/>
      <c r="W462" s="941"/>
    </row>
    <row r="463" spans="10:23" s="1011" customFormat="1" x14ac:dyDescent="0.2">
      <c r="J463" s="1030"/>
      <c r="K463" s="1030"/>
      <c r="L463" s="1030"/>
      <c r="M463" s="1030"/>
      <c r="N463" s="1030"/>
      <c r="O463" s="1030"/>
      <c r="P463" s="1030"/>
      <c r="Q463" s="1030"/>
      <c r="R463" s="1030"/>
      <c r="S463" s="1031"/>
      <c r="T463" s="952"/>
      <c r="U463" s="941"/>
      <c r="V463" s="941"/>
      <c r="W463" s="941"/>
    </row>
    <row r="464" spans="10:23" s="1011" customFormat="1" x14ac:dyDescent="0.2">
      <c r="J464" s="1030"/>
      <c r="K464" s="1030"/>
      <c r="L464" s="1030"/>
      <c r="M464" s="1030"/>
      <c r="N464" s="1030"/>
      <c r="O464" s="1030"/>
      <c r="P464" s="1030"/>
      <c r="Q464" s="1030"/>
      <c r="R464" s="1030"/>
      <c r="S464" s="1031"/>
      <c r="T464" s="952"/>
      <c r="U464" s="941"/>
      <c r="V464" s="941"/>
      <c r="W464" s="941"/>
    </row>
    <row r="465" spans="10:23" s="1011" customFormat="1" x14ac:dyDescent="0.2">
      <c r="J465" s="1030"/>
      <c r="K465" s="1030"/>
      <c r="L465" s="1030"/>
      <c r="M465" s="1030"/>
      <c r="N465" s="1030"/>
      <c r="O465" s="1030"/>
      <c r="P465" s="1030"/>
      <c r="Q465" s="1030"/>
      <c r="R465" s="1030"/>
      <c r="S465" s="1031"/>
      <c r="T465" s="952"/>
      <c r="U465" s="941"/>
      <c r="V465" s="941"/>
      <c r="W465" s="941"/>
    </row>
    <row r="466" spans="10:23" s="1011" customFormat="1" x14ac:dyDescent="0.2">
      <c r="J466" s="1030"/>
      <c r="K466" s="1030"/>
      <c r="L466" s="1030"/>
      <c r="M466" s="1030"/>
      <c r="N466" s="1030"/>
      <c r="O466" s="1030"/>
      <c r="P466" s="1030"/>
      <c r="Q466" s="1030"/>
      <c r="R466" s="1030"/>
      <c r="S466" s="1031"/>
      <c r="T466" s="952"/>
      <c r="U466" s="941"/>
      <c r="V466" s="941"/>
      <c r="W466" s="941"/>
    </row>
    <row r="467" spans="10:23" s="1011" customFormat="1" x14ac:dyDescent="0.2">
      <c r="J467" s="1030"/>
      <c r="K467" s="1030"/>
      <c r="L467" s="1030"/>
      <c r="M467" s="1030"/>
      <c r="N467" s="1030"/>
      <c r="O467" s="1030"/>
      <c r="P467" s="1030"/>
      <c r="Q467" s="1030"/>
      <c r="R467" s="1030"/>
      <c r="S467" s="1031"/>
      <c r="T467" s="952"/>
      <c r="U467" s="941"/>
      <c r="V467" s="941"/>
      <c r="W467" s="941"/>
    </row>
    <row r="468" spans="10:23" s="1011" customFormat="1" x14ac:dyDescent="0.2">
      <c r="J468" s="1030"/>
      <c r="K468" s="1030"/>
      <c r="L468" s="1030"/>
      <c r="M468" s="1030"/>
      <c r="N468" s="1030"/>
      <c r="O468" s="1030"/>
      <c r="P468" s="1030"/>
      <c r="Q468" s="1030"/>
      <c r="R468" s="1030"/>
      <c r="S468" s="1031"/>
      <c r="T468" s="952"/>
      <c r="U468" s="941"/>
      <c r="V468" s="941"/>
      <c r="W468" s="941"/>
    </row>
    <row r="469" spans="10:23" s="1011" customFormat="1" x14ac:dyDescent="0.2">
      <c r="J469" s="1030"/>
      <c r="K469" s="1030"/>
      <c r="L469" s="1030"/>
      <c r="M469" s="1030"/>
      <c r="N469" s="1030"/>
      <c r="O469" s="1030"/>
      <c r="P469" s="1030"/>
      <c r="Q469" s="1030"/>
      <c r="R469" s="1030"/>
      <c r="S469" s="1031"/>
      <c r="T469" s="952"/>
      <c r="U469" s="941"/>
      <c r="V469" s="941"/>
      <c r="W469" s="941"/>
    </row>
    <row r="470" spans="10:23" s="1011" customFormat="1" x14ac:dyDescent="0.2">
      <c r="J470" s="1030"/>
      <c r="K470" s="1030"/>
      <c r="L470" s="1030"/>
      <c r="M470" s="1030"/>
      <c r="N470" s="1030"/>
      <c r="O470" s="1030"/>
      <c r="P470" s="1030"/>
      <c r="Q470" s="1030"/>
      <c r="R470" s="1030"/>
      <c r="S470" s="1031"/>
      <c r="T470" s="952"/>
      <c r="U470" s="941"/>
      <c r="V470" s="941"/>
      <c r="W470" s="941"/>
    </row>
    <row r="471" spans="10:23" s="1011" customFormat="1" x14ac:dyDescent="0.2">
      <c r="J471" s="1030"/>
      <c r="K471" s="1030"/>
      <c r="L471" s="1030"/>
      <c r="M471" s="1030"/>
      <c r="N471" s="1030"/>
      <c r="O471" s="1030"/>
      <c r="P471" s="1030"/>
      <c r="Q471" s="1030"/>
      <c r="R471" s="1030"/>
      <c r="S471" s="1031"/>
      <c r="T471" s="952"/>
      <c r="U471" s="941"/>
      <c r="V471" s="941"/>
      <c r="W471" s="941"/>
    </row>
    <row r="472" spans="10:23" s="1011" customFormat="1" x14ac:dyDescent="0.2">
      <c r="J472" s="1030"/>
      <c r="K472" s="1030"/>
      <c r="L472" s="1030"/>
      <c r="M472" s="1030"/>
      <c r="N472" s="1030"/>
      <c r="O472" s="1030"/>
      <c r="P472" s="1030"/>
      <c r="Q472" s="1030"/>
      <c r="R472" s="1030"/>
      <c r="S472" s="1031"/>
      <c r="T472" s="952"/>
      <c r="U472" s="941"/>
      <c r="V472" s="941"/>
      <c r="W472" s="941"/>
    </row>
    <row r="473" spans="10:23" s="1011" customFormat="1" x14ac:dyDescent="0.2">
      <c r="J473" s="1030"/>
      <c r="K473" s="1030"/>
      <c r="L473" s="1030"/>
      <c r="M473" s="1030"/>
      <c r="N473" s="1030"/>
      <c r="O473" s="1030"/>
      <c r="P473" s="1030"/>
      <c r="Q473" s="1030"/>
      <c r="R473" s="1030"/>
      <c r="S473" s="1031"/>
      <c r="T473" s="952"/>
      <c r="U473" s="941"/>
      <c r="V473" s="941"/>
      <c r="W473" s="941"/>
    </row>
    <row r="474" spans="10:23" s="1011" customFormat="1" x14ac:dyDescent="0.2">
      <c r="J474" s="1030"/>
      <c r="K474" s="1030"/>
      <c r="L474" s="1030"/>
      <c r="M474" s="1030"/>
      <c r="N474" s="1030"/>
      <c r="O474" s="1030"/>
      <c r="P474" s="1030"/>
      <c r="Q474" s="1030"/>
      <c r="R474" s="1030"/>
      <c r="S474" s="1031"/>
      <c r="T474" s="952"/>
      <c r="U474" s="941"/>
      <c r="V474" s="941"/>
      <c r="W474" s="941"/>
    </row>
    <row r="475" spans="10:23" s="1011" customFormat="1" x14ac:dyDescent="0.2">
      <c r="J475" s="1030"/>
      <c r="K475" s="1030"/>
      <c r="L475" s="1030"/>
      <c r="M475" s="1030"/>
      <c r="N475" s="1030"/>
      <c r="O475" s="1030"/>
      <c r="P475" s="1030"/>
      <c r="Q475" s="1030"/>
      <c r="R475" s="1030"/>
      <c r="S475" s="1031"/>
      <c r="T475" s="952"/>
      <c r="U475" s="941"/>
      <c r="V475" s="941"/>
      <c r="W475" s="941"/>
    </row>
    <row r="476" spans="10:23" s="1011" customFormat="1" x14ac:dyDescent="0.2">
      <c r="J476" s="1030"/>
      <c r="K476" s="1030"/>
      <c r="L476" s="1030"/>
      <c r="M476" s="1030"/>
      <c r="N476" s="1030"/>
      <c r="O476" s="1030"/>
      <c r="P476" s="1030"/>
      <c r="Q476" s="1030"/>
      <c r="R476" s="1030"/>
      <c r="S476" s="1031"/>
      <c r="T476" s="952"/>
      <c r="U476" s="941"/>
      <c r="V476" s="941"/>
      <c r="W476" s="941"/>
    </row>
    <row r="477" spans="10:23" s="1011" customFormat="1" x14ac:dyDescent="0.2">
      <c r="J477" s="1030"/>
      <c r="K477" s="1030"/>
      <c r="L477" s="1030"/>
      <c r="M477" s="1030"/>
      <c r="N477" s="1030"/>
      <c r="O477" s="1030"/>
      <c r="P477" s="1030"/>
      <c r="Q477" s="1030"/>
      <c r="R477" s="1030"/>
      <c r="S477" s="1031"/>
      <c r="T477" s="952"/>
      <c r="U477" s="941"/>
      <c r="V477" s="941"/>
      <c r="W477" s="941"/>
    </row>
    <row r="478" spans="10:23" s="1011" customFormat="1" x14ac:dyDescent="0.2">
      <c r="J478" s="1030"/>
      <c r="K478" s="1030"/>
      <c r="L478" s="1030"/>
      <c r="M478" s="1030"/>
      <c r="N478" s="1030"/>
      <c r="O478" s="1030"/>
      <c r="P478" s="1030"/>
      <c r="Q478" s="1030"/>
      <c r="R478" s="1030"/>
      <c r="S478" s="1031"/>
      <c r="T478" s="952"/>
      <c r="U478" s="941"/>
      <c r="V478" s="941"/>
      <c r="W478" s="941"/>
    </row>
    <row r="479" spans="10:23" s="1011" customFormat="1" x14ac:dyDescent="0.2">
      <c r="J479" s="1030"/>
      <c r="K479" s="1030"/>
      <c r="L479" s="1030"/>
      <c r="M479" s="1030"/>
      <c r="N479" s="1030"/>
      <c r="O479" s="1030"/>
      <c r="P479" s="1030"/>
      <c r="Q479" s="1030"/>
      <c r="R479" s="1030"/>
      <c r="S479" s="1031"/>
      <c r="T479" s="952"/>
      <c r="U479" s="941"/>
      <c r="V479" s="941"/>
      <c r="W479" s="941"/>
    </row>
    <row r="480" spans="10:23" s="1011" customFormat="1" x14ac:dyDescent="0.2">
      <c r="J480" s="1030"/>
      <c r="K480" s="1030"/>
      <c r="L480" s="1030"/>
      <c r="M480" s="1030"/>
      <c r="N480" s="1030"/>
      <c r="O480" s="1030"/>
      <c r="P480" s="1030"/>
      <c r="Q480" s="1030"/>
      <c r="R480" s="1030"/>
      <c r="S480" s="1031"/>
      <c r="T480" s="952"/>
      <c r="U480" s="941"/>
      <c r="V480" s="941"/>
      <c r="W480" s="941"/>
    </row>
    <row r="481" spans="10:23" s="1011" customFormat="1" x14ac:dyDescent="0.2">
      <c r="J481" s="1030"/>
      <c r="K481" s="1030"/>
      <c r="L481" s="1030"/>
      <c r="M481" s="1030"/>
      <c r="N481" s="1030"/>
      <c r="O481" s="1030"/>
      <c r="P481" s="1030"/>
      <c r="Q481" s="1030"/>
      <c r="R481" s="1030"/>
      <c r="S481" s="1031"/>
      <c r="T481" s="952"/>
      <c r="U481" s="941"/>
      <c r="V481" s="941"/>
      <c r="W481" s="941"/>
    </row>
    <row r="482" spans="10:23" s="1011" customFormat="1" x14ac:dyDescent="0.2">
      <c r="J482" s="1030"/>
      <c r="K482" s="1030"/>
      <c r="L482" s="1030"/>
      <c r="M482" s="1030"/>
      <c r="N482" s="1030"/>
      <c r="O482" s="1030"/>
      <c r="P482" s="1030"/>
      <c r="Q482" s="1030"/>
      <c r="R482" s="1030"/>
      <c r="S482" s="1031"/>
      <c r="T482" s="952"/>
      <c r="U482" s="941"/>
      <c r="V482" s="941"/>
      <c r="W482" s="941"/>
    </row>
    <row r="483" spans="10:23" s="1011" customFormat="1" x14ac:dyDescent="0.2">
      <c r="J483" s="1030"/>
      <c r="K483" s="1030"/>
      <c r="L483" s="1030"/>
      <c r="M483" s="1030"/>
      <c r="N483" s="1030"/>
      <c r="O483" s="1030"/>
      <c r="P483" s="1030"/>
      <c r="Q483" s="1030"/>
      <c r="R483" s="1030"/>
      <c r="S483" s="1031"/>
      <c r="T483" s="952"/>
      <c r="U483" s="941"/>
      <c r="V483" s="941"/>
      <c r="W483" s="941"/>
    </row>
    <row r="484" spans="10:23" s="1011" customFormat="1" x14ac:dyDescent="0.2">
      <c r="J484" s="1030"/>
      <c r="K484" s="1030"/>
      <c r="L484" s="1030"/>
      <c r="M484" s="1030"/>
      <c r="N484" s="1030"/>
      <c r="O484" s="1030"/>
      <c r="P484" s="1030"/>
      <c r="Q484" s="1030"/>
      <c r="R484" s="1030"/>
      <c r="S484" s="1031"/>
      <c r="T484" s="952"/>
      <c r="U484" s="941"/>
      <c r="V484" s="941"/>
      <c r="W484" s="941"/>
    </row>
    <row r="485" spans="10:23" s="1011" customFormat="1" x14ac:dyDescent="0.2">
      <c r="J485" s="1030"/>
      <c r="K485" s="1030"/>
      <c r="L485" s="1030"/>
      <c r="M485" s="1030"/>
      <c r="N485" s="1030"/>
      <c r="O485" s="1030"/>
      <c r="P485" s="1030"/>
      <c r="Q485" s="1030"/>
      <c r="R485" s="1030"/>
      <c r="S485" s="1031"/>
      <c r="T485" s="952"/>
      <c r="U485" s="941"/>
      <c r="V485" s="941"/>
      <c r="W485" s="941"/>
    </row>
    <row r="486" spans="10:23" s="1011" customFormat="1" x14ac:dyDescent="0.2">
      <c r="J486" s="1030"/>
      <c r="K486" s="1030"/>
      <c r="L486" s="1030"/>
      <c r="M486" s="1030"/>
      <c r="N486" s="1030"/>
      <c r="O486" s="1030"/>
      <c r="P486" s="1030"/>
      <c r="Q486" s="1030"/>
      <c r="R486" s="1030"/>
      <c r="S486" s="1031"/>
      <c r="T486" s="952"/>
      <c r="U486" s="941"/>
      <c r="V486" s="941"/>
      <c r="W486" s="941"/>
    </row>
    <row r="487" spans="10:23" s="1011" customFormat="1" x14ac:dyDescent="0.2">
      <c r="J487" s="1030"/>
      <c r="K487" s="1030"/>
      <c r="L487" s="1030"/>
      <c r="M487" s="1030"/>
      <c r="N487" s="1030"/>
      <c r="O487" s="1030"/>
      <c r="P487" s="1030"/>
      <c r="Q487" s="1030"/>
      <c r="R487" s="1030"/>
      <c r="S487" s="1031"/>
      <c r="T487" s="952"/>
      <c r="U487" s="941"/>
      <c r="V487" s="941"/>
      <c r="W487" s="941"/>
    </row>
    <row r="488" spans="10:23" s="1011" customFormat="1" x14ac:dyDescent="0.2">
      <c r="J488" s="1030"/>
      <c r="K488" s="1030"/>
      <c r="L488" s="1030"/>
      <c r="M488" s="1030"/>
      <c r="N488" s="1030"/>
      <c r="O488" s="1030"/>
      <c r="P488" s="1030"/>
      <c r="Q488" s="1030"/>
      <c r="R488" s="1030"/>
      <c r="S488" s="1031"/>
      <c r="T488" s="952"/>
      <c r="U488" s="941"/>
      <c r="V488" s="941"/>
      <c r="W488" s="941"/>
    </row>
    <row r="489" spans="10:23" s="1011" customFormat="1" x14ac:dyDescent="0.2">
      <c r="J489" s="1030"/>
      <c r="K489" s="1030"/>
      <c r="L489" s="1030"/>
      <c r="M489" s="1030"/>
      <c r="N489" s="1030"/>
      <c r="O489" s="1030"/>
      <c r="P489" s="1030"/>
      <c r="Q489" s="1030"/>
      <c r="R489" s="1030"/>
      <c r="S489" s="1031"/>
      <c r="T489" s="952"/>
      <c r="U489" s="941"/>
      <c r="V489" s="941"/>
      <c r="W489" s="941"/>
    </row>
    <row r="490" spans="10:23" s="1011" customFormat="1" x14ac:dyDescent="0.2">
      <c r="J490" s="1030"/>
      <c r="K490" s="1030"/>
      <c r="L490" s="1030"/>
      <c r="M490" s="1030"/>
      <c r="N490" s="1030"/>
      <c r="O490" s="1030"/>
      <c r="P490" s="1030"/>
      <c r="Q490" s="1030"/>
      <c r="R490" s="1030"/>
      <c r="S490" s="1031"/>
      <c r="T490" s="952"/>
      <c r="U490" s="941"/>
      <c r="V490" s="941"/>
      <c r="W490" s="941"/>
    </row>
    <row r="491" spans="10:23" s="1011" customFormat="1" x14ac:dyDescent="0.2">
      <c r="J491" s="1030"/>
      <c r="K491" s="1030"/>
      <c r="L491" s="1030"/>
      <c r="M491" s="1030"/>
      <c r="N491" s="1030"/>
      <c r="O491" s="1030"/>
      <c r="P491" s="1030"/>
      <c r="Q491" s="1030"/>
      <c r="R491" s="1030"/>
      <c r="S491" s="1031"/>
      <c r="T491" s="952"/>
      <c r="U491" s="941"/>
      <c r="V491" s="941"/>
      <c r="W491" s="941"/>
    </row>
    <row r="492" spans="10:23" s="1011" customFormat="1" x14ac:dyDescent="0.2">
      <c r="J492" s="1030"/>
      <c r="K492" s="1030"/>
      <c r="L492" s="1030"/>
      <c r="M492" s="1030"/>
      <c r="N492" s="1030"/>
      <c r="O492" s="1030"/>
      <c r="P492" s="1030"/>
      <c r="Q492" s="1030"/>
      <c r="R492" s="1030"/>
      <c r="S492" s="1031"/>
      <c r="T492" s="952"/>
      <c r="U492" s="941"/>
      <c r="V492" s="941"/>
      <c r="W492" s="941"/>
    </row>
    <row r="493" spans="10:23" s="1011" customFormat="1" x14ac:dyDescent="0.2">
      <c r="J493" s="1030"/>
      <c r="K493" s="1030"/>
      <c r="L493" s="1030"/>
      <c r="M493" s="1030"/>
      <c r="N493" s="1030"/>
      <c r="O493" s="1030"/>
      <c r="P493" s="1030"/>
      <c r="Q493" s="1030"/>
      <c r="R493" s="1030"/>
      <c r="S493" s="1031"/>
      <c r="T493" s="952"/>
      <c r="U493" s="941"/>
      <c r="V493" s="941"/>
      <c r="W493" s="941"/>
    </row>
    <row r="494" spans="10:23" s="1011" customFormat="1" x14ac:dyDescent="0.2">
      <c r="J494" s="1030"/>
      <c r="K494" s="1030"/>
      <c r="L494" s="1030"/>
      <c r="M494" s="1030"/>
      <c r="N494" s="1030"/>
      <c r="O494" s="1030"/>
      <c r="P494" s="1030"/>
      <c r="Q494" s="1030"/>
      <c r="R494" s="1030"/>
      <c r="S494" s="1031"/>
      <c r="T494" s="952"/>
      <c r="U494" s="941"/>
      <c r="V494" s="941"/>
      <c r="W494" s="941"/>
    </row>
    <row r="495" spans="10:23" s="1011" customFormat="1" x14ac:dyDescent="0.2">
      <c r="J495" s="1030"/>
      <c r="K495" s="1030"/>
      <c r="L495" s="1030"/>
      <c r="M495" s="1030"/>
      <c r="N495" s="1030"/>
      <c r="O495" s="1030"/>
      <c r="P495" s="1030"/>
      <c r="Q495" s="1030"/>
      <c r="R495" s="1030"/>
      <c r="S495" s="1031"/>
      <c r="T495" s="952"/>
      <c r="U495" s="941"/>
      <c r="V495" s="941"/>
      <c r="W495" s="941"/>
    </row>
    <row r="496" spans="10:23" s="1011" customFormat="1" x14ac:dyDescent="0.2">
      <c r="J496" s="1030"/>
      <c r="K496" s="1030"/>
      <c r="L496" s="1030"/>
      <c r="M496" s="1030"/>
      <c r="N496" s="1030"/>
      <c r="O496" s="1030"/>
      <c r="P496" s="1030"/>
      <c r="Q496" s="1030"/>
      <c r="R496" s="1030"/>
      <c r="S496" s="1031"/>
      <c r="T496" s="952"/>
      <c r="U496" s="941"/>
      <c r="V496" s="941"/>
      <c r="W496" s="941"/>
    </row>
    <row r="497" spans="10:23" s="1011" customFormat="1" x14ac:dyDescent="0.2">
      <c r="J497" s="1030"/>
      <c r="K497" s="1030"/>
      <c r="L497" s="1030"/>
      <c r="M497" s="1030"/>
      <c r="N497" s="1030"/>
      <c r="O497" s="1030"/>
      <c r="P497" s="1030"/>
      <c r="Q497" s="1030"/>
      <c r="R497" s="1030"/>
      <c r="S497" s="1031"/>
      <c r="T497" s="952"/>
      <c r="U497" s="941"/>
      <c r="V497" s="941"/>
      <c r="W497" s="941"/>
    </row>
    <row r="498" spans="10:23" s="1011" customFormat="1" x14ac:dyDescent="0.2">
      <c r="J498" s="1030"/>
      <c r="K498" s="1030"/>
      <c r="L498" s="1030"/>
      <c r="M498" s="1030"/>
      <c r="N498" s="1030"/>
      <c r="O498" s="1030"/>
      <c r="P498" s="1030"/>
      <c r="Q498" s="1030"/>
      <c r="R498" s="1030"/>
      <c r="S498" s="1031"/>
      <c r="T498" s="952"/>
      <c r="U498" s="941"/>
      <c r="V498" s="941"/>
      <c r="W498" s="941"/>
    </row>
    <row r="499" spans="10:23" s="1011" customFormat="1" x14ac:dyDescent="0.2">
      <c r="J499" s="1030"/>
      <c r="K499" s="1030"/>
      <c r="L499" s="1030"/>
      <c r="M499" s="1030"/>
      <c r="N499" s="1030"/>
      <c r="O499" s="1030"/>
      <c r="P499" s="1030"/>
      <c r="Q499" s="1030"/>
      <c r="R499" s="1030"/>
      <c r="S499" s="1031"/>
      <c r="T499" s="952"/>
      <c r="U499" s="941"/>
      <c r="V499" s="941"/>
      <c r="W499" s="941"/>
    </row>
    <row r="500" spans="10:23" s="1011" customFormat="1" x14ac:dyDescent="0.2">
      <c r="J500" s="1030"/>
      <c r="K500" s="1030"/>
      <c r="L500" s="1030"/>
      <c r="M500" s="1030"/>
      <c r="N500" s="1030"/>
      <c r="O500" s="1030"/>
      <c r="P500" s="1030"/>
      <c r="Q500" s="1030"/>
      <c r="R500" s="1030"/>
      <c r="S500" s="1031"/>
      <c r="T500" s="952"/>
      <c r="U500" s="941"/>
      <c r="V500" s="941"/>
      <c r="W500" s="941"/>
    </row>
    <row r="501" spans="10:23" s="1011" customFormat="1" x14ac:dyDescent="0.2">
      <c r="J501" s="1030"/>
      <c r="K501" s="1030"/>
      <c r="L501" s="1030"/>
      <c r="M501" s="1030"/>
      <c r="N501" s="1030"/>
      <c r="O501" s="1030"/>
      <c r="P501" s="1030"/>
      <c r="Q501" s="1030"/>
      <c r="R501" s="1030"/>
      <c r="S501" s="1031"/>
      <c r="T501" s="952"/>
      <c r="U501" s="941"/>
      <c r="V501" s="941"/>
      <c r="W501" s="941"/>
    </row>
    <row r="502" spans="10:23" s="1011" customFormat="1" x14ac:dyDescent="0.2">
      <c r="J502" s="1030"/>
      <c r="K502" s="1030"/>
      <c r="L502" s="1030"/>
      <c r="M502" s="1030"/>
      <c r="N502" s="1030"/>
      <c r="O502" s="1030"/>
      <c r="P502" s="1030"/>
      <c r="Q502" s="1030"/>
      <c r="R502" s="1030"/>
      <c r="S502" s="1031"/>
      <c r="T502" s="952"/>
      <c r="U502" s="941"/>
      <c r="V502" s="941"/>
      <c r="W502" s="941"/>
    </row>
    <row r="503" spans="10:23" s="1011" customFormat="1" x14ac:dyDescent="0.2">
      <c r="J503" s="1030"/>
      <c r="K503" s="1030"/>
      <c r="L503" s="1030"/>
      <c r="M503" s="1030"/>
      <c r="N503" s="1030"/>
      <c r="O503" s="1030"/>
      <c r="P503" s="1030"/>
      <c r="Q503" s="1030"/>
      <c r="R503" s="1030"/>
      <c r="S503" s="1031"/>
      <c r="T503" s="952"/>
      <c r="U503" s="941"/>
      <c r="V503" s="941"/>
      <c r="W503" s="941"/>
    </row>
    <row r="504" spans="10:23" s="1011" customFormat="1" x14ac:dyDescent="0.2">
      <c r="J504" s="1030"/>
      <c r="K504" s="1030"/>
      <c r="L504" s="1030"/>
      <c r="M504" s="1030"/>
      <c r="N504" s="1030"/>
      <c r="O504" s="1030"/>
      <c r="P504" s="1030"/>
      <c r="Q504" s="1030"/>
      <c r="R504" s="1030"/>
      <c r="S504" s="1031"/>
      <c r="T504" s="952"/>
      <c r="U504" s="941"/>
      <c r="V504" s="941"/>
      <c r="W504" s="941"/>
    </row>
    <row r="505" spans="10:23" s="1011" customFormat="1" x14ac:dyDescent="0.2">
      <c r="J505" s="1030"/>
      <c r="K505" s="1030"/>
      <c r="L505" s="1030"/>
      <c r="M505" s="1030"/>
      <c r="N505" s="1030"/>
      <c r="O505" s="1030"/>
      <c r="P505" s="1030"/>
      <c r="Q505" s="1030"/>
      <c r="R505" s="1030"/>
      <c r="S505" s="1031"/>
      <c r="T505" s="952"/>
      <c r="U505" s="941"/>
      <c r="V505" s="941"/>
      <c r="W505" s="941"/>
    </row>
    <row r="506" spans="10:23" s="1011" customFormat="1" x14ac:dyDescent="0.2">
      <c r="J506" s="1030"/>
      <c r="K506" s="1030"/>
      <c r="L506" s="1030"/>
      <c r="M506" s="1030"/>
      <c r="N506" s="1030"/>
      <c r="O506" s="1030"/>
      <c r="P506" s="1030"/>
      <c r="Q506" s="1030"/>
      <c r="R506" s="1030"/>
      <c r="S506" s="1031"/>
      <c r="T506" s="952"/>
      <c r="U506" s="941"/>
      <c r="V506" s="941"/>
      <c r="W506" s="941"/>
    </row>
    <row r="507" spans="10:23" s="1011" customFormat="1" x14ac:dyDescent="0.2">
      <c r="J507" s="1030"/>
      <c r="K507" s="1030"/>
      <c r="L507" s="1030"/>
      <c r="M507" s="1030"/>
      <c r="N507" s="1030"/>
      <c r="O507" s="1030"/>
      <c r="P507" s="1030"/>
      <c r="Q507" s="1030"/>
      <c r="R507" s="1030"/>
      <c r="S507" s="1031"/>
      <c r="T507" s="952"/>
      <c r="U507" s="941"/>
      <c r="V507" s="941"/>
      <c r="W507" s="941"/>
    </row>
    <row r="508" spans="10:23" s="1011" customFormat="1" x14ac:dyDescent="0.2">
      <c r="J508" s="1030"/>
      <c r="K508" s="1030"/>
      <c r="L508" s="1030"/>
      <c r="M508" s="1030"/>
      <c r="N508" s="1030"/>
      <c r="O508" s="1030"/>
      <c r="P508" s="1030"/>
      <c r="Q508" s="1030"/>
      <c r="R508" s="1030"/>
      <c r="S508" s="1031"/>
      <c r="T508" s="952"/>
      <c r="U508" s="941"/>
      <c r="V508" s="941"/>
      <c r="W508" s="941"/>
    </row>
    <row r="509" spans="10:23" s="1011" customFormat="1" x14ac:dyDescent="0.2">
      <c r="J509" s="1030"/>
      <c r="K509" s="1030"/>
      <c r="L509" s="1030"/>
      <c r="M509" s="1030"/>
      <c r="N509" s="1030"/>
      <c r="O509" s="1030"/>
      <c r="P509" s="1030"/>
      <c r="Q509" s="1030"/>
      <c r="R509" s="1030"/>
      <c r="S509" s="1031"/>
      <c r="T509" s="952"/>
      <c r="U509" s="941"/>
      <c r="V509" s="941"/>
      <c r="W509" s="941"/>
    </row>
    <row r="510" spans="10:23" s="1011" customFormat="1" x14ac:dyDescent="0.2">
      <c r="J510" s="1030"/>
      <c r="K510" s="1030"/>
      <c r="L510" s="1030"/>
      <c r="M510" s="1030"/>
      <c r="N510" s="1030"/>
      <c r="O510" s="1030"/>
      <c r="P510" s="1030"/>
      <c r="Q510" s="1030"/>
      <c r="R510" s="1030"/>
      <c r="S510" s="1031"/>
      <c r="T510" s="952"/>
      <c r="U510" s="941"/>
      <c r="V510" s="941"/>
      <c r="W510" s="941"/>
    </row>
    <row r="511" spans="10:23" s="1011" customFormat="1" x14ac:dyDescent="0.2">
      <c r="J511" s="1030"/>
      <c r="K511" s="1030"/>
      <c r="L511" s="1030"/>
      <c r="M511" s="1030"/>
      <c r="N511" s="1030"/>
      <c r="O511" s="1030"/>
      <c r="P511" s="1030"/>
      <c r="Q511" s="1030"/>
      <c r="R511" s="1030"/>
      <c r="S511" s="1031"/>
      <c r="T511" s="952"/>
      <c r="U511" s="941"/>
      <c r="V511" s="941"/>
      <c r="W511" s="941"/>
    </row>
    <row r="512" spans="10:23" s="1011" customFormat="1" x14ac:dyDescent="0.2">
      <c r="J512" s="1030"/>
      <c r="K512" s="1030"/>
      <c r="L512" s="1030"/>
      <c r="M512" s="1030"/>
      <c r="N512" s="1030"/>
      <c r="O512" s="1030"/>
      <c r="P512" s="1030"/>
      <c r="Q512" s="1030"/>
      <c r="R512" s="1030"/>
      <c r="S512" s="1031"/>
      <c r="T512" s="952"/>
      <c r="U512" s="941"/>
      <c r="V512" s="941"/>
      <c r="W512" s="941"/>
    </row>
    <row r="513" spans="10:23" s="1011" customFormat="1" x14ac:dyDescent="0.2">
      <c r="J513" s="1030"/>
      <c r="K513" s="1030"/>
      <c r="L513" s="1030"/>
      <c r="M513" s="1030"/>
      <c r="N513" s="1030"/>
      <c r="O513" s="1030"/>
      <c r="P513" s="1030"/>
      <c r="Q513" s="1030"/>
      <c r="R513" s="1030"/>
      <c r="S513" s="1031"/>
      <c r="T513" s="952"/>
      <c r="U513" s="941"/>
      <c r="V513" s="941"/>
      <c r="W513" s="941"/>
    </row>
    <row r="514" spans="10:23" s="1011" customFormat="1" x14ac:dyDescent="0.2">
      <c r="J514" s="1030"/>
      <c r="K514" s="1030"/>
      <c r="L514" s="1030"/>
      <c r="M514" s="1030"/>
      <c r="N514" s="1030"/>
      <c r="O514" s="1030"/>
      <c r="P514" s="1030"/>
      <c r="Q514" s="1030"/>
      <c r="R514" s="1030"/>
      <c r="S514" s="1031"/>
      <c r="T514" s="952"/>
      <c r="U514" s="941"/>
      <c r="V514" s="941"/>
      <c r="W514" s="941"/>
    </row>
    <row r="515" spans="10:23" s="1011" customFormat="1" x14ac:dyDescent="0.2">
      <c r="J515" s="1030"/>
      <c r="K515" s="1030"/>
      <c r="L515" s="1030"/>
      <c r="M515" s="1030"/>
      <c r="N515" s="1030"/>
      <c r="O515" s="1030"/>
      <c r="P515" s="1030"/>
      <c r="Q515" s="1030"/>
      <c r="R515" s="1030"/>
      <c r="S515" s="1031"/>
      <c r="T515" s="952"/>
      <c r="U515" s="941"/>
      <c r="V515" s="941"/>
      <c r="W515" s="941"/>
    </row>
    <row r="516" spans="10:23" s="1011" customFormat="1" x14ac:dyDescent="0.2">
      <c r="J516" s="1030"/>
      <c r="K516" s="1030"/>
      <c r="L516" s="1030"/>
      <c r="M516" s="1030"/>
      <c r="N516" s="1030"/>
      <c r="O516" s="1030"/>
      <c r="P516" s="1030"/>
      <c r="Q516" s="1030"/>
      <c r="R516" s="1030"/>
      <c r="S516" s="1031"/>
      <c r="T516" s="952"/>
      <c r="U516" s="941"/>
      <c r="V516" s="941"/>
      <c r="W516" s="941"/>
    </row>
    <row r="517" spans="10:23" s="1011" customFormat="1" x14ac:dyDescent="0.2">
      <c r="J517" s="1030"/>
      <c r="K517" s="1030"/>
      <c r="L517" s="1030"/>
      <c r="M517" s="1030"/>
      <c r="N517" s="1030"/>
      <c r="O517" s="1030"/>
      <c r="P517" s="1030"/>
      <c r="Q517" s="1030"/>
      <c r="R517" s="1030"/>
      <c r="S517" s="1031"/>
      <c r="T517" s="952"/>
      <c r="U517" s="941"/>
      <c r="V517" s="941"/>
      <c r="W517" s="941"/>
    </row>
    <row r="518" spans="10:23" s="1011" customFormat="1" x14ac:dyDescent="0.2">
      <c r="J518" s="1030"/>
      <c r="K518" s="1030"/>
      <c r="L518" s="1030"/>
      <c r="M518" s="1030"/>
      <c r="N518" s="1030"/>
      <c r="O518" s="1030"/>
      <c r="P518" s="1030"/>
      <c r="Q518" s="1030"/>
      <c r="R518" s="1030"/>
      <c r="S518" s="1031"/>
      <c r="T518" s="952"/>
      <c r="U518" s="941"/>
      <c r="V518" s="941"/>
      <c r="W518" s="941"/>
    </row>
    <row r="519" spans="10:23" s="1011" customFormat="1" x14ac:dyDescent="0.2">
      <c r="J519" s="1030"/>
      <c r="K519" s="1030"/>
      <c r="L519" s="1030"/>
      <c r="M519" s="1030"/>
      <c r="N519" s="1030"/>
      <c r="O519" s="1030"/>
      <c r="P519" s="1030"/>
      <c r="Q519" s="1030"/>
      <c r="R519" s="1030"/>
      <c r="S519" s="1031"/>
      <c r="T519" s="952"/>
      <c r="U519" s="941"/>
      <c r="V519" s="941"/>
      <c r="W519" s="941"/>
    </row>
    <row r="520" spans="10:23" s="1011" customFormat="1" x14ac:dyDescent="0.2">
      <c r="J520" s="1030"/>
      <c r="K520" s="1030"/>
      <c r="L520" s="1030"/>
      <c r="M520" s="1030"/>
      <c r="N520" s="1030"/>
      <c r="O520" s="1030"/>
      <c r="P520" s="1030"/>
      <c r="Q520" s="1030"/>
      <c r="R520" s="1030"/>
      <c r="S520" s="1031"/>
      <c r="T520" s="952"/>
      <c r="U520" s="941"/>
      <c r="V520" s="941"/>
      <c r="W520" s="941"/>
    </row>
    <row r="521" spans="10:23" s="1011" customFormat="1" x14ac:dyDescent="0.2">
      <c r="J521" s="1030"/>
      <c r="K521" s="1030"/>
      <c r="L521" s="1030"/>
      <c r="M521" s="1030"/>
      <c r="N521" s="1030"/>
      <c r="O521" s="1030"/>
      <c r="P521" s="1030"/>
      <c r="Q521" s="1030"/>
      <c r="R521" s="1030"/>
      <c r="S521" s="1031"/>
      <c r="T521" s="952"/>
      <c r="U521" s="941"/>
      <c r="V521" s="941"/>
      <c r="W521" s="941"/>
    </row>
    <row r="522" spans="10:23" s="1011" customFormat="1" x14ac:dyDescent="0.2">
      <c r="J522" s="1030"/>
      <c r="K522" s="1030"/>
      <c r="L522" s="1030"/>
      <c r="M522" s="1030"/>
      <c r="N522" s="1030"/>
      <c r="O522" s="1030"/>
      <c r="P522" s="1030"/>
      <c r="Q522" s="1030"/>
      <c r="R522" s="1030"/>
      <c r="S522" s="1031"/>
      <c r="T522" s="952"/>
      <c r="U522" s="941"/>
      <c r="V522" s="941"/>
      <c r="W522" s="941"/>
    </row>
    <row r="523" spans="10:23" s="1011" customFormat="1" x14ac:dyDescent="0.2">
      <c r="J523" s="1030"/>
      <c r="K523" s="1030"/>
      <c r="L523" s="1030"/>
      <c r="M523" s="1030"/>
      <c r="N523" s="1030"/>
      <c r="O523" s="1030"/>
      <c r="P523" s="1030"/>
      <c r="Q523" s="1030"/>
      <c r="R523" s="1030"/>
      <c r="S523" s="1031"/>
      <c r="T523" s="952"/>
      <c r="U523" s="941"/>
      <c r="V523" s="941"/>
      <c r="W523" s="941"/>
    </row>
    <row r="524" spans="10:23" s="1011" customFormat="1" x14ac:dyDescent="0.2">
      <c r="J524" s="1030"/>
      <c r="K524" s="1030"/>
      <c r="L524" s="1030"/>
      <c r="M524" s="1030"/>
      <c r="N524" s="1030"/>
      <c r="O524" s="1030"/>
      <c r="P524" s="1030"/>
      <c r="Q524" s="1030"/>
      <c r="R524" s="1030"/>
      <c r="S524" s="1031"/>
      <c r="T524" s="952"/>
      <c r="U524" s="941"/>
      <c r="V524" s="941"/>
      <c r="W524" s="941"/>
    </row>
    <row r="525" spans="10:23" s="1011" customFormat="1" x14ac:dyDescent="0.2">
      <c r="J525" s="1030"/>
      <c r="K525" s="1030"/>
      <c r="L525" s="1030"/>
      <c r="M525" s="1030"/>
      <c r="N525" s="1030"/>
      <c r="O525" s="1030"/>
      <c r="P525" s="1030"/>
      <c r="Q525" s="1030"/>
      <c r="R525" s="1030"/>
      <c r="S525" s="1031"/>
      <c r="T525" s="952"/>
      <c r="U525" s="941"/>
      <c r="V525" s="941"/>
      <c r="W525" s="941"/>
    </row>
    <row r="526" spans="10:23" s="1011" customFormat="1" x14ac:dyDescent="0.2">
      <c r="J526" s="1030"/>
      <c r="K526" s="1030"/>
      <c r="L526" s="1030"/>
      <c r="M526" s="1030"/>
      <c r="N526" s="1030"/>
      <c r="O526" s="1030"/>
      <c r="P526" s="1030"/>
      <c r="Q526" s="1030"/>
      <c r="R526" s="1030"/>
      <c r="S526" s="1031"/>
      <c r="T526" s="952"/>
      <c r="U526" s="941"/>
      <c r="V526" s="941"/>
      <c r="W526" s="941"/>
    </row>
    <row r="527" spans="10:23" s="1011" customFormat="1" x14ac:dyDescent="0.2">
      <c r="J527" s="1030"/>
      <c r="K527" s="1030"/>
      <c r="L527" s="1030"/>
      <c r="M527" s="1030"/>
      <c r="N527" s="1030"/>
      <c r="O527" s="1030"/>
      <c r="P527" s="1030"/>
      <c r="Q527" s="1030"/>
      <c r="R527" s="1030"/>
      <c r="S527" s="1031"/>
      <c r="T527" s="952"/>
      <c r="U527" s="941"/>
      <c r="V527" s="941"/>
      <c r="W527" s="941"/>
    </row>
    <row r="528" spans="10:23" s="1011" customFormat="1" x14ac:dyDescent="0.2">
      <c r="J528" s="1030"/>
      <c r="K528" s="1030"/>
      <c r="L528" s="1030"/>
      <c r="M528" s="1030"/>
      <c r="N528" s="1030"/>
      <c r="O528" s="1030"/>
      <c r="P528" s="1030"/>
      <c r="Q528" s="1030"/>
      <c r="R528" s="1030"/>
      <c r="S528" s="1031"/>
      <c r="T528" s="952"/>
      <c r="U528" s="941"/>
      <c r="V528" s="941"/>
      <c r="W528" s="941"/>
    </row>
    <row r="529" spans="10:23" s="1011" customFormat="1" x14ac:dyDescent="0.2">
      <c r="J529" s="1030"/>
      <c r="K529" s="1030"/>
      <c r="L529" s="1030"/>
      <c r="M529" s="1030"/>
      <c r="N529" s="1030"/>
      <c r="O529" s="1030"/>
      <c r="P529" s="1030"/>
      <c r="Q529" s="1030"/>
      <c r="R529" s="1030"/>
      <c r="S529" s="1031"/>
      <c r="T529" s="952"/>
      <c r="U529" s="941"/>
      <c r="V529" s="941"/>
      <c r="W529" s="941"/>
    </row>
    <row r="530" spans="10:23" s="1011" customFormat="1" x14ac:dyDescent="0.2">
      <c r="J530" s="1030"/>
      <c r="K530" s="1030"/>
      <c r="L530" s="1030"/>
      <c r="M530" s="1030"/>
      <c r="N530" s="1030"/>
      <c r="O530" s="1030"/>
      <c r="P530" s="1030"/>
      <c r="Q530" s="1030"/>
      <c r="R530" s="1030"/>
      <c r="S530" s="1031"/>
      <c r="T530" s="952"/>
      <c r="U530" s="941"/>
      <c r="V530" s="941"/>
      <c r="W530" s="941"/>
    </row>
    <row r="531" spans="10:23" s="1011" customFormat="1" x14ac:dyDescent="0.2">
      <c r="J531" s="1030"/>
      <c r="K531" s="1030"/>
      <c r="L531" s="1030"/>
      <c r="M531" s="1030"/>
      <c r="N531" s="1030"/>
      <c r="O531" s="1030"/>
      <c r="P531" s="1030"/>
      <c r="Q531" s="1030"/>
      <c r="R531" s="1030"/>
      <c r="S531" s="1031"/>
      <c r="T531" s="952"/>
      <c r="U531" s="941"/>
      <c r="V531" s="941"/>
      <c r="W531" s="941"/>
    </row>
    <row r="532" spans="10:23" s="1011" customFormat="1" x14ac:dyDescent="0.2">
      <c r="J532" s="1030"/>
      <c r="K532" s="1030"/>
      <c r="L532" s="1030"/>
      <c r="M532" s="1030"/>
      <c r="N532" s="1030"/>
      <c r="O532" s="1030"/>
      <c r="P532" s="1030"/>
      <c r="Q532" s="1030"/>
      <c r="R532" s="1030"/>
      <c r="S532" s="1031"/>
      <c r="T532" s="952"/>
      <c r="U532" s="941"/>
      <c r="V532" s="941"/>
      <c r="W532" s="941"/>
    </row>
    <row r="533" spans="10:23" s="1011" customFormat="1" x14ac:dyDescent="0.2">
      <c r="J533" s="1030"/>
      <c r="K533" s="1030"/>
      <c r="L533" s="1030"/>
      <c r="M533" s="1030"/>
      <c r="N533" s="1030"/>
      <c r="O533" s="1030"/>
      <c r="P533" s="1030"/>
      <c r="Q533" s="1030"/>
      <c r="R533" s="1030"/>
      <c r="S533" s="1031"/>
      <c r="T533" s="952"/>
      <c r="U533" s="941"/>
      <c r="V533" s="941"/>
      <c r="W533" s="941"/>
    </row>
    <row r="534" spans="10:23" s="1011" customFormat="1" x14ac:dyDescent="0.2">
      <c r="J534" s="1030"/>
      <c r="K534" s="1030"/>
      <c r="L534" s="1030"/>
      <c r="M534" s="1030"/>
      <c r="N534" s="1030"/>
      <c r="O534" s="1030"/>
      <c r="P534" s="1030"/>
      <c r="Q534" s="1030"/>
      <c r="R534" s="1030"/>
      <c r="S534" s="1031"/>
      <c r="T534" s="952"/>
      <c r="U534" s="941"/>
      <c r="V534" s="941"/>
      <c r="W534" s="941"/>
    </row>
    <row r="535" spans="10:23" s="1011" customFormat="1" x14ac:dyDescent="0.2">
      <c r="J535" s="1030"/>
      <c r="K535" s="1030"/>
      <c r="L535" s="1030"/>
      <c r="M535" s="1030"/>
      <c r="N535" s="1030"/>
      <c r="O535" s="1030"/>
      <c r="P535" s="1030"/>
      <c r="Q535" s="1030"/>
      <c r="R535" s="1030"/>
      <c r="S535" s="1031"/>
      <c r="T535" s="952"/>
      <c r="U535" s="941"/>
      <c r="V535" s="941"/>
      <c r="W535" s="941"/>
    </row>
    <row r="536" spans="10:23" s="1011" customFormat="1" x14ac:dyDescent="0.2">
      <c r="J536" s="1030"/>
      <c r="K536" s="1030"/>
      <c r="L536" s="1030"/>
      <c r="M536" s="1030"/>
      <c r="N536" s="1030"/>
      <c r="O536" s="1030"/>
      <c r="P536" s="1030"/>
      <c r="Q536" s="1030"/>
      <c r="R536" s="1030"/>
      <c r="S536" s="1031"/>
      <c r="T536" s="952"/>
      <c r="U536" s="941"/>
      <c r="V536" s="941"/>
      <c r="W536" s="941"/>
    </row>
    <row r="537" spans="10:23" s="1011" customFormat="1" x14ac:dyDescent="0.2">
      <c r="J537" s="1030"/>
      <c r="K537" s="1030"/>
      <c r="L537" s="1030"/>
      <c r="M537" s="1030"/>
      <c r="N537" s="1030"/>
      <c r="O537" s="1030"/>
      <c r="P537" s="1030"/>
      <c r="Q537" s="1030"/>
      <c r="R537" s="1030"/>
      <c r="S537" s="1031"/>
      <c r="T537" s="952"/>
      <c r="U537" s="941"/>
      <c r="V537" s="941"/>
      <c r="W537" s="941"/>
    </row>
    <row r="538" spans="10:23" s="1011" customFormat="1" x14ac:dyDescent="0.2">
      <c r="J538" s="1030"/>
      <c r="K538" s="1030"/>
      <c r="L538" s="1030"/>
      <c r="M538" s="1030"/>
      <c r="N538" s="1030"/>
      <c r="O538" s="1030"/>
      <c r="P538" s="1030"/>
      <c r="Q538" s="1030"/>
      <c r="R538" s="1030"/>
      <c r="S538" s="1031"/>
      <c r="T538" s="952"/>
      <c r="U538" s="941"/>
      <c r="V538" s="941"/>
      <c r="W538" s="941"/>
    </row>
    <row r="539" spans="10:23" s="1011" customFormat="1" x14ac:dyDescent="0.2">
      <c r="J539" s="1030"/>
      <c r="K539" s="1030"/>
      <c r="L539" s="1030"/>
      <c r="M539" s="1030"/>
      <c r="N539" s="1030"/>
      <c r="O539" s="1030"/>
      <c r="P539" s="1030"/>
      <c r="Q539" s="1030"/>
      <c r="R539" s="1030"/>
      <c r="S539" s="1031"/>
      <c r="T539" s="952"/>
      <c r="U539" s="941"/>
      <c r="V539" s="941"/>
      <c r="W539" s="941"/>
    </row>
    <row r="540" spans="10:23" s="1011" customFormat="1" x14ac:dyDescent="0.2">
      <c r="J540" s="1030"/>
      <c r="K540" s="1030"/>
      <c r="L540" s="1030"/>
      <c r="M540" s="1030"/>
      <c r="N540" s="1030"/>
      <c r="O540" s="1030"/>
      <c r="P540" s="1030"/>
      <c r="Q540" s="1030"/>
      <c r="R540" s="1030"/>
      <c r="S540" s="1031"/>
      <c r="T540" s="952"/>
      <c r="U540" s="941"/>
      <c r="V540" s="941"/>
      <c r="W540" s="941"/>
    </row>
    <row r="541" spans="10:23" s="1011" customFormat="1" x14ac:dyDescent="0.2">
      <c r="J541" s="1030"/>
      <c r="K541" s="1030"/>
      <c r="L541" s="1030"/>
      <c r="M541" s="1030"/>
      <c r="N541" s="1030"/>
      <c r="O541" s="1030"/>
      <c r="P541" s="1030"/>
      <c r="Q541" s="1030"/>
      <c r="R541" s="1030"/>
      <c r="S541" s="1031"/>
      <c r="T541" s="952"/>
      <c r="U541" s="941"/>
      <c r="V541" s="941"/>
      <c r="W541" s="941"/>
    </row>
    <row r="542" spans="10:23" s="1011" customFormat="1" x14ac:dyDescent="0.2">
      <c r="J542" s="1030"/>
      <c r="K542" s="1030"/>
      <c r="L542" s="1030"/>
      <c r="M542" s="1030"/>
      <c r="N542" s="1030"/>
      <c r="O542" s="1030"/>
      <c r="P542" s="1030"/>
      <c r="Q542" s="1030"/>
      <c r="R542" s="1030"/>
      <c r="S542" s="1031"/>
      <c r="T542" s="952"/>
      <c r="U542" s="941"/>
      <c r="V542" s="941"/>
      <c r="W542" s="941"/>
    </row>
    <row r="543" spans="10:23" s="1011" customFormat="1" x14ac:dyDescent="0.2">
      <c r="J543" s="1030"/>
      <c r="K543" s="1030"/>
      <c r="L543" s="1030"/>
      <c r="M543" s="1030"/>
      <c r="N543" s="1030"/>
      <c r="O543" s="1030"/>
      <c r="P543" s="1030"/>
      <c r="Q543" s="1030"/>
      <c r="R543" s="1030"/>
      <c r="S543" s="1031"/>
      <c r="T543" s="952"/>
      <c r="U543" s="941"/>
      <c r="V543" s="941"/>
      <c r="W543" s="941"/>
    </row>
    <row r="544" spans="10:23" s="1011" customFormat="1" x14ac:dyDescent="0.2">
      <c r="J544" s="1030"/>
      <c r="K544" s="1030"/>
      <c r="L544" s="1030"/>
      <c r="M544" s="1030"/>
      <c r="N544" s="1030"/>
      <c r="O544" s="1030"/>
      <c r="P544" s="1030"/>
      <c r="Q544" s="1030"/>
      <c r="R544" s="1030"/>
      <c r="S544" s="1031"/>
      <c r="T544" s="952"/>
      <c r="U544" s="941"/>
      <c r="V544" s="941"/>
      <c r="W544" s="941"/>
    </row>
    <row r="545" spans="10:23" s="1011" customFormat="1" x14ac:dyDescent="0.2">
      <c r="J545" s="1030"/>
      <c r="K545" s="1030"/>
      <c r="L545" s="1030"/>
      <c r="M545" s="1030"/>
      <c r="N545" s="1030"/>
      <c r="O545" s="1030"/>
      <c r="P545" s="1030"/>
      <c r="Q545" s="1030"/>
      <c r="R545" s="1030"/>
      <c r="S545" s="1031"/>
      <c r="T545" s="952"/>
      <c r="U545" s="941"/>
      <c r="V545" s="941"/>
      <c r="W545" s="941"/>
    </row>
    <row r="546" spans="10:23" s="1011" customFormat="1" x14ac:dyDescent="0.2">
      <c r="J546" s="1030"/>
      <c r="K546" s="1030"/>
      <c r="L546" s="1030"/>
      <c r="M546" s="1030"/>
      <c r="N546" s="1030"/>
      <c r="O546" s="1030"/>
      <c r="P546" s="1030"/>
      <c r="Q546" s="1030"/>
      <c r="R546" s="1030"/>
      <c r="S546" s="1031"/>
      <c r="T546" s="952"/>
      <c r="U546" s="941"/>
      <c r="V546" s="941"/>
      <c r="W546" s="941"/>
    </row>
    <row r="547" spans="10:23" s="1011" customFormat="1" x14ac:dyDescent="0.2">
      <c r="J547" s="1030"/>
      <c r="K547" s="1030"/>
      <c r="L547" s="1030"/>
      <c r="M547" s="1030"/>
      <c r="N547" s="1030"/>
      <c r="O547" s="1030"/>
      <c r="P547" s="1030"/>
      <c r="Q547" s="1030"/>
      <c r="R547" s="1030"/>
      <c r="S547" s="1031"/>
      <c r="T547" s="952"/>
      <c r="U547" s="941"/>
      <c r="V547" s="941"/>
      <c r="W547" s="941"/>
    </row>
    <row r="548" spans="10:23" s="1011" customFormat="1" x14ac:dyDescent="0.2">
      <c r="J548" s="1030"/>
      <c r="K548" s="1030"/>
      <c r="L548" s="1030"/>
      <c r="M548" s="1030"/>
      <c r="N548" s="1030"/>
      <c r="O548" s="1030"/>
      <c r="P548" s="1030"/>
      <c r="Q548" s="1030"/>
      <c r="R548" s="1030"/>
      <c r="S548" s="1031"/>
      <c r="T548" s="952"/>
      <c r="U548" s="941"/>
      <c r="V548" s="941"/>
      <c r="W548" s="941"/>
    </row>
    <row r="549" spans="10:23" s="1011" customFormat="1" x14ac:dyDescent="0.2">
      <c r="J549" s="1030"/>
      <c r="K549" s="1030"/>
      <c r="L549" s="1030"/>
      <c r="M549" s="1030"/>
      <c r="N549" s="1030"/>
      <c r="O549" s="1030"/>
      <c r="P549" s="1030"/>
      <c r="Q549" s="1030"/>
      <c r="R549" s="1030"/>
      <c r="S549" s="1031"/>
      <c r="T549" s="952"/>
      <c r="U549" s="941"/>
      <c r="V549" s="941"/>
      <c r="W549" s="941"/>
    </row>
    <row r="550" spans="10:23" s="1011" customFormat="1" x14ac:dyDescent="0.2">
      <c r="J550" s="1030"/>
      <c r="K550" s="1030"/>
      <c r="L550" s="1030"/>
      <c r="M550" s="1030"/>
      <c r="N550" s="1030"/>
      <c r="O550" s="1030"/>
      <c r="P550" s="1030"/>
      <c r="Q550" s="1030"/>
      <c r="R550" s="1030"/>
      <c r="S550" s="1031"/>
      <c r="T550" s="952"/>
      <c r="U550" s="941"/>
      <c r="V550" s="941"/>
      <c r="W550" s="941"/>
    </row>
    <row r="551" spans="10:23" s="1011" customFormat="1" x14ac:dyDescent="0.2">
      <c r="J551" s="1030"/>
      <c r="K551" s="1030"/>
      <c r="L551" s="1030"/>
      <c r="M551" s="1030"/>
      <c r="N551" s="1030"/>
      <c r="O551" s="1030"/>
      <c r="P551" s="1030"/>
      <c r="Q551" s="1030"/>
      <c r="R551" s="1030"/>
      <c r="S551" s="1031"/>
      <c r="T551" s="952"/>
      <c r="U551" s="941"/>
      <c r="V551" s="941"/>
      <c r="W551" s="941"/>
    </row>
    <row r="552" spans="10:23" s="1011" customFormat="1" x14ac:dyDescent="0.2">
      <c r="J552" s="1030"/>
      <c r="K552" s="1030"/>
      <c r="L552" s="1030"/>
      <c r="M552" s="1030"/>
      <c r="N552" s="1030"/>
      <c r="O552" s="1030"/>
      <c r="P552" s="1030"/>
      <c r="Q552" s="1030"/>
      <c r="R552" s="1030"/>
      <c r="S552" s="1031"/>
      <c r="T552" s="952"/>
      <c r="U552" s="941"/>
      <c r="V552" s="941"/>
      <c r="W552" s="941"/>
    </row>
    <row r="553" spans="10:23" s="1011" customFormat="1" x14ac:dyDescent="0.2">
      <c r="J553" s="1030"/>
      <c r="K553" s="1030"/>
      <c r="L553" s="1030"/>
      <c r="M553" s="1030"/>
      <c r="N553" s="1030"/>
      <c r="O553" s="1030"/>
      <c r="P553" s="1030"/>
      <c r="Q553" s="1030"/>
      <c r="R553" s="1030"/>
      <c r="S553" s="1031"/>
      <c r="T553" s="952"/>
      <c r="U553" s="941"/>
      <c r="V553" s="941"/>
      <c r="W553" s="941"/>
    </row>
    <row r="554" spans="10:23" s="1011" customFormat="1" x14ac:dyDescent="0.2">
      <c r="J554" s="1030"/>
      <c r="K554" s="1030"/>
      <c r="L554" s="1030"/>
      <c r="M554" s="1030"/>
      <c r="N554" s="1030"/>
      <c r="O554" s="1030"/>
      <c r="P554" s="1030"/>
      <c r="Q554" s="1030"/>
      <c r="R554" s="1030"/>
      <c r="S554" s="1031"/>
      <c r="T554" s="952"/>
      <c r="U554" s="941"/>
      <c r="V554" s="941"/>
      <c r="W554" s="941"/>
    </row>
    <row r="555" spans="10:23" s="1011" customFormat="1" x14ac:dyDescent="0.2">
      <c r="J555" s="1030"/>
      <c r="K555" s="1030"/>
      <c r="L555" s="1030"/>
      <c r="M555" s="1030"/>
      <c r="N555" s="1030"/>
      <c r="O555" s="1030"/>
      <c r="P555" s="1030"/>
      <c r="Q555" s="1030"/>
      <c r="R555" s="1030"/>
      <c r="S555" s="1031"/>
      <c r="T555" s="952"/>
      <c r="U555" s="941"/>
      <c r="V555" s="941"/>
      <c r="W555" s="941"/>
    </row>
    <row r="556" spans="10:23" s="1011" customFormat="1" x14ac:dyDescent="0.2">
      <c r="J556" s="1030"/>
      <c r="K556" s="1030"/>
      <c r="L556" s="1030"/>
      <c r="M556" s="1030"/>
      <c r="N556" s="1030"/>
      <c r="O556" s="1030"/>
      <c r="P556" s="1030"/>
      <c r="Q556" s="1030"/>
      <c r="R556" s="1030"/>
      <c r="S556" s="1031"/>
      <c r="T556" s="952"/>
      <c r="U556" s="941"/>
      <c r="V556" s="941"/>
      <c r="W556" s="941"/>
    </row>
    <row r="557" spans="10:23" s="1011" customFormat="1" x14ac:dyDescent="0.2">
      <c r="J557" s="1030"/>
      <c r="K557" s="1030"/>
      <c r="L557" s="1030"/>
      <c r="M557" s="1030"/>
      <c r="N557" s="1030"/>
      <c r="O557" s="1030"/>
      <c r="P557" s="1030"/>
      <c r="Q557" s="1030"/>
      <c r="R557" s="1030"/>
      <c r="S557" s="1031"/>
      <c r="T557" s="952"/>
      <c r="U557" s="941"/>
      <c r="V557" s="941"/>
      <c r="W557" s="941"/>
    </row>
    <row r="558" spans="10:23" s="1011" customFormat="1" x14ac:dyDescent="0.2">
      <c r="J558" s="1030"/>
      <c r="K558" s="1030"/>
      <c r="L558" s="1030"/>
      <c r="M558" s="1030"/>
      <c r="N558" s="1030"/>
      <c r="O558" s="1030"/>
      <c r="P558" s="1030"/>
      <c r="Q558" s="1030"/>
      <c r="R558" s="1030"/>
      <c r="S558" s="1031"/>
      <c r="T558" s="952"/>
      <c r="U558" s="941"/>
      <c r="V558" s="941"/>
      <c r="W558" s="941"/>
    </row>
    <row r="559" spans="10:23" s="1011" customFormat="1" x14ac:dyDescent="0.2">
      <c r="J559" s="1030"/>
      <c r="K559" s="1030"/>
      <c r="L559" s="1030"/>
      <c r="M559" s="1030"/>
      <c r="N559" s="1030"/>
      <c r="O559" s="1030"/>
      <c r="P559" s="1030"/>
      <c r="Q559" s="1030"/>
      <c r="R559" s="1030"/>
      <c r="S559" s="1031"/>
      <c r="T559" s="952"/>
      <c r="U559" s="941"/>
      <c r="V559" s="941"/>
      <c r="W559" s="941"/>
    </row>
    <row r="560" spans="10:23" s="1011" customFormat="1" x14ac:dyDescent="0.2">
      <c r="J560" s="1030"/>
      <c r="K560" s="1030"/>
      <c r="L560" s="1030"/>
      <c r="M560" s="1030"/>
      <c r="N560" s="1030"/>
      <c r="O560" s="1030"/>
      <c r="P560" s="1030"/>
      <c r="Q560" s="1030"/>
      <c r="R560" s="1030"/>
      <c r="S560" s="1031"/>
      <c r="T560" s="952"/>
      <c r="U560" s="941"/>
      <c r="V560" s="941"/>
      <c r="W560" s="941"/>
    </row>
    <row r="561" spans="10:23" s="1011" customFormat="1" x14ac:dyDescent="0.2">
      <c r="J561" s="1030"/>
      <c r="K561" s="1030"/>
      <c r="L561" s="1030"/>
      <c r="M561" s="1030"/>
      <c r="N561" s="1030"/>
      <c r="O561" s="1030"/>
      <c r="P561" s="1030"/>
      <c r="Q561" s="1030"/>
      <c r="R561" s="1030"/>
      <c r="S561" s="1031"/>
      <c r="T561" s="952"/>
      <c r="U561" s="941"/>
      <c r="V561" s="941"/>
      <c r="W561" s="941"/>
    </row>
    <row r="562" spans="10:23" s="1011" customFormat="1" x14ac:dyDescent="0.2">
      <c r="J562" s="1030"/>
      <c r="K562" s="1030"/>
      <c r="L562" s="1030"/>
      <c r="M562" s="1030"/>
      <c r="N562" s="1030"/>
      <c r="O562" s="1030"/>
      <c r="P562" s="1030"/>
      <c r="Q562" s="1030"/>
      <c r="R562" s="1030"/>
      <c r="S562" s="1031"/>
      <c r="T562" s="952"/>
      <c r="U562" s="941"/>
      <c r="V562" s="941"/>
      <c r="W562" s="941"/>
    </row>
    <row r="563" spans="10:23" s="1011" customFormat="1" x14ac:dyDescent="0.2">
      <c r="J563" s="1030"/>
      <c r="K563" s="1030"/>
      <c r="L563" s="1030"/>
      <c r="M563" s="1030"/>
      <c r="N563" s="1030"/>
      <c r="O563" s="1030"/>
      <c r="P563" s="1030"/>
      <c r="Q563" s="1030"/>
      <c r="R563" s="1030"/>
      <c r="S563" s="1031"/>
      <c r="T563" s="952"/>
      <c r="U563" s="941"/>
      <c r="V563" s="941"/>
      <c r="W563" s="941"/>
    </row>
    <row r="564" spans="10:23" s="1011" customFormat="1" x14ac:dyDescent="0.2">
      <c r="J564" s="1030"/>
      <c r="K564" s="1030"/>
      <c r="L564" s="1030"/>
      <c r="M564" s="1030"/>
      <c r="N564" s="1030"/>
      <c r="O564" s="1030"/>
      <c r="P564" s="1030"/>
      <c r="Q564" s="1030"/>
      <c r="R564" s="1030"/>
      <c r="S564" s="1031"/>
      <c r="T564" s="952"/>
      <c r="U564" s="941"/>
      <c r="V564" s="941"/>
      <c r="W564" s="941"/>
    </row>
    <row r="565" spans="10:23" s="1011" customFormat="1" x14ac:dyDescent="0.2">
      <c r="J565" s="1030"/>
      <c r="K565" s="1030"/>
      <c r="L565" s="1030"/>
      <c r="M565" s="1030"/>
      <c r="N565" s="1030"/>
      <c r="O565" s="1030"/>
      <c r="P565" s="1030"/>
      <c r="Q565" s="1030"/>
      <c r="R565" s="1030"/>
      <c r="S565" s="1031"/>
      <c r="T565" s="952"/>
      <c r="U565" s="941"/>
      <c r="V565" s="941"/>
      <c r="W565" s="941"/>
    </row>
    <row r="566" spans="10:23" s="1011" customFormat="1" x14ac:dyDescent="0.2">
      <c r="J566" s="1030"/>
      <c r="K566" s="1030"/>
      <c r="L566" s="1030"/>
      <c r="M566" s="1030"/>
      <c r="N566" s="1030"/>
      <c r="O566" s="1030"/>
      <c r="P566" s="1030"/>
      <c r="Q566" s="1030"/>
      <c r="R566" s="1030"/>
      <c r="S566" s="1031"/>
      <c r="T566" s="952"/>
      <c r="U566" s="941"/>
      <c r="V566" s="941"/>
      <c r="W566" s="941"/>
    </row>
    <row r="567" spans="10:23" s="1011" customFormat="1" x14ac:dyDescent="0.2">
      <c r="J567" s="1030"/>
      <c r="K567" s="1030"/>
      <c r="L567" s="1030"/>
      <c r="M567" s="1030"/>
      <c r="N567" s="1030"/>
      <c r="O567" s="1030"/>
      <c r="P567" s="1030"/>
      <c r="Q567" s="1030"/>
      <c r="R567" s="1030"/>
      <c r="S567" s="1031"/>
      <c r="T567" s="952"/>
      <c r="U567" s="941"/>
      <c r="V567" s="941"/>
      <c r="W567" s="941"/>
    </row>
    <row r="568" spans="10:23" s="1011" customFormat="1" x14ac:dyDescent="0.2">
      <c r="J568" s="1030"/>
      <c r="K568" s="1030"/>
      <c r="L568" s="1030"/>
      <c r="M568" s="1030"/>
      <c r="N568" s="1030"/>
      <c r="O568" s="1030"/>
      <c r="P568" s="1030"/>
      <c r="Q568" s="1030"/>
      <c r="R568" s="1030"/>
      <c r="S568" s="1031"/>
      <c r="T568" s="952"/>
      <c r="U568" s="941"/>
      <c r="V568" s="941"/>
      <c r="W568" s="941"/>
    </row>
    <row r="569" spans="10:23" s="1011" customFormat="1" x14ac:dyDescent="0.2">
      <c r="J569" s="1030"/>
      <c r="K569" s="1030"/>
      <c r="L569" s="1030"/>
      <c r="M569" s="1030"/>
      <c r="N569" s="1030"/>
      <c r="O569" s="1030"/>
      <c r="P569" s="1030"/>
      <c r="Q569" s="1030"/>
      <c r="R569" s="1030"/>
      <c r="S569" s="1031"/>
      <c r="T569" s="952"/>
      <c r="U569" s="941"/>
      <c r="V569" s="941"/>
      <c r="W569" s="941"/>
    </row>
    <row r="570" spans="10:23" s="1011" customFormat="1" x14ac:dyDescent="0.2">
      <c r="J570" s="1030"/>
      <c r="K570" s="1030"/>
      <c r="L570" s="1030"/>
      <c r="M570" s="1030"/>
      <c r="N570" s="1030"/>
      <c r="O570" s="1030"/>
      <c r="P570" s="1030"/>
      <c r="Q570" s="1030"/>
      <c r="R570" s="1030"/>
      <c r="S570" s="1031"/>
      <c r="T570" s="952"/>
      <c r="U570" s="941"/>
      <c r="V570" s="941"/>
      <c r="W570" s="941"/>
    </row>
    <row r="571" spans="10:23" s="1011" customFormat="1" x14ac:dyDescent="0.2">
      <c r="J571" s="1030"/>
      <c r="K571" s="1030"/>
      <c r="L571" s="1030"/>
      <c r="M571" s="1030"/>
      <c r="N571" s="1030"/>
      <c r="O571" s="1030"/>
      <c r="P571" s="1030"/>
      <c r="Q571" s="1030"/>
      <c r="R571" s="1030"/>
      <c r="S571" s="1031"/>
      <c r="T571" s="952"/>
      <c r="U571" s="941"/>
      <c r="V571" s="941"/>
      <c r="W571" s="941"/>
    </row>
    <row r="572" spans="10:23" s="1011" customFormat="1" x14ac:dyDescent="0.2">
      <c r="J572" s="1030"/>
      <c r="K572" s="1030"/>
      <c r="L572" s="1030"/>
      <c r="M572" s="1030"/>
      <c r="N572" s="1030"/>
      <c r="O572" s="1030"/>
      <c r="P572" s="1030"/>
      <c r="Q572" s="1030"/>
      <c r="R572" s="1030"/>
      <c r="S572" s="1031"/>
      <c r="T572" s="952"/>
      <c r="U572" s="941"/>
      <c r="V572" s="941"/>
      <c r="W572" s="941"/>
    </row>
    <row r="573" spans="10:23" s="1011" customFormat="1" x14ac:dyDescent="0.2">
      <c r="J573" s="1030"/>
      <c r="K573" s="1030"/>
      <c r="L573" s="1030"/>
      <c r="M573" s="1030"/>
      <c r="N573" s="1030"/>
      <c r="O573" s="1030"/>
      <c r="P573" s="1030"/>
      <c r="Q573" s="1030"/>
      <c r="R573" s="1030"/>
      <c r="S573" s="1031"/>
      <c r="T573" s="952"/>
      <c r="U573" s="941"/>
      <c r="V573" s="941"/>
      <c r="W573" s="941"/>
    </row>
    <row r="574" spans="10:23" s="1011" customFormat="1" x14ac:dyDescent="0.2">
      <c r="J574" s="1030"/>
      <c r="K574" s="1030"/>
      <c r="L574" s="1030"/>
      <c r="M574" s="1030"/>
      <c r="N574" s="1030"/>
      <c r="O574" s="1030"/>
      <c r="P574" s="1030"/>
      <c r="Q574" s="1030"/>
      <c r="R574" s="1030"/>
      <c r="S574" s="1031"/>
      <c r="T574" s="952"/>
      <c r="U574" s="941"/>
      <c r="V574" s="941"/>
      <c r="W574" s="941"/>
    </row>
    <row r="575" spans="10:23" s="1011" customFormat="1" x14ac:dyDescent="0.2">
      <c r="J575" s="1030"/>
      <c r="K575" s="1030"/>
      <c r="L575" s="1030"/>
      <c r="M575" s="1030"/>
      <c r="N575" s="1030"/>
      <c r="O575" s="1030"/>
      <c r="P575" s="1030"/>
      <c r="Q575" s="1030"/>
      <c r="R575" s="1030"/>
      <c r="S575" s="1031"/>
      <c r="T575" s="952"/>
      <c r="U575" s="941"/>
      <c r="V575" s="941"/>
      <c r="W575" s="941"/>
    </row>
    <row r="576" spans="10:23" s="1011" customFormat="1" x14ac:dyDescent="0.2">
      <c r="J576" s="1030"/>
      <c r="K576" s="1030"/>
      <c r="L576" s="1030"/>
      <c r="M576" s="1030"/>
      <c r="N576" s="1030"/>
      <c r="O576" s="1030"/>
      <c r="P576" s="1030"/>
      <c r="Q576" s="1030"/>
      <c r="R576" s="1030"/>
      <c r="S576" s="1031"/>
      <c r="T576" s="952"/>
      <c r="U576" s="941"/>
      <c r="V576" s="941"/>
      <c r="W576" s="941"/>
    </row>
    <row r="577" spans="10:23" s="1011" customFormat="1" x14ac:dyDescent="0.2">
      <c r="J577" s="1030"/>
      <c r="K577" s="1030"/>
      <c r="L577" s="1030"/>
      <c r="M577" s="1030"/>
      <c r="N577" s="1030"/>
      <c r="O577" s="1030"/>
      <c r="P577" s="1030"/>
      <c r="Q577" s="1030"/>
      <c r="R577" s="1030"/>
      <c r="S577" s="1031"/>
      <c r="T577" s="952"/>
      <c r="U577" s="941"/>
      <c r="V577" s="941"/>
      <c r="W577" s="941"/>
    </row>
    <row r="578" spans="10:23" s="1011" customFormat="1" x14ac:dyDescent="0.2">
      <c r="J578" s="1030"/>
      <c r="K578" s="1030"/>
      <c r="L578" s="1030"/>
      <c r="M578" s="1030"/>
      <c r="N578" s="1030"/>
      <c r="O578" s="1030"/>
      <c r="P578" s="1030"/>
      <c r="Q578" s="1030"/>
      <c r="R578" s="1030"/>
      <c r="S578" s="1031"/>
      <c r="T578" s="952"/>
      <c r="U578" s="941"/>
      <c r="V578" s="941"/>
      <c r="W578" s="941"/>
    </row>
    <row r="579" spans="10:23" s="1011" customFormat="1" x14ac:dyDescent="0.2">
      <c r="J579" s="1030"/>
      <c r="K579" s="1030"/>
      <c r="L579" s="1030"/>
      <c r="M579" s="1030"/>
      <c r="N579" s="1030"/>
      <c r="O579" s="1030"/>
      <c r="P579" s="1030"/>
      <c r="Q579" s="1030"/>
      <c r="R579" s="1030"/>
      <c r="S579" s="1031"/>
      <c r="T579" s="952"/>
      <c r="U579" s="941"/>
      <c r="V579" s="941"/>
      <c r="W579" s="941"/>
    </row>
    <row r="580" spans="10:23" s="1011" customFormat="1" x14ac:dyDescent="0.2">
      <c r="J580" s="1030"/>
      <c r="K580" s="1030"/>
      <c r="L580" s="1030"/>
      <c r="M580" s="1030"/>
      <c r="N580" s="1030"/>
      <c r="O580" s="1030"/>
      <c r="P580" s="1030"/>
      <c r="Q580" s="1030"/>
      <c r="R580" s="1030"/>
      <c r="S580" s="1031"/>
      <c r="T580" s="952"/>
      <c r="U580" s="941"/>
      <c r="V580" s="941"/>
      <c r="W580" s="941"/>
    </row>
    <row r="581" spans="10:23" s="1011" customFormat="1" x14ac:dyDescent="0.2">
      <c r="J581" s="1030"/>
      <c r="K581" s="1030"/>
      <c r="L581" s="1030"/>
      <c r="M581" s="1030"/>
      <c r="N581" s="1030"/>
      <c r="O581" s="1030"/>
      <c r="P581" s="1030"/>
      <c r="Q581" s="1030"/>
      <c r="R581" s="1030"/>
      <c r="S581" s="1031"/>
      <c r="T581" s="952"/>
      <c r="U581" s="941"/>
      <c r="V581" s="941"/>
      <c r="W581" s="941"/>
    </row>
    <row r="582" spans="10:23" s="1011" customFormat="1" x14ac:dyDescent="0.2">
      <c r="J582" s="1030"/>
      <c r="K582" s="1030"/>
      <c r="L582" s="1030"/>
      <c r="M582" s="1030"/>
      <c r="N582" s="1030"/>
      <c r="O582" s="1030"/>
      <c r="P582" s="1030"/>
      <c r="Q582" s="1030"/>
      <c r="R582" s="1030"/>
      <c r="S582" s="1031"/>
      <c r="T582" s="952"/>
      <c r="U582" s="941"/>
      <c r="V582" s="941"/>
      <c r="W582" s="941"/>
    </row>
    <row r="583" spans="10:23" s="1011" customFormat="1" x14ac:dyDescent="0.2">
      <c r="J583" s="1030"/>
      <c r="K583" s="1030"/>
      <c r="L583" s="1030"/>
      <c r="M583" s="1030"/>
      <c r="N583" s="1030"/>
      <c r="O583" s="1030"/>
      <c r="P583" s="1030"/>
      <c r="Q583" s="1030"/>
      <c r="R583" s="1030"/>
      <c r="S583" s="1031"/>
      <c r="T583" s="952"/>
      <c r="U583" s="941"/>
      <c r="V583" s="941"/>
      <c r="W583" s="941"/>
    </row>
    <row r="584" spans="10:23" s="1011" customFormat="1" x14ac:dyDescent="0.2">
      <c r="J584" s="1030"/>
      <c r="K584" s="1030"/>
      <c r="L584" s="1030"/>
      <c r="M584" s="1030"/>
      <c r="N584" s="1030"/>
      <c r="O584" s="1030"/>
      <c r="P584" s="1030"/>
      <c r="Q584" s="1030"/>
      <c r="R584" s="1030"/>
      <c r="S584" s="1031"/>
      <c r="T584" s="952"/>
      <c r="U584" s="941"/>
      <c r="V584" s="941"/>
      <c r="W584" s="941"/>
    </row>
    <row r="585" spans="10:23" s="1011" customFormat="1" x14ac:dyDescent="0.2">
      <c r="J585" s="1030"/>
      <c r="K585" s="1030"/>
      <c r="L585" s="1030"/>
      <c r="M585" s="1030"/>
      <c r="N585" s="1030"/>
      <c r="O585" s="1030"/>
      <c r="P585" s="1030"/>
      <c r="Q585" s="1030"/>
      <c r="R585" s="1030"/>
      <c r="S585" s="1031"/>
      <c r="T585" s="952"/>
      <c r="U585" s="941"/>
      <c r="V585" s="941"/>
      <c r="W585" s="941"/>
    </row>
    <row r="586" spans="10:23" s="1011" customFormat="1" x14ac:dyDescent="0.2">
      <c r="J586" s="1030"/>
      <c r="K586" s="1030"/>
      <c r="L586" s="1030"/>
      <c r="M586" s="1030"/>
      <c r="N586" s="1030"/>
      <c r="O586" s="1030"/>
      <c r="P586" s="1030"/>
      <c r="Q586" s="1030"/>
      <c r="R586" s="1030"/>
      <c r="S586" s="1031"/>
      <c r="T586" s="952"/>
      <c r="U586" s="941"/>
      <c r="V586" s="941"/>
      <c r="W586" s="941"/>
    </row>
    <row r="587" spans="10:23" s="1011" customFormat="1" x14ac:dyDescent="0.2">
      <c r="J587" s="1030"/>
      <c r="K587" s="1030"/>
      <c r="L587" s="1030"/>
      <c r="M587" s="1030"/>
      <c r="N587" s="1030"/>
      <c r="O587" s="1030"/>
      <c r="P587" s="1030"/>
      <c r="Q587" s="1030"/>
      <c r="R587" s="1030"/>
      <c r="S587" s="1031"/>
      <c r="T587" s="952"/>
      <c r="U587" s="941"/>
      <c r="V587" s="941"/>
      <c r="W587" s="941"/>
    </row>
    <row r="588" spans="10:23" s="1011" customFormat="1" x14ac:dyDescent="0.2">
      <c r="J588" s="1030"/>
      <c r="K588" s="1030"/>
      <c r="L588" s="1030"/>
      <c r="M588" s="1030"/>
      <c r="N588" s="1030"/>
      <c r="O588" s="1030"/>
      <c r="P588" s="1030"/>
      <c r="Q588" s="1030"/>
      <c r="R588" s="1030"/>
      <c r="S588" s="1031"/>
      <c r="T588" s="952"/>
      <c r="U588" s="941"/>
      <c r="V588" s="941"/>
      <c r="W588" s="941"/>
    </row>
    <row r="589" spans="10:23" s="1011" customFormat="1" x14ac:dyDescent="0.2">
      <c r="J589" s="1030"/>
      <c r="K589" s="1030"/>
      <c r="L589" s="1030"/>
      <c r="M589" s="1030"/>
      <c r="N589" s="1030"/>
      <c r="O589" s="1030"/>
      <c r="P589" s="1030"/>
      <c r="Q589" s="1030"/>
      <c r="R589" s="1030"/>
      <c r="S589" s="1031"/>
      <c r="T589" s="952"/>
      <c r="U589" s="941"/>
      <c r="V589" s="941"/>
      <c r="W589" s="941"/>
    </row>
    <row r="590" spans="10:23" s="1011" customFormat="1" x14ac:dyDescent="0.2">
      <c r="J590" s="1030"/>
      <c r="K590" s="1030"/>
      <c r="L590" s="1030"/>
      <c r="M590" s="1030"/>
      <c r="N590" s="1030"/>
      <c r="O590" s="1030"/>
      <c r="P590" s="1030"/>
      <c r="Q590" s="1030"/>
      <c r="R590" s="1030"/>
      <c r="S590" s="1031"/>
      <c r="T590" s="952"/>
      <c r="U590" s="941"/>
      <c r="V590" s="941"/>
      <c r="W590" s="941"/>
    </row>
    <row r="591" spans="10:23" s="1011" customFormat="1" x14ac:dyDescent="0.2">
      <c r="J591" s="1030"/>
      <c r="K591" s="1030"/>
      <c r="L591" s="1030"/>
      <c r="M591" s="1030"/>
      <c r="N591" s="1030"/>
      <c r="O591" s="1030"/>
      <c r="P591" s="1030"/>
      <c r="Q591" s="1030"/>
      <c r="R591" s="1030"/>
      <c r="S591" s="1031"/>
      <c r="T591" s="952"/>
      <c r="U591" s="941"/>
      <c r="V591" s="941"/>
      <c r="W591" s="941"/>
    </row>
    <row r="592" spans="10:23" s="1011" customFormat="1" x14ac:dyDescent="0.2">
      <c r="J592" s="1030"/>
      <c r="K592" s="1030"/>
      <c r="L592" s="1030"/>
      <c r="M592" s="1030"/>
      <c r="N592" s="1030"/>
      <c r="O592" s="1030"/>
      <c r="P592" s="1030"/>
      <c r="Q592" s="1030"/>
      <c r="R592" s="1030"/>
      <c r="S592" s="1031"/>
      <c r="T592" s="952"/>
      <c r="U592" s="941"/>
      <c r="V592" s="941"/>
      <c r="W592" s="941"/>
    </row>
    <row r="593" spans="10:23" s="1011" customFormat="1" x14ac:dyDescent="0.2">
      <c r="J593" s="1030"/>
      <c r="K593" s="1030"/>
      <c r="L593" s="1030"/>
      <c r="M593" s="1030"/>
      <c r="N593" s="1030"/>
      <c r="O593" s="1030"/>
      <c r="P593" s="1030"/>
      <c r="Q593" s="1030"/>
      <c r="R593" s="1030"/>
      <c r="S593" s="1031"/>
      <c r="T593" s="952"/>
      <c r="U593" s="941"/>
      <c r="V593" s="941"/>
      <c r="W593" s="941"/>
    </row>
    <row r="594" spans="10:23" s="1011" customFormat="1" x14ac:dyDescent="0.2">
      <c r="J594" s="1030"/>
      <c r="K594" s="1030"/>
      <c r="L594" s="1030"/>
      <c r="M594" s="1030"/>
      <c r="N594" s="1030"/>
      <c r="O594" s="1030"/>
      <c r="P594" s="1030"/>
      <c r="Q594" s="1030"/>
      <c r="R594" s="1030"/>
      <c r="S594" s="1031"/>
      <c r="T594" s="952"/>
      <c r="U594" s="941"/>
      <c r="V594" s="941"/>
      <c r="W594" s="941"/>
    </row>
    <row r="595" spans="10:23" s="1011" customFormat="1" x14ac:dyDescent="0.2">
      <c r="J595" s="1030"/>
      <c r="K595" s="1030"/>
      <c r="L595" s="1030"/>
      <c r="M595" s="1030"/>
      <c r="N595" s="1030"/>
      <c r="O595" s="1030"/>
      <c r="P595" s="1030"/>
      <c r="Q595" s="1030"/>
      <c r="R595" s="1030"/>
      <c r="S595" s="1031"/>
      <c r="T595" s="952"/>
      <c r="U595" s="941"/>
      <c r="V595" s="941"/>
      <c r="W595" s="941"/>
    </row>
    <row r="596" spans="10:23" s="1011" customFormat="1" x14ac:dyDescent="0.2">
      <c r="J596" s="1030"/>
      <c r="K596" s="1030"/>
      <c r="L596" s="1030"/>
      <c r="M596" s="1030"/>
      <c r="N596" s="1030"/>
      <c r="O596" s="1030"/>
      <c r="P596" s="1030"/>
      <c r="Q596" s="1030"/>
      <c r="R596" s="1030"/>
      <c r="S596" s="1031"/>
      <c r="T596" s="952"/>
      <c r="U596" s="941"/>
      <c r="V596" s="941"/>
      <c r="W596" s="941"/>
    </row>
    <row r="597" spans="10:23" s="1011" customFormat="1" x14ac:dyDescent="0.2">
      <c r="J597" s="1030"/>
      <c r="K597" s="1030"/>
      <c r="L597" s="1030"/>
      <c r="M597" s="1030"/>
      <c r="N597" s="1030"/>
      <c r="O597" s="1030"/>
      <c r="P597" s="1030"/>
      <c r="Q597" s="1030"/>
      <c r="R597" s="1030"/>
      <c r="S597" s="1031"/>
      <c r="T597" s="952"/>
      <c r="U597" s="941"/>
      <c r="V597" s="941"/>
      <c r="W597" s="941"/>
    </row>
    <row r="598" spans="10:23" s="1011" customFormat="1" x14ac:dyDescent="0.2">
      <c r="J598" s="1030"/>
      <c r="K598" s="1030"/>
      <c r="L598" s="1030"/>
      <c r="M598" s="1030"/>
      <c r="N598" s="1030"/>
      <c r="O598" s="1030"/>
      <c r="P598" s="1030"/>
      <c r="Q598" s="1030"/>
      <c r="R598" s="1030"/>
      <c r="S598" s="1031"/>
      <c r="T598" s="952"/>
      <c r="U598" s="941"/>
      <c r="V598" s="941"/>
      <c r="W598" s="941"/>
    </row>
    <row r="599" spans="10:23" s="1011" customFormat="1" x14ac:dyDescent="0.2">
      <c r="J599" s="1030"/>
      <c r="K599" s="1030"/>
      <c r="L599" s="1030"/>
      <c r="M599" s="1030"/>
      <c r="N599" s="1030"/>
      <c r="O599" s="1030"/>
      <c r="P599" s="1030"/>
      <c r="Q599" s="1030"/>
      <c r="R599" s="1030"/>
      <c r="S599" s="1031"/>
      <c r="T599" s="952"/>
      <c r="U599" s="941"/>
      <c r="V599" s="941"/>
      <c r="W599" s="941"/>
    </row>
    <row r="600" spans="10:23" s="1011" customFormat="1" x14ac:dyDescent="0.2">
      <c r="J600" s="1030"/>
      <c r="K600" s="1030"/>
      <c r="L600" s="1030"/>
      <c r="M600" s="1030"/>
      <c r="N600" s="1030"/>
      <c r="O600" s="1030"/>
      <c r="P600" s="1030"/>
      <c r="Q600" s="1030"/>
      <c r="R600" s="1030"/>
      <c r="S600" s="1031"/>
      <c r="T600" s="952"/>
      <c r="U600" s="941"/>
      <c r="V600" s="941"/>
      <c r="W600" s="941"/>
    </row>
    <row r="601" spans="10:23" s="1011" customFormat="1" x14ac:dyDescent="0.2">
      <c r="J601" s="1030"/>
      <c r="K601" s="1030"/>
      <c r="L601" s="1030"/>
      <c r="M601" s="1030"/>
      <c r="N601" s="1030"/>
      <c r="O601" s="1030"/>
      <c r="P601" s="1030"/>
      <c r="Q601" s="1030"/>
      <c r="R601" s="1030"/>
      <c r="S601" s="1031"/>
      <c r="T601" s="952"/>
      <c r="U601" s="941"/>
      <c r="V601" s="941"/>
      <c r="W601" s="941"/>
    </row>
    <row r="602" spans="10:23" s="1011" customFormat="1" x14ac:dyDescent="0.2">
      <c r="J602" s="1030"/>
      <c r="K602" s="1030"/>
      <c r="L602" s="1030"/>
      <c r="M602" s="1030"/>
      <c r="N602" s="1030"/>
      <c r="O602" s="1030"/>
      <c r="P602" s="1030"/>
      <c r="Q602" s="1030"/>
      <c r="R602" s="1030"/>
      <c r="S602" s="1031"/>
      <c r="T602" s="952"/>
      <c r="U602" s="941"/>
      <c r="V602" s="941"/>
      <c r="W602" s="941"/>
    </row>
    <row r="603" spans="10:23" s="1011" customFormat="1" x14ac:dyDescent="0.2">
      <c r="J603" s="1030"/>
      <c r="K603" s="1030"/>
      <c r="L603" s="1030"/>
      <c r="M603" s="1030"/>
      <c r="N603" s="1030"/>
      <c r="O603" s="1030"/>
      <c r="P603" s="1030"/>
      <c r="Q603" s="1030"/>
      <c r="R603" s="1030"/>
      <c r="S603" s="1031"/>
      <c r="T603" s="952"/>
      <c r="U603" s="941"/>
      <c r="V603" s="941"/>
      <c r="W603" s="941"/>
    </row>
    <row r="604" spans="10:23" s="1011" customFormat="1" x14ac:dyDescent="0.2">
      <c r="J604" s="1030"/>
      <c r="K604" s="1030"/>
      <c r="L604" s="1030"/>
      <c r="M604" s="1030"/>
      <c r="N604" s="1030"/>
      <c r="O604" s="1030"/>
      <c r="P604" s="1030"/>
      <c r="Q604" s="1030"/>
      <c r="R604" s="1030"/>
      <c r="S604" s="1031"/>
      <c r="T604" s="952"/>
      <c r="U604" s="941"/>
      <c r="V604" s="941"/>
      <c r="W604" s="941"/>
    </row>
    <row r="605" spans="10:23" s="1011" customFormat="1" x14ac:dyDescent="0.2">
      <c r="J605" s="1030"/>
      <c r="K605" s="1030"/>
      <c r="L605" s="1030"/>
      <c r="M605" s="1030"/>
      <c r="N605" s="1030"/>
      <c r="O605" s="1030"/>
      <c r="P605" s="1030"/>
      <c r="Q605" s="1030"/>
      <c r="R605" s="1030"/>
      <c r="S605" s="1031"/>
      <c r="T605" s="952"/>
      <c r="U605" s="941"/>
      <c r="V605" s="941"/>
      <c r="W605" s="941"/>
    </row>
    <row r="606" spans="10:23" s="1011" customFormat="1" x14ac:dyDescent="0.2">
      <c r="J606" s="1030"/>
      <c r="K606" s="1030"/>
      <c r="L606" s="1030"/>
      <c r="M606" s="1030"/>
      <c r="N606" s="1030"/>
      <c r="O606" s="1030"/>
      <c r="P606" s="1030"/>
      <c r="Q606" s="1030"/>
      <c r="R606" s="1030"/>
      <c r="S606" s="1031"/>
      <c r="T606" s="952"/>
      <c r="U606" s="941"/>
      <c r="V606" s="941"/>
      <c r="W606" s="941"/>
    </row>
    <row r="607" spans="10:23" s="1011" customFormat="1" x14ac:dyDescent="0.2">
      <c r="J607" s="1030"/>
      <c r="K607" s="1030"/>
      <c r="L607" s="1030"/>
      <c r="M607" s="1030"/>
      <c r="N607" s="1030"/>
      <c r="O607" s="1030"/>
      <c r="P607" s="1030"/>
      <c r="Q607" s="1030"/>
      <c r="R607" s="1030"/>
      <c r="S607" s="1031"/>
      <c r="T607" s="952"/>
      <c r="U607" s="941"/>
      <c r="V607" s="941"/>
      <c r="W607" s="941"/>
    </row>
    <row r="608" spans="10:23" s="1011" customFormat="1" x14ac:dyDescent="0.2">
      <c r="J608" s="1030"/>
      <c r="K608" s="1030"/>
      <c r="L608" s="1030"/>
      <c r="M608" s="1030"/>
      <c r="N608" s="1030"/>
      <c r="O608" s="1030"/>
      <c r="P608" s="1030"/>
      <c r="Q608" s="1030"/>
      <c r="R608" s="1030"/>
      <c r="S608" s="1031"/>
      <c r="T608" s="952"/>
      <c r="U608" s="941"/>
      <c r="V608" s="941"/>
      <c r="W608" s="941"/>
    </row>
    <row r="609" spans="10:23" s="1011" customFormat="1" x14ac:dyDescent="0.2">
      <c r="J609" s="1030"/>
      <c r="K609" s="1030"/>
      <c r="L609" s="1030"/>
      <c r="M609" s="1030"/>
      <c r="N609" s="1030"/>
      <c r="O609" s="1030"/>
      <c r="P609" s="1030"/>
      <c r="Q609" s="1030"/>
      <c r="R609" s="1030"/>
      <c r="S609" s="1031"/>
      <c r="T609" s="952"/>
      <c r="U609" s="941"/>
      <c r="V609" s="941"/>
      <c r="W609" s="941"/>
    </row>
    <row r="610" spans="10:23" s="1011" customFormat="1" x14ac:dyDescent="0.2">
      <c r="J610" s="1030"/>
      <c r="K610" s="1030"/>
      <c r="L610" s="1030"/>
      <c r="M610" s="1030"/>
      <c r="N610" s="1030"/>
      <c r="O610" s="1030"/>
      <c r="P610" s="1030"/>
      <c r="Q610" s="1030"/>
      <c r="R610" s="1030"/>
      <c r="S610" s="1031"/>
      <c r="T610" s="952"/>
      <c r="U610" s="941"/>
      <c r="V610" s="941"/>
      <c r="W610" s="941"/>
    </row>
    <row r="611" spans="10:23" s="1011" customFormat="1" x14ac:dyDescent="0.2">
      <c r="J611" s="1030"/>
      <c r="K611" s="1030"/>
      <c r="L611" s="1030"/>
      <c r="M611" s="1030"/>
      <c r="N611" s="1030"/>
      <c r="O611" s="1030"/>
      <c r="P611" s="1030"/>
      <c r="Q611" s="1030"/>
      <c r="R611" s="1030"/>
      <c r="S611" s="1031"/>
      <c r="T611" s="952"/>
      <c r="U611" s="941"/>
      <c r="V611" s="941"/>
      <c r="W611" s="941"/>
    </row>
    <row r="612" spans="10:23" s="1011" customFormat="1" x14ac:dyDescent="0.2">
      <c r="J612" s="1030"/>
      <c r="K612" s="1030"/>
      <c r="L612" s="1030"/>
      <c r="M612" s="1030"/>
      <c r="N612" s="1030"/>
      <c r="O612" s="1030"/>
      <c r="P612" s="1030"/>
      <c r="Q612" s="1030"/>
      <c r="R612" s="1030"/>
      <c r="S612" s="1031"/>
      <c r="T612" s="952"/>
      <c r="U612" s="941"/>
      <c r="V612" s="941"/>
      <c r="W612" s="941"/>
    </row>
    <row r="613" spans="10:23" s="1011" customFormat="1" x14ac:dyDescent="0.2">
      <c r="J613" s="1030"/>
      <c r="K613" s="1030"/>
      <c r="L613" s="1030"/>
      <c r="M613" s="1030"/>
      <c r="N613" s="1030"/>
      <c r="O613" s="1030"/>
      <c r="P613" s="1030"/>
      <c r="Q613" s="1030"/>
      <c r="R613" s="1030"/>
      <c r="S613" s="1031"/>
      <c r="T613" s="952"/>
      <c r="U613" s="941"/>
      <c r="V613" s="941"/>
      <c r="W613" s="941"/>
    </row>
    <row r="614" spans="10:23" s="1011" customFormat="1" x14ac:dyDescent="0.2">
      <c r="J614" s="1030"/>
      <c r="K614" s="1030"/>
      <c r="L614" s="1030"/>
      <c r="M614" s="1030"/>
      <c r="N614" s="1030"/>
      <c r="O614" s="1030"/>
      <c r="P614" s="1030"/>
      <c r="Q614" s="1030"/>
      <c r="R614" s="1030"/>
      <c r="S614" s="1031"/>
      <c r="T614" s="952"/>
      <c r="U614" s="941"/>
      <c r="V614" s="941"/>
      <c r="W614" s="941"/>
    </row>
    <row r="615" spans="10:23" s="1011" customFormat="1" x14ac:dyDescent="0.2">
      <c r="J615" s="1030"/>
      <c r="K615" s="1030"/>
      <c r="L615" s="1030"/>
      <c r="M615" s="1030"/>
      <c r="N615" s="1030"/>
      <c r="O615" s="1030"/>
      <c r="P615" s="1030"/>
      <c r="Q615" s="1030"/>
      <c r="R615" s="1030"/>
      <c r="S615" s="1031"/>
      <c r="T615" s="952"/>
      <c r="U615" s="941"/>
      <c r="V615" s="941"/>
      <c r="W615" s="941"/>
    </row>
    <row r="616" spans="10:23" s="1011" customFormat="1" x14ac:dyDescent="0.2">
      <c r="J616" s="1030"/>
      <c r="K616" s="1030"/>
      <c r="L616" s="1030"/>
      <c r="M616" s="1030"/>
      <c r="N616" s="1030"/>
      <c r="O616" s="1030"/>
      <c r="P616" s="1030"/>
      <c r="Q616" s="1030"/>
      <c r="R616" s="1030"/>
      <c r="S616" s="1031"/>
      <c r="T616" s="952"/>
      <c r="U616" s="941"/>
      <c r="V616" s="941"/>
      <c r="W616" s="941"/>
    </row>
    <row r="617" spans="10:23" s="1011" customFormat="1" x14ac:dyDescent="0.2">
      <c r="J617" s="1030"/>
      <c r="K617" s="1030"/>
      <c r="L617" s="1030"/>
      <c r="M617" s="1030"/>
      <c r="N617" s="1030"/>
      <c r="O617" s="1030"/>
      <c r="P617" s="1030"/>
      <c r="Q617" s="1030"/>
      <c r="R617" s="1030"/>
      <c r="S617" s="1031"/>
      <c r="T617" s="952"/>
      <c r="U617" s="941"/>
      <c r="V617" s="941"/>
      <c r="W617" s="941"/>
    </row>
    <row r="618" spans="10:23" s="1011" customFormat="1" x14ac:dyDescent="0.2">
      <c r="J618" s="1030"/>
      <c r="K618" s="1030"/>
      <c r="L618" s="1030"/>
      <c r="M618" s="1030"/>
      <c r="N618" s="1030"/>
      <c r="O618" s="1030"/>
      <c r="P618" s="1030"/>
      <c r="Q618" s="1030"/>
      <c r="R618" s="1030"/>
      <c r="S618" s="1031"/>
      <c r="T618" s="952"/>
      <c r="U618" s="941"/>
      <c r="V618" s="941"/>
      <c r="W618" s="941"/>
    </row>
    <row r="619" spans="10:23" s="1011" customFormat="1" x14ac:dyDescent="0.2">
      <c r="J619" s="1030"/>
      <c r="K619" s="1030"/>
      <c r="L619" s="1030"/>
      <c r="M619" s="1030"/>
      <c r="N619" s="1030"/>
      <c r="O619" s="1030"/>
      <c r="P619" s="1030"/>
      <c r="Q619" s="1030"/>
      <c r="R619" s="1030"/>
      <c r="S619" s="1031"/>
      <c r="T619" s="952"/>
      <c r="U619" s="941"/>
      <c r="V619" s="941"/>
      <c r="W619" s="941"/>
    </row>
    <row r="620" spans="10:23" s="1011" customFormat="1" x14ac:dyDescent="0.2">
      <c r="J620" s="1030"/>
      <c r="K620" s="1030"/>
      <c r="L620" s="1030"/>
      <c r="M620" s="1030"/>
      <c r="N620" s="1030"/>
      <c r="O620" s="1030"/>
      <c r="P620" s="1030"/>
      <c r="Q620" s="1030"/>
      <c r="R620" s="1030"/>
      <c r="S620" s="1031"/>
      <c r="T620" s="952"/>
      <c r="U620" s="941"/>
      <c r="V620" s="941"/>
      <c r="W620" s="941"/>
    </row>
    <row r="621" spans="10:23" s="1011" customFormat="1" x14ac:dyDescent="0.2">
      <c r="J621" s="1030"/>
      <c r="K621" s="1030"/>
      <c r="L621" s="1030"/>
      <c r="M621" s="1030"/>
      <c r="N621" s="1030"/>
      <c r="O621" s="1030"/>
      <c r="P621" s="1030"/>
      <c r="Q621" s="1030"/>
      <c r="R621" s="1030"/>
      <c r="S621" s="1031"/>
      <c r="T621" s="952"/>
      <c r="U621" s="941"/>
      <c r="V621" s="941"/>
      <c r="W621" s="941"/>
    </row>
    <row r="622" spans="10:23" s="1011" customFormat="1" x14ac:dyDescent="0.2">
      <c r="J622" s="1030"/>
      <c r="K622" s="1030"/>
      <c r="L622" s="1030"/>
      <c r="M622" s="1030"/>
      <c r="N622" s="1030"/>
      <c r="O622" s="1030"/>
      <c r="P622" s="1030"/>
      <c r="Q622" s="1030"/>
      <c r="R622" s="1030"/>
      <c r="S622" s="1031"/>
      <c r="T622" s="952"/>
      <c r="U622" s="941"/>
      <c r="V622" s="941"/>
      <c r="W622" s="941"/>
    </row>
    <row r="623" spans="10:23" s="1011" customFormat="1" x14ac:dyDescent="0.2">
      <c r="J623" s="1030"/>
      <c r="K623" s="1030"/>
      <c r="L623" s="1030"/>
      <c r="M623" s="1030"/>
      <c r="N623" s="1030"/>
      <c r="O623" s="1030"/>
      <c r="P623" s="1030"/>
      <c r="Q623" s="1030"/>
      <c r="R623" s="1030"/>
      <c r="S623" s="1031"/>
      <c r="T623" s="952"/>
      <c r="U623" s="941"/>
      <c r="V623" s="941"/>
      <c r="W623" s="941"/>
    </row>
    <row r="624" spans="10:23" s="1011" customFormat="1" x14ac:dyDescent="0.2">
      <c r="J624" s="1030"/>
      <c r="K624" s="1030"/>
      <c r="L624" s="1030"/>
      <c r="M624" s="1030"/>
      <c r="N624" s="1030"/>
      <c r="O624" s="1030"/>
      <c r="P624" s="1030"/>
      <c r="Q624" s="1030"/>
      <c r="R624" s="1030"/>
      <c r="S624" s="1031"/>
      <c r="T624" s="952"/>
      <c r="U624" s="941"/>
      <c r="V624" s="941"/>
      <c r="W624" s="941"/>
    </row>
    <row r="625" spans="10:23" s="1011" customFormat="1" x14ac:dyDescent="0.2">
      <c r="J625" s="1030"/>
      <c r="K625" s="1030"/>
      <c r="L625" s="1030"/>
      <c r="M625" s="1030"/>
      <c r="N625" s="1030"/>
      <c r="O625" s="1030"/>
      <c r="P625" s="1030"/>
      <c r="Q625" s="1030"/>
      <c r="R625" s="1030"/>
      <c r="S625" s="1031"/>
      <c r="T625" s="952"/>
      <c r="U625" s="941"/>
      <c r="V625" s="941"/>
      <c r="W625" s="941"/>
    </row>
    <row r="626" spans="10:23" s="1011" customFormat="1" x14ac:dyDescent="0.2">
      <c r="J626" s="1030"/>
      <c r="K626" s="1030"/>
      <c r="L626" s="1030"/>
      <c r="M626" s="1030"/>
      <c r="N626" s="1030"/>
      <c r="O626" s="1030"/>
      <c r="P626" s="1030"/>
      <c r="Q626" s="1030"/>
      <c r="R626" s="1030"/>
      <c r="S626" s="1031"/>
      <c r="T626" s="952"/>
      <c r="U626" s="941"/>
      <c r="V626" s="941"/>
      <c r="W626" s="941"/>
    </row>
    <row r="627" spans="10:23" s="1011" customFormat="1" x14ac:dyDescent="0.2">
      <c r="J627" s="1030"/>
      <c r="K627" s="1030"/>
      <c r="L627" s="1030"/>
      <c r="M627" s="1030"/>
      <c r="N627" s="1030"/>
      <c r="O627" s="1030"/>
      <c r="P627" s="1030"/>
      <c r="Q627" s="1030"/>
      <c r="R627" s="1030"/>
      <c r="S627" s="1031"/>
      <c r="T627" s="952"/>
      <c r="U627" s="941"/>
      <c r="V627" s="941"/>
      <c r="W627" s="941"/>
    </row>
    <row r="628" spans="10:23" s="1011" customFormat="1" x14ac:dyDescent="0.2">
      <c r="J628" s="1030"/>
      <c r="K628" s="1030"/>
      <c r="L628" s="1030"/>
      <c r="M628" s="1030"/>
      <c r="N628" s="1030"/>
      <c r="O628" s="1030"/>
      <c r="P628" s="1030"/>
      <c r="Q628" s="1030"/>
      <c r="R628" s="1030"/>
      <c r="S628" s="1031"/>
      <c r="T628" s="952"/>
      <c r="U628" s="941"/>
      <c r="V628" s="941"/>
      <c r="W628" s="941"/>
    </row>
    <row r="629" spans="10:23" s="1011" customFormat="1" x14ac:dyDescent="0.2">
      <c r="J629" s="1030"/>
      <c r="K629" s="1030"/>
      <c r="L629" s="1030"/>
      <c r="M629" s="1030"/>
      <c r="N629" s="1030"/>
      <c r="O629" s="1030"/>
      <c r="P629" s="1030"/>
      <c r="Q629" s="1030"/>
      <c r="R629" s="1030"/>
      <c r="S629" s="1031"/>
      <c r="T629" s="952"/>
      <c r="U629" s="941"/>
      <c r="V629" s="941"/>
      <c r="W629" s="941"/>
    </row>
    <row r="630" spans="10:23" s="1011" customFormat="1" x14ac:dyDescent="0.2">
      <c r="J630" s="1030"/>
      <c r="K630" s="1030"/>
      <c r="L630" s="1030"/>
      <c r="M630" s="1030"/>
      <c r="N630" s="1030"/>
      <c r="O630" s="1030"/>
      <c r="P630" s="1030"/>
      <c r="Q630" s="1030"/>
      <c r="R630" s="1030"/>
      <c r="S630" s="1031"/>
      <c r="T630" s="952"/>
      <c r="U630" s="941"/>
      <c r="V630" s="941"/>
      <c r="W630" s="941"/>
    </row>
    <row r="631" spans="10:23" s="1011" customFormat="1" x14ac:dyDescent="0.2">
      <c r="J631" s="1030"/>
      <c r="K631" s="1030"/>
      <c r="L631" s="1030"/>
      <c r="M631" s="1030"/>
      <c r="N631" s="1030"/>
      <c r="O631" s="1030"/>
      <c r="P631" s="1030"/>
      <c r="Q631" s="1030"/>
      <c r="R631" s="1030"/>
      <c r="S631" s="1031"/>
      <c r="T631" s="952"/>
      <c r="U631" s="941"/>
      <c r="V631" s="941"/>
      <c r="W631" s="941"/>
    </row>
    <row r="632" spans="10:23" s="1011" customFormat="1" x14ac:dyDescent="0.2">
      <c r="J632" s="1030"/>
      <c r="K632" s="1030"/>
      <c r="L632" s="1030"/>
      <c r="M632" s="1030"/>
      <c r="N632" s="1030"/>
      <c r="O632" s="1030"/>
      <c r="P632" s="1030"/>
      <c r="Q632" s="1030"/>
      <c r="R632" s="1030"/>
      <c r="S632" s="1031"/>
      <c r="T632" s="952"/>
      <c r="U632" s="941"/>
      <c r="V632" s="941"/>
      <c r="W632" s="941"/>
    </row>
    <row r="633" spans="10:23" s="1011" customFormat="1" x14ac:dyDescent="0.2">
      <c r="J633" s="1030"/>
      <c r="K633" s="1030"/>
      <c r="L633" s="1030"/>
      <c r="M633" s="1030"/>
      <c r="N633" s="1030"/>
      <c r="O633" s="1030"/>
      <c r="P633" s="1030"/>
      <c r="Q633" s="1030"/>
      <c r="R633" s="1030"/>
      <c r="S633" s="1031"/>
      <c r="T633" s="952"/>
      <c r="U633" s="941"/>
      <c r="V633" s="941"/>
      <c r="W633" s="941"/>
    </row>
    <row r="634" spans="10:23" s="1011" customFormat="1" x14ac:dyDescent="0.2">
      <c r="J634" s="1030"/>
      <c r="K634" s="1030"/>
      <c r="L634" s="1030"/>
      <c r="M634" s="1030"/>
      <c r="N634" s="1030"/>
      <c r="O634" s="1030"/>
      <c r="P634" s="1030"/>
      <c r="Q634" s="1030"/>
      <c r="R634" s="1030"/>
      <c r="S634" s="1031"/>
      <c r="T634" s="952"/>
      <c r="U634" s="941"/>
      <c r="V634" s="941"/>
      <c r="W634" s="941"/>
    </row>
    <row r="635" spans="10:23" s="1011" customFormat="1" x14ac:dyDescent="0.2">
      <c r="J635" s="1030"/>
      <c r="K635" s="1030"/>
      <c r="L635" s="1030"/>
      <c r="M635" s="1030"/>
      <c r="N635" s="1030"/>
      <c r="O635" s="1030"/>
      <c r="P635" s="1030"/>
      <c r="Q635" s="1030"/>
      <c r="R635" s="1030"/>
      <c r="S635" s="1031"/>
      <c r="T635" s="952"/>
      <c r="U635" s="941"/>
      <c r="V635" s="941"/>
      <c r="W635" s="941"/>
    </row>
    <row r="636" spans="10:23" s="1011" customFormat="1" x14ac:dyDescent="0.2">
      <c r="J636" s="1030"/>
      <c r="K636" s="1030"/>
      <c r="L636" s="1030"/>
      <c r="M636" s="1030"/>
      <c r="N636" s="1030"/>
      <c r="O636" s="1030"/>
      <c r="P636" s="1030"/>
      <c r="Q636" s="1030"/>
      <c r="R636" s="1030"/>
      <c r="S636" s="1031"/>
      <c r="T636" s="952"/>
      <c r="U636" s="941"/>
      <c r="V636" s="941"/>
      <c r="W636" s="941"/>
    </row>
    <row r="637" spans="10:23" s="1011" customFormat="1" x14ac:dyDescent="0.2">
      <c r="J637" s="1030"/>
      <c r="K637" s="1030"/>
      <c r="L637" s="1030"/>
      <c r="M637" s="1030"/>
      <c r="N637" s="1030"/>
      <c r="O637" s="1030"/>
      <c r="P637" s="1030"/>
      <c r="Q637" s="1030"/>
      <c r="R637" s="1030"/>
      <c r="S637" s="1031"/>
      <c r="T637" s="952"/>
      <c r="U637" s="941"/>
      <c r="V637" s="941"/>
      <c r="W637" s="941"/>
    </row>
    <row r="638" spans="10:23" s="1011" customFormat="1" x14ac:dyDescent="0.2">
      <c r="J638" s="1030"/>
      <c r="K638" s="1030"/>
      <c r="L638" s="1030"/>
      <c r="M638" s="1030"/>
      <c r="N638" s="1030"/>
      <c r="O638" s="1030"/>
      <c r="P638" s="1030"/>
      <c r="Q638" s="1030"/>
      <c r="R638" s="1030"/>
      <c r="S638" s="1031"/>
      <c r="T638" s="952"/>
      <c r="U638" s="941"/>
      <c r="V638" s="941"/>
      <c r="W638" s="941"/>
    </row>
    <row r="639" spans="10:23" s="1011" customFormat="1" x14ac:dyDescent="0.2">
      <c r="J639" s="1030"/>
      <c r="K639" s="1030"/>
      <c r="L639" s="1030"/>
      <c r="M639" s="1030"/>
      <c r="N639" s="1030"/>
      <c r="O639" s="1030"/>
      <c r="P639" s="1030"/>
      <c r="Q639" s="1030"/>
      <c r="R639" s="1030"/>
      <c r="S639" s="1031"/>
      <c r="T639" s="952"/>
      <c r="U639" s="941"/>
      <c r="V639" s="941"/>
      <c r="W639" s="941"/>
    </row>
    <row r="640" spans="10:23" s="1011" customFormat="1" x14ac:dyDescent="0.2">
      <c r="J640" s="1030"/>
      <c r="K640" s="1030"/>
      <c r="L640" s="1030"/>
      <c r="M640" s="1030"/>
      <c r="N640" s="1030"/>
      <c r="O640" s="1030"/>
      <c r="P640" s="1030"/>
      <c r="Q640" s="1030"/>
      <c r="R640" s="1030"/>
      <c r="S640" s="1031"/>
      <c r="T640" s="952"/>
      <c r="U640" s="941"/>
      <c r="V640" s="941"/>
      <c r="W640" s="941"/>
    </row>
    <row r="641" spans="10:23" s="1011" customFormat="1" x14ac:dyDescent="0.2">
      <c r="J641" s="1030"/>
      <c r="K641" s="1030"/>
      <c r="L641" s="1030"/>
      <c r="M641" s="1030"/>
      <c r="N641" s="1030"/>
      <c r="O641" s="1030"/>
      <c r="P641" s="1030"/>
      <c r="Q641" s="1030"/>
      <c r="R641" s="1030"/>
      <c r="S641" s="1031"/>
      <c r="T641" s="952"/>
      <c r="U641" s="941"/>
      <c r="V641" s="941"/>
      <c r="W641" s="941"/>
    </row>
    <row r="642" spans="10:23" s="1011" customFormat="1" x14ac:dyDescent="0.2">
      <c r="J642" s="1030"/>
      <c r="K642" s="1030"/>
      <c r="L642" s="1030"/>
      <c r="M642" s="1030"/>
      <c r="N642" s="1030"/>
      <c r="O642" s="1030"/>
      <c r="P642" s="1030"/>
      <c r="Q642" s="1030"/>
      <c r="R642" s="1030"/>
      <c r="S642" s="1031"/>
      <c r="T642" s="952"/>
      <c r="U642" s="941"/>
      <c r="V642" s="941"/>
      <c r="W642" s="941"/>
    </row>
    <row r="643" spans="10:23" s="1011" customFormat="1" x14ac:dyDescent="0.2">
      <c r="J643" s="1030"/>
      <c r="K643" s="1030"/>
      <c r="L643" s="1030"/>
      <c r="M643" s="1030"/>
      <c r="N643" s="1030"/>
      <c r="O643" s="1030"/>
      <c r="P643" s="1030"/>
      <c r="Q643" s="1030"/>
      <c r="R643" s="1030"/>
      <c r="S643" s="1031"/>
      <c r="T643" s="952"/>
      <c r="U643" s="941"/>
      <c r="V643" s="941"/>
      <c r="W643" s="941"/>
    </row>
    <row r="644" spans="10:23" s="1011" customFormat="1" x14ac:dyDescent="0.2">
      <c r="J644" s="1030"/>
      <c r="K644" s="1030"/>
      <c r="L644" s="1030"/>
      <c r="M644" s="1030"/>
      <c r="N644" s="1030"/>
      <c r="O644" s="1030"/>
      <c r="P644" s="1030"/>
      <c r="Q644" s="1030"/>
      <c r="R644" s="1030"/>
      <c r="S644" s="1031"/>
      <c r="T644" s="952"/>
      <c r="U644" s="941"/>
      <c r="V644" s="941"/>
      <c r="W644" s="941"/>
    </row>
    <row r="645" spans="10:23" s="1011" customFormat="1" x14ac:dyDescent="0.2">
      <c r="J645" s="1030"/>
      <c r="K645" s="1030"/>
      <c r="L645" s="1030"/>
      <c r="M645" s="1030"/>
      <c r="N645" s="1030"/>
      <c r="O645" s="1030"/>
      <c r="P645" s="1030"/>
      <c r="Q645" s="1030"/>
      <c r="R645" s="1030"/>
      <c r="S645" s="1031"/>
      <c r="T645" s="952"/>
      <c r="U645" s="941"/>
      <c r="V645" s="941"/>
      <c r="W645" s="941"/>
    </row>
    <row r="646" spans="10:23" s="1011" customFormat="1" x14ac:dyDescent="0.2">
      <c r="J646" s="1030"/>
      <c r="K646" s="1030"/>
      <c r="L646" s="1030"/>
      <c r="M646" s="1030"/>
      <c r="N646" s="1030"/>
      <c r="O646" s="1030"/>
      <c r="P646" s="1030"/>
      <c r="Q646" s="1030"/>
      <c r="R646" s="1030"/>
      <c r="S646" s="1031"/>
      <c r="T646" s="952"/>
      <c r="U646" s="941"/>
      <c r="V646" s="941"/>
      <c r="W646" s="941"/>
    </row>
    <row r="647" spans="10:23" s="1011" customFormat="1" x14ac:dyDescent="0.2">
      <c r="J647" s="1030"/>
      <c r="K647" s="1030"/>
      <c r="L647" s="1030"/>
      <c r="M647" s="1030"/>
      <c r="N647" s="1030"/>
      <c r="O647" s="1030"/>
      <c r="P647" s="1030"/>
      <c r="Q647" s="1030"/>
      <c r="R647" s="1030"/>
      <c r="S647" s="1031"/>
      <c r="T647" s="952"/>
      <c r="U647" s="941"/>
      <c r="V647" s="941"/>
      <c r="W647" s="941"/>
    </row>
    <row r="648" spans="10:23" s="1011" customFormat="1" x14ac:dyDescent="0.2">
      <c r="J648" s="1030"/>
      <c r="K648" s="1030"/>
      <c r="L648" s="1030"/>
      <c r="M648" s="1030"/>
      <c r="N648" s="1030"/>
      <c r="O648" s="1030"/>
      <c r="P648" s="1030"/>
      <c r="Q648" s="1030"/>
      <c r="R648" s="1030"/>
      <c r="S648" s="1031"/>
      <c r="T648" s="952"/>
      <c r="U648" s="941"/>
      <c r="V648" s="941"/>
      <c r="W648" s="941"/>
    </row>
    <row r="649" spans="10:23" s="1011" customFormat="1" x14ac:dyDescent="0.2">
      <c r="J649" s="1030"/>
      <c r="K649" s="1030"/>
      <c r="L649" s="1030"/>
      <c r="M649" s="1030"/>
      <c r="N649" s="1030"/>
      <c r="O649" s="1030"/>
      <c r="P649" s="1030"/>
      <c r="Q649" s="1030"/>
      <c r="R649" s="1030"/>
      <c r="S649" s="1031"/>
      <c r="T649" s="952"/>
      <c r="U649" s="941"/>
      <c r="V649" s="941"/>
      <c r="W649" s="941"/>
    </row>
    <row r="650" spans="10:23" s="1011" customFormat="1" x14ac:dyDescent="0.2">
      <c r="J650" s="1030"/>
      <c r="K650" s="1030"/>
      <c r="L650" s="1030"/>
      <c r="M650" s="1030"/>
      <c r="N650" s="1030"/>
      <c r="O650" s="1030"/>
      <c r="P650" s="1030"/>
      <c r="Q650" s="1030"/>
      <c r="R650" s="1030"/>
      <c r="S650" s="1031"/>
      <c r="T650" s="952"/>
      <c r="U650" s="941"/>
      <c r="V650" s="941"/>
      <c r="W650" s="941"/>
    </row>
    <row r="651" spans="10:23" s="1011" customFormat="1" x14ac:dyDescent="0.2">
      <c r="J651" s="1030"/>
      <c r="K651" s="1030"/>
      <c r="L651" s="1030"/>
      <c r="M651" s="1030"/>
      <c r="N651" s="1030"/>
      <c r="O651" s="1030"/>
      <c r="P651" s="1030"/>
      <c r="Q651" s="1030"/>
      <c r="R651" s="1030"/>
      <c r="S651" s="1031"/>
      <c r="T651" s="952"/>
      <c r="U651" s="941"/>
      <c r="V651" s="941"/>
      <c r="W651" s="941"/>
    </row>
    <row r="652" spans="10:23" s="1011" customFormat="1" x14ac:dyDescent="0.2">
      <c r="J652" s="1030"/>
      <c r="K652" s="1030"/>
      <c r="L652" s="1030"/>
      <c r="M652" s="1030"/>
      <c r="N652" s="1030"/>
      <c r="O652" s="1030"/>
      <c r="P652" s="1030"/>
      <c r="Q652" s="1030"/>
      <c r="R652" s="1030"/>
      <c r="S652" s="1031"/>
      <c r="T652" s="952"/>
      <c r="U652" s="941"/>
      <c r="V652" s="941"/>
      <c r="W652" s="941"/>
    </row>
    <row r="653" spans="10:23" s="1011" customFormat="1" x14ac:dyDescent="0.2">
      <c r="J653" s="1030"/>
      <c r="K653" s="1030"/>
      <c r="L653" s="1030"/>
      <c r="M653" s="1030"/>
      <c r="N653" s="1030"/>
      <c r="O653" s="1030"/>
      <c r="P653" s="1030"/>
      <c r="Q653" s="1030"/>
      <c r="R653" s="1030"/>
      <c r="S653" s="1031"/>
      <c r="T653" s="952"/>
      <c r="U653" s="941"/>
      <c r="V653" s="941"/>
      <c r="W653" s="941"/>
    </row>
    <row r="654" spans="10:23" s="1011" customFormat="1" x14ac:dyDescent="0.2">
      <c r="J654" s="1030"/>
      <c r="K654" s="1030"/>
      <c r="L654" s="1030"/>
      <c r="M654" s="1030"/>
      <c r="N654" s="1030"/>
      <c r="O654" s="1030"/>
      <c r="P654" s="1030"/>
      <c r="Q654" s="1030"/>
      <c r="R654" s="1030"/>
      <c r="S654" s="1031"/>
      <c r="T654" s="952"/>
      <c r="U654" s="941"/>
      <c r="V654" s="941"/>
      <c r="W654" s="941"/>
    </row>
    <row r="655" spans="10:23" s="1011" customFormat="1" x14ac:dyDescent="0.2">
      <c r="J655" s="1030"/>
      <c r="K655" s="1030"/>
      <c r="L655" s="1030"/>
      <c r="M655" s="1030"/>
      <c r="N655" s="1030"/>
      <c r="O655" s="1030"/>
      <c r="P655" s="1030"/>
      <c r="Q655" s="1030"/>
      <c r="R655" s="1030"/>
      <c r="S655" s="1031"/>
      <c r="T655" s="952"/>
      <c r="U655" s="941"/>
      <c r="V655" s="941"/>
      <c r="W655" s="941"/>
    </row>
    <row r="656" spans="10:23" s="1011" customFormat="1" x14ac:dyDescent="0.2">
      <c r="J656" s="1030"/>
      <c r="K656" s="1030"/>
      <c r="L656" s="1030"/>
      <c r="M656" s="1030"/>
      <c r="N656" s="1030"/>
      <c r="O656" s="1030"/>
      <c r="P656" s="1030"/>
      <c r="Q656" s="1030"/>
      <c r="R656" s="1030"/>
      <c r="S656" s="1031"/>
      <c r="T656" s="952"/>
      <c r="U656" s="941"/>
      <c r="V656" s="941"/>
      <c r="W656" s="941"/>
    </row>
    <row r="657" spans="10:23" s="1011" customFormat="1" x14ac:dyDescent="0.2">
      <c r="J657" s="1030"/>
      <c r="K657" s="1030"/>
      <c r="L657" s="1030"/>
      <c r="M657" s="1030"/>
      <c r="N657" s="1030"/>
      <c r="O657" s="1030"/>
      <c r="P657" s="1030"/>
      <c r="Q657" s="1030"/>
      <c r="R657" s="1030"/>
      <c r="S657" s="1031"/>
      <c r="T657" s="952"/>
      <c r="U657" s="941"/>
      <c r="V657" s="941"/>
      <c r="W657" s="941"/>
    </row>
    <row r="658" spans="10:23" s="1011" customFormat="1" x14ac:dyDescent="0.2">
      <c r="J658" s="1030"/>
      <c r="K658" s="1030"/>
      <c r="L658" s="1030"/>
      <c r="M658" s="1030"/>
      <c r="N658" s="1030"/>
      <c r="O658" s="1030"/>
      <c r="P658" s="1030"/>
      <c r="Q658" s="1030"/>
      <c r="R658" s="1030"/>
      <c r="S658" s="1031"/>
      <c r="T658" s="952"/>
      <c r="U658" s="941"/>
      <c r="V658" s="941"/>
      <c r="W658" s="941"/>
    </row>
    <row r="659" spans="10:23" s="1011" customFormat="1" x14ac:dyDescent="0.2">
      <c r="J659" s="1030"/>
      <c r="K659" s="1030"/>
      <c r="L659" s="1030"/>
      <c r="M659" s="1030"/>
      <c r="N659" s="1030"/>
      <c r="O659" s="1030"/>
      <c r="P659" s="1030"/>
      <c r="Q659" s="1030"/>
      <c r="R659" s="1030"/>
      <c r="S659" s="1031"/>
      <c r="T659" s="952"/>
      <c r="U659" s="941"/>
      <c r="V659" s="941"/>
      <c r="W659" s="941"/>
    </row>
    <row r="660" spans="10:23" s="1011" customFormat="1" x14ac:dyDescent="0.2">
      <c r="J660" s="1030"/>
      <c r="K660" s="1030"/>
      <c r="L660" s="1030"/>
      <c r="M660" s="1030"/>
      <c r="N660" s="1030"/>
      <c r="O660" s="1030"/>
      <c r="P660" s="1030"/>
      <c r="Q660" s="1030"/>
      <c r="R660" s="1030"/>
      <c r="S660" s="1031"/>
      <c r="T660" s="952"/>
      <c r="U660" s="941"/>
      <c r="V660" s="941"/>
      <c r="W660" s="941"/>
    </row>
    <row r="661" spans="10:23" s="1011" customFormat="1" x14ac:dyDescent="0.2">
      <c r="J661" s="1030"/>
      <c r="K661" s="1030"/>
      <c r="L661" s="1030"/>
      <c r="M661" s="1030"/>
      <c r="N661" s="1030"/>
      <c r="O661" s="1030"/>
      <c r="P661" s="1030"/>
      <c r="Q661" s="1030"/>
      <c r="R661" s="1030"/>
      <c r="S661" s="1031"/>
      <c r="T661" s="952"/>
      <c r="U661" s="941"/>
      <c r="V661" s="941"/>
      <c r="W661" s="941"/>
    </row>
    <row r="662" spans="10:23" s="1011" customFormat="1" x14ac:dyDescent="0.2">
      <c r="J662" s="1030"/>
      <c r="K662" s="1030"/>
      <c r="L662" s="1030"/>
      <c r="M662" s="1030"/>
      <c r="N662" s="1030"/>
      <c r="O662" s="1030"/>
      <c r="P662" s="1030"/>
      <c r="Q662" s="1030"/>
      <c r="R662" s="1030"/>
      <c r="S662" s="1031"/>
      <c r="T662" s="952"/>
      <c r="U662" s="941"/>
      <c r="V662" s="941"/>
      <c r="W662" s="941"/>
    </row>
    <row r="663" spans="10:23" s="1011" customFormat="1" x14ac:dyDescent="0.2">
      <c r="J663" s="1030"/>
      <c r="K663" s="1030"/>
      <c r="L663" s="1030"/>
      <c r="M663" s="1030"/>
      <c r="N663" s="1030"/>
      <c r="O663" s="1030"/>
      <c r="P663" s="1030"/>
      <c r="Q663" s="1030"/>
      <c r="R663" s="1030"/>
      <c r="S663" s="1031"/>
      <c r="T663" s="952"/>
      <c r="U663" s="941"/>
      <c r="V663" s="941"/>
      <c r="W663" s="941"/>
    </row>
    <row r="664" spans="10:23" s="1011" customFormat="1" x14ac:dyDescent="0.2">
      <c r="J664" s="1030"/>
      <c r="K664" s="1030"/>
      <c r="L664" s="1030"/>
      <c r="M664" s="1030"/>
      <c r="N664" s="1030"/>
      <c r="O664" s="1030"/>
      <c r="P664" s="1030"/>
      <c r="Q664" s="1030"/>
      <c r="R664" s="1030"/>
      <c r="S664" s="1031"/>
      <c r="T664" s="952"/>
      <c r="U664" s="941"/>
      <c r="V664" s="941"/>
      <c r="W664" s="941"/>
    </row>
    <row r="665" spans="10:23" s="1011" customFormat="1" x14ac:dyDescent="0.2">
      <c r="J665" s="1030"/>
      <c r="K665" s="1030"/>
      <c r="L665" s="1030"/>
      <c r="M665" s="1030"/>
      <c r="N665" s="1030"/>
      <c r="O665" s="1030"/>
      <c r="P665" s="1030"/>
      <c r="Q665" s="1030"/>
      <c r="R665" s="1030"/>
      <c r="S665" s="1031"/>
      <c r="T665" s="952"/>
      <c r="U665" s="941"/>
      <c r="V665" s="941"/>
      <c r="W665" s="941"/>
    </row>
    <row r="666" spans="10:23" s="1011" customFormat="1" x14ac:dyDescent="0.2">
      <c r="J666" s="1030"/>
      <c r="K666" s="1030"/>
      <c r="L666" s="1030"/>
      <c r="M666" s="1030"/>
      <c r="N666" s="1030"/>
      <c r="O666" s="1030"/>
      <c r="P666" s="1030"/>
      <c r="Q666" s="1030"/>
      <c r="R666" s="1030"/>
      <c r="S666" s="1031"/>
      <c r="T666" s="952"/>
      <c r="U666" s="941"/>
      <c r="V666" s="941"/>
      <c r="W666" s="941"/>
    </row>
    <row r="667" spans="10:23" s="1011" customFormat="1" x14ac:dyDescent="0.2">
      <c r="J667" s="1030"/>
      <c r="K667" s="1030"/>
      <c r="L667" s="1030"/>
      <c r="M667" s="1030"/>
      <c r="N667" s="1030"/>
      <c r="O667" s="1030"/>
      <c r="P667" s="1030"/>
      <c r="Q667" s="1030"/>
      <c r="R667" s="1030"/>
      <c r="S667" s="1031"/>
      <c r="T667" s="952"/>
      <c r="U667" s="941"/>
      <c r="V667" s="941"/>
      <c r="W667" s="941"/>
    </row>
    <row r="668" spans="10:23" s="1011" customFormat="1" x14ac:dyDescent="0.2">
      <c r="J668" s="1030"/>
      <c r="K668" s="1030"/>
      <c r="L668" s="1030"/>
      <c r="M668" s="1030"/>
      <c r="N668" s="1030"/>
      <c r="O668" s="1030"/>
      <c r="P668" s="1030"/>
      <c r="Q668" s="1030"/>
      <c r="R668" s="1030"/>
      <c r="S668" s="1031"/>
      <c r="T668" s="952"/>
      <c r="U668" s="941"/>
      <c r="V668" s="941"/>
      <c r="W668" s="941"/>
    </row>
    <row r="669" spans="10:23" s="1011" customFormat="1" x14ac:dyDescent="0.2">
      <c r="J669" s="1030"/>
      <c r="K669" s="1030"/>
      <c r="L669" s="1030"/>
      <c r="M669" s="1030"/>
      <c r="N669" s="1030"/>
      <c r="O669" s="1030"/>
      <c r="P669" s="1030"/>
      <c r="Q669" s="1030"/>
      <c r="R669" s="1030"/>
      <c r="S669" s="1031"/>
      <c r="T669" s="952"/>
      <c r="U669" s="941"/>
      <c r="V669" s="941"/>
      <c r="W669" s="941"/>
    </row>
    <row r="670" spans="10:23" s="1011" customFormat="1" x14ac:dyDescent="0.2">
      <c r="J670" s="1030"/>
      <c r="K670" s="1030"/>
      <c r="L670" s="1030"/>
      <c r="M670" s="1030"/>
      <c r="N670" s="1030"/>
      <c r="O670" s="1030"/>
      <c r="P670" s="1030"/>
      <c r="Q670" s="1030"/>
      <c r="R670" s="1030"/>
      <c r="S670" s="1031"/>
      <c r="T670" s="952"/>
      <c r="U670" s="941"/>
      <c r="V670" s="941"/>
      <c r="W670" s="941"/>
    </row>
    <row r="671" spans="10:23" s="1011" customFormat="1" x14ac:dyDescent="0.2">
      <c r="J671" s="1030"/>
      <c r="K671" s="1030"/>
      <c r="L671" s="1030"/>
      <c r="M671" s="1030"/>
      <c r="N671" s="1030"/>
      <c r="O671" s="1030"/>
      <c r="P671" s="1030"/>
      <c r="Q671" s="1030"/>
      <c r="R671" s="1030"/>
      <c r="S671" s="1031"/>
      <c r="T671" s="952"/>
      <c r="U671" s="941"/>
      <c r="V671" s="941"/>
      <c r="W671" s="941"/>
    </row>
    <row r="672" spans="10:23" s="1011" customFormat="1" x14ac:dyDescent="0.2">
      <c r="J672" s="1030"/>
      <c r="K672" s="1030"/>
      <c r="L672" s="1030"/>
      <c r="M672" s="1030"/>
      <c r="N672" s="1030"/>
      <c r="O672" s="1030"/>
      <c r="P672" s="1030"/>
      <c r="Q672" s="1030"/>
      <c r="R672" s="1030"/>
      <c r="S672" s="1031"/>
      <c r="T672" s="952"/>
      <c r="U672" s="941"/>
      <c r="V672" s="941"/>
      <c r="W672" s="941"/>
    </row>
    <row r="673" spans="10:23" s="1011" customFormat="1" x14ac:dyDescent="0.2">
      <c r="J673" s="1030"/>
      <c r="K673" s="1030"/>
      <c r="L673" s="1030"/>
      <c r="M673" s="1030"/>
      <c r="N673" s="1030"/>
      <c r="O673" s="1030"/>
      <c r="P673" s="1030"/>
      <c r="Q673" s="1030"/>
      <c r="R673" s="1030"/>
      <c r="S673" s="1031"/>
      <c r="T673" s="952"/>
      <c r="U673" s="941"/>
      <c r="V673" s="941"/>
      <c r="W673" s="941"/>
    </row>
    <row r="674" spans="10:23" s="1011" customFormat="1" x14ac:dyDescent="0.2">
      <c r="J674" s="1030"/>
      <c r="K674" s="1030"/>
      <c r="L674" s="1030"/>
      <c r="M674" s="1030"/>
      <c r="N674" s="1030"/>
      <c r="O674" s="1030"/>
      <c r="P674" s="1030"/>
      <c r="Q674" s="1030"/>
      <c r="R674" s="1030"/>
      <c r="S674" s="1031"/>
      <c r="T674" s="952"/>
      <c r="U674" s="941"/>
      <c r="V674" s="941"/>
      <c r="W674" s="941"/>
    </row>
    <row r="675" spans="10:23" s="1011" customFormat="1" x14ac:dyDescent="0.2">
      <c r="J675" s="1030"/>
      <c r="K675" s="1030"/>
      <c r="L675" s="1030"/>
      <c r="M675" s="1030"/>
      <c r="N675" s="1030"/>
      <c r="O675" s="1030"/>
      <c r="P675" s="1030"/>
      <c r="Q675" s="1030"/>
      <c r="R675" s="1030"/>
      <c r="S675" s="1031"/>
      <c r="T675" s="952"/>
      <c r="U675" s="941"/>
      <c r="V675" s="941"/>
      <c r="W675" s="941"/>
    </row>
    <row r="676" spans="10:23" s="1011" customFormat="1" x14ac:dyDescent="0.2">
      <c r="J676" s="1030"/>
      <c r="K676" s="1030"/>
      <c r="L676" s="1030"/>
      <c r="M676" s="1030"/>
      <c r="N676" s="1030"/>
      <c r="O676" s="1030"/>
      <c r="P676" s="1030"/>
      <c r="Q676" s="1030"/>
      <c r="R676" s="1030"/>
      <c r="S676" s="1031"/>
      <c r="T676" s="952"/>
      <c r="U676" s="941"/>
      <c r="V676" s="941"/>
      <c r="W676" s="941"/>
    </row>
    <row r="677" spans="10:23" s="1011" customFormat="1" x14ac:dyDescent="0.2">
      <c r="J677" s="1030"/>
      <c r="K677" s="1030"/>
      <c r="L677" s="1030"/>
      <c r="M677" s="1030"/>
      <c r="N677" s="1030"/>
      <c r="O677" s="1030"/>
      <c r="P677" s="1030"/>
      <c r="Q677" s="1030"/>
      <c r="R677" s="1030"/>
      <c r="S677" s="1031"/>
      <c r="T677" s="952"/>
      <c r="U677" s="941"/>
      <c r="V677" s="941"/>
      <c r="W677" s="941"/>
    </row>
    <row r="678" spans="10:23" s="1011" customFormat="1" x14ac:dyDescent="0.2">
      <c r="J678" s="1030"/>
      <c r="K678" s="1030"/>
      <c r="L678" s="1030"/>
      <c r="M678" s="1030"/>
      <c r="N678" s="1030"/>
      <c r="O678" s="1030"/>
      <c r="P678" s="1030"/>
      <c r="Q678" s="1030"/>
      <c r="R678" s="1030"/>
      <c r="S678" s="1031"/>
      <c r="T678" s="952"/>
      <c r="U678" s="941"/>
      <c r="V678" s="941"/>
      <c r="W678" s="941"/>
    </row>
    <row r="679" spans="10:23" s="1011" customFormat="1" x14ac:dyDescent="0.2">
      <c r="J679" s="1030"/>
      <c r="K679" s="1030"/>
      <c r="L679" s="1030"/>
      <c r="M679" s="1030"/>
      <c r="N679" s="1030"/>
      <c r="O679" s="1030"/>
      <c r="P679" s="1030"/>
      <c r="Q679" s="1030"/>
      <c r="R679" s="1030"/>
      <c r="S679" s="1031"/>
      <c r="T679" s="952"/>
      <c r="U679" s="941"/>
      <c r="V679" s="941"/>
      <c r="W679" s="941"/>
    </row>
    <row r="680" spans="10:23" s="1011" customFormat="1" x14ac:dyDescent="0.2">
      <c r="J680" s="1030"/>
      <c r="K680" s="1030"/>
      <c r="L680" s="1030"/>
      <c r="M680" s="1030"/>
      <c r="N680" s="1030"/>
      <c r="O680" s="1030"/>
      <c r="P680" s="1030"/>
      <c r="Q680" s="1030"/>
      <c r="R680" s="1030"/>
      <c r="S680" s="1031"/>
      <c r="T680" s="952"/>
      <c r="U680" s="941"/>
      <c r="V680" s="941"/>
      <c r="W680" s="941"/>
    </row>
    <row r="681" spans="10:23" s="1011" customFormat="1" x14ac:dyDescent="0.2">
      <c r="J681" s="1030"/>
      <c r="K681" s="1030"/>
      <c r="L681" s="1030"/>
      <c r="M681" s="1030"/>
      <c r="N681" s="1030"/>
      <c r="O681" s="1030"/>
      <c r="P681" s="1030"/>
      <c r="Q681" s="1030"/>
      <c r="R681" s="1030"/>
      <c r="S681" s="1031"/>
      <c r="T681" s="952"/>
      <c r="U681" s="941"/>
      <c r="V681" s="941"/>
      <c r="W681" s="941"/>
    </row>
    <row r="682" spans="10:23" s="1011" customFormat="1" x14ac:dyDescent="0.2">
      <c r="J682" s="1030"/>
      <c r="K682" s="1030"/>
      <c r="L682" s="1030"/>
      <c r="M682" s="1030"/>
      <c r="N682" s="1030"/>
      <c r="O682" s="1030"/>
      <c r="P682" s="1030"/>
      <c r="Q682" s="1030"/>
      <c r="R682" s="1030"/>
      <c r="S682" s="1031"/>
      <c r="T682" s="952"/>
      <c r="U682" s="941"/>
      <c r="V682" s="941"/>
      <c r="W682" s="941"/>
    </row>
    <row r="683" spans="10:23" s="1011" customFormat="1" x14ac:dyDescent="0.2">
      <c r="J683" s="1030"/>
      <c r="K683" s="1030"/>
      <c r="L683" s="1030"/>
      <c r="M683" s="1030"/>
      <c r="N683" s="1030"/>
      <c r="O683" s="1030"/>
      <c r="P683" s="1030"/>
      <c r="Q683" s="1030"/>
      <c r="R683" s="1030"/>
      <c r="S683" s="1031"/>
      <c r="T683" s="952"/>
      <c r="U683" s="941"/>
      <c r="V683" s="941"/>
      <c r="W683" s="941"/>
    </row>
    <row r="684" spans="10:23" s="1011" customFormat="1" x14ac:dyDescent="0.2">
      <c r="J684" s="1030"/>
      <c r="K684" s="1030"/>
      <c r="L684" s="1030"/>
      <c r="M684" s="1030"/>
      <c r="N684" s="1030"/>
      <c r="O684" s="1030"/>
      <c r="P684" s="1030"/>
      <c r="Q684" s="1030"/>
      <c r="R684" s="1030"/>
      <c r="S684" s="1031"/>
      <c r="T684" s="952"/>
      <c r="U684" s="941"/>
      <c r="V684" s="941"/>
      <c r="W684" s="941"/>
    </row>
    <row r="685" spans="10:23" s="1011" customFormat="1" x14ac:dyDescent="0.2">
      <c r="J685" s="1030"/>
      <c r="K685" s="1030"/>
      <c r="L685" s="1030"/>
      <c r="M685" s="1030"/>
      <c r="N685" s="1030"/>
      <c r="O685" s="1030"/>
      <c r="P685" s="1030"/>
      <c r="Q685" s="1030"/>
      <c r="R685" s="1030"/>
      <c r="S685" s="1031"/>
      <c r="T685" s="952"/>
      <c r="U685" s="941"/>
      <c r="V685" s="941"/>
      <c r="W685" s="941"/>
    </row>
    <row r="686" spans="10:23" s="1011" customFormat="1" x14ac:dyDescent="0.2">
      <c r="J686" s="1030"/>
      <c r="K686" s="1030"/>
      <c r="L686" s="1030"/>
      <c r="M686" s="1030"/>
      <c r="N686" s="1030"/>
      <c r="O686" s="1030"/>
      <c r="P686" s="1030"/>
      <c r="Q686" s="1030"/>
      <c r="R686" s="1030"/>
      <c r="S686" s="1031"/>
      <c r="T686" s="952"/>
      <c r="U686" s="941"/>
      <c r="V686" s="941"/>
      <c r="W686" s="941"/>
    </row>
    <row r="687" spans="10:23" s="1011" customFormat="1" x14ac:dyDescent="0.2">
      <c r="J687" s="1030"/>
      <c r="K687" s="1030"/>
      <c r="L687" s="1030"/>
      <c r="M687" s="1030"/>
      <c r="N687" s="1030"/>
      <c r="O687" s="1030"/>
      <c r="P687" s="1030"/>
      <c r="Q687" s="1030"/>
      <c r="R687" s="1030"/>
      <c r="S687" s="1031"/>
      <c r="T687" s="952"/>
      <c r="U687" s="941"/>
      <c r="V687" s="941"/>
      <c r="W687" s="941"/>
    </row>
    <row r="688" spans="10:23" s="1011" customFormat="1" x14ac:dyDescent="0.2">
      <c r="J688" s="1030"/>
      <c r="K688" s="1030"/>
      <c r="L688" s="1030"/>
      <c r="M688" s="1030"/>
      <c r="N688" s="1030"/>
      <c r="O688" s="1030"/>
      <c r="P688" s="1030"/>
      <c r="Q688" s="1030"/>
      <c r="R688" s="1030"/>
      <c r="S688" s="1031"/>
      <c r="T688" s="952"/>
      <c r="U688" s="941"/>
      <c r="V688" s="941"/>
      <c r="W688" s="941"/>
    </row>
    <row r="689" spans="10:23" s="1011" customFormat="1" x14ac:dyDescent="0.2">
      <c r="J689" s="1030"/>
      <c r="K689" s="1030"/>
      <c r="L689" s="1030"/>
      <c r="M689" s="1030"/>
      <c r="N689" s="1030"/>
      <c r="O689" s="1030"/>
      <c r="P689" s="1030"/>
      <c r="Q689" s="1030"/>
      <c r="R689" s="1030"/>
      <c r="S689" s="1031"/>
      <c r="T689" s="952"/>
      <c r="U689" s="941"/>
      <c r="V689" s="941"/>
      <c r="W689" s="941"/>
    </row>
    <row r="690" spans="10:23" s="1011" customFormat="1" x14ac:dyDescent="0.2">
      <c r="J690" s="1030"/>
      <c r="K690" s="1030"/>
      <c r="L690" s="1030"/>
      <c r="M690" s="1030"/>
      <c r="N690" s="1030"/>
      <c r="O690" s="1030"/>
      <c r="P690" s="1030"/>
      <c r="Q690" s="1030"/>
      <c r="R690" s="1030"/>
      <c r="S690" s="1031"/>
      <c r="T690" s="952"/>
      <c r="U690" s="941"/>
      <c r="V690" s="941"/>
      <c r="W690" s="941"/>
    </row>
    <row r="691" spans="10:23" s="1011" customFormat="1" x14ac:dyDescent="0.2">
      <c r="J691" s="1030"/>
      <c r="K691" s="1030"/>
      <c r="L691" s="1030"/>
      <c r="M691" s="1030"/>
      <c r="N691" s="1030"/>
      <c r="O691" s="1030"/>
      <c r="P691" s="1030"/>
      <c r="Q691" s="1030"/>
      <c r="R691" s="1030"/>
      <c r="S691" s="1031"/>
      <c r="T691" s="952"/>
      <c r="U691" s="941"/>
      <c r="V691" s="941"/>
      <c r="W691" s="941"/>
    </row>
    <row r="692" spans="10:23" s="1011" customFormat="1" x14ac:dyDescent="0.2">
      <c r="J692" s="1030"/>
      <c r="K692" s="1030"/>
      <c r="L692" s="1030"/>
      <c r="M692" s="1030"/>
      <c r="N692" s="1030"/>
      <c r="O692" s="1030"/>
      <c r="P692" s="1030"/>
      <c r="Q692" s="1030"/>
      <c r="R692" s="1030"/>
      <c r="S692" s="1031"/>
      <c r="T692" s="952"/>
      <c r="U692" s="941"/>
      <c r="V692" s="941"/>
      <c r="W692" s="941"/>
    </row>
    <row r="693" spans="10:23" s="1011" customFormat="1" x14ac:dyDescent="0.2">
      <c r="J693" s="1030"/>
      <c r="K693" s="1030"/>
      <c r="L693" s="1030"/>
      <c r="M693" s="1030"/>
      <c r="N693" s="1030"/>
      <c r="O693" s="1030"/>
      <c r="P693" s="1030"/>
      <c r="Q693" s="1030"/>
      <c r="R693" s="1030"/>
      <c r="S693" s="1031"/>
      <c r="T693" s="952"/>
      <c r="U693" s="941"/>
      <c r="V693" s="941"/>
      <c r="W693" s="941"/>
    </row>
    <row r="694" spans="10:23" s="1011" customFormat="1" x14ac:dyDescent="0.2">
      <c r="J694" s="1030"/>
      <c r="K694" s="1030"/>
      <c r="L694" s="1030"/>
      <c r="M694" s="1030"/>
      <c r="N694" s="1030"/>
      <c r="O694" s="1030"/>
      <c r="P694" s="1030"/>
      <c r="Q694" s="1030"/>
      <c r="R694" s="1030"/>
      <c r="S694" s="1031"/>
      <c r="T694" s="952"/>
      <c r="U694" s="941"/>
      <c r="V694" s="941"/>
      <c r="W694" s="941"/>
    </row>
    <row r="695" spans="10:23" s="1011" customFormat="1" x14ac:dyDescent="0.2">
      <c r="J695" s="1030"/>
      <c r="K695" s="1030"/>
      <c r="L695" s="1030"/>
      <c r="M695" s="1030"/>
      <c r="N695" s="1030"/>
      <c r="O695" s="1030"/>
      <c r="P695" s="1030"/>
      <c r="Q695" s="1030"/>
      <c r="R695" s="1030"/>
      <c r="S695" s="1031"/>
      <c r="T695" s="952"/>
      <c r="U695" s="941"/>
      <c r="V695" s="941"/>
      <c r="W695" s="941"/>
    </row>
    <row r="696" spans="10:23" s="1011" customFormat="1" x14ac:dyDescent="0.2">
      <c r="J696" s="1030"/>
      <c r="K696" s="1030"/>
      <c r="L696" s="1030"/>
      <c r="M696" s="1030"/>
      <c r="N696" s="1030"/>
      <c r="O696" s="1030"/>
      <c r="P696" s="1030"/>
      <c r="Q696" s="1030"/>
      <c r="R696" s="1030"/>
      <c r="S696" s="1031"/>
      <c r="T696" s="952"/>
      <c r="U696" s="941"/>
      <c r="V696" s="941"/>
      <c r="W696" s="941"/>
    </row>
    <row r="697" spans="10:23" s="1011" customFormat="1" x14ac:dyDescent="0.2">
      <c r="J697" s="1030"/>
      <c r="K697" s="1030"/>
      <c r="L697" s="1030"/>
      <c r="M697" s="1030"/>
      <c r="N697" s="1030"/>
      <c r="O697" s="1030"/>
      <c r="P697" s="1030"/>
      <c r="Q697" s="1030"/>
      <c r="R697" s="1030"/>
      <c r="S697" s="1031"/>
      <c r="T697" s="952"/>
      <c r="U697" s="941"/>
      <c r="V697" s="941"/>
      <c r="W697" s="941"/>
    </row>
    <row r="698" spans="10:23" s="1011" customFormat="1" x14ac:dyDescent="0.2">
      <c r="J698" s="1030"/>
      <c r="K698" s="1030"/>
      <c r="L698" s="1030"/>
      <c r="M698" s="1030"/>
      <c r="N698" s="1030"/>
      <c r="O698" s="1030"/>
      <c r="P698" s="1030"/>
      <c r="Q698" s="1030"/>
      <c r="R698" s="1030"/>
      <c r="S698" s="1031"/>
      <c r="T698" s="952"/>
      <c r="U698" s="941"/>
      <c r="V698" s="941"/>
      <c r="W698" s="941"/>
    </row>
    <row r="699" spans="10:23" s="1011" customFormat="1" x14ac:dyDescent="0.2">
      <c r="J699" s="1030"/>
      <c r="K699" s="1030"/>
      <c r="L699" s="1030"/>
      <c r="M699" s="1030"/>
      <c r="N699" s="1030"/>
      <c r="O699" s="1030"/>
      <c r="P699" s="1030"/>
      <c r="Q699" s="1030"/>
      <c r="R699" s="1030"/>
      <c r="S699" s="1031"/>
      <c r="T699" s="952"/>
      <c r="U699" s="941"/>
      <c r="V699" s="941"/>
      <c r="W699" s="941"/>
    </row>
    <row r="700" spans="10:23" s="1011" customFormat="1" x14ac:dyDescent="0.2">
      <c r="J700" s="1030"/>
      <c r="K700" s="1030"/>
      <c r="L700" s="1030"/>
      <c r="M700" s="1030"/>
      <c r="N700" s="1030"/>
      <c r="O700" s="1030"/>
      <c r="P700" s="1030"/>
      <c r="Q700" s="1030"/>
      <c r="R700" s="1030"/>
      <c r="S700" s="1031"/>
      <c r="T700" s="952"/>
      <c r="U700" s="941"/>
      <c r="V700" s="941"/>
      <c r="W700" s="941"/>
    </row>
    <row r="701" spans="10:23" s="1011" customFormat="1" x14ac:dyDescent="0.2">
      <c r="J701" s="1030"/>
      <c r="K701" s="1030"/>
      <c r="L701" s="1030"/>
      <c r="M701" s="1030"/>
      <c r="N701" s="1030"/>
      <c r="O701" s="1030"/>
      <c r="P701" s="1030"/>
      <c r="Q701" s="1030"/>
      <c r="R701" s="1030"/>
      <c r="S701" s="1031"/>
      <c r="T701" s="952"/>
      <c r="U701" s="941"/>
      <c r="V701" s="941"/>
      <c r="W701" s="941"/>
    </row>
    <row r="702" spans="10:23" s="1011" customFormat="1" x14ac:dyDescent="0.2">
      <c r="J702" s="1030"/>
      <c r="K702" s="1030"/>
      <c r="L702" s="1030"/>
      <c r="M702" s="1030"/>
      <c r="N702" s="1030"/>
      <c r="O702" s="1030"/>
      <c r="P702" s="1030"/>
      <c r="Q702" s="1030"/>
      <c r="R702" s="1030"/>
      <c r="S702" s="1031"/>
      <c r="T702" s="952"/>
      <c r="U702" s="941"/>
      <c r="V702" s="941"/>
      <c r="W702" s="941"/>
    </row>
    <row r="703" spans="10:23" s="1011" customFormat="1" x14ac:dyDescent="0.2">
      <c r="J703" s="1030"/>
      <c r="K703" s="1030"/>
      <c r="L703" s="1030"/>
      <c r="M703" s="1030"/>
      <c r="N703" s="1030"/>
      <c r="O703" s="1030"/>
      <c r="P703" s="1030"/>
      <c r="Q703" s="1030"/>
      <c r="R703" s="1030"/>
      <c r="S703" s="1031"/>
      <c r="T703" s="952"/>
      <c r="U703" s="941"/>
      <c r="V703" s="941"/>
      <c r="W703" s="941"/>
    </row>
    <row r="704" spans="10:23" s="1011" customFormat="1" x14ac:dyDescent="0.2">
      <c r="J704" s="1030"/>
      <c r="K704" s="1030"/>
      <c r="L704" s="1030"/>
      <c r="M704" s="1030"/>
      <c r="N704" s="1030"/>
      <c r="O704" s="1030"/>
      <c r="P704" s="1030"/>
      <c r="Q704" s="1030"/>
      <c r="R704" s="1030"/>
      <c r="S704" s="1031"/>
      <c r="T704" s="952"/>
      <c r="U704" s="941"/>
      <c r="V704" s="941"/>
      <c r="W704" s="941"/>
    </row>
    <row r="705" spans="10:23" s="1011" customFormat="1" x14ac:dyDescent="0.2">
      <c r="J705" s="1030"/>
      <c r="K705" s="1030"/>
      <c r="L705" s="1030"/>
      <c r="M705" s="1030"/>
      <c r="N705" s="1030"/>
      <c r="O705" s="1030"/>
      <c r="P705" s="1030"/>
      <c r="Q705" s="1030"/>
      <c r="R705" s="1030"/>
      <c r="S705" s="1031"/>
      <c r="T705" s="952"/>
      <c r="U705" s="941"/>
      <c r="V705" s="941"/>
      <c r="W705" s="941"/>
    </row>
    <row r="706" spans="10:23" s="1011" customFormat="1" x14ac:dyDescent="0.2">
      <c r="J706" s="1030"/>
      <c r="K706" s="1030"/>
      <c r="L706" s="1030"/>
      <c r="M706" s="1030"/>
      <c r="N706" s="1030"/>
      <c r="O706" s="1030"/>
      <c r="P706" s="1030"/>
      <c r="Q706" s="1030"/>
      <c r="R706" s="1030"/>
      <c r="S706" s="1031"/>
      <c r="T706" s="952"/>
      <c r="U706" s="941"/>
      <c r="V706" s="941"/>
      <c r="W706" s="941"/>
    </row>
    <row r="707" spans="10:23" s="1011" customFormat="1" x14ac:dyDescent="0.2">
      <c r="J707" s="1030"/>
      <c r="K707" s="1030"/>
      <c r="L707" s="1030"/>
      <c r="M707" s="1030"/>
      <c r="N707" s="1030"/>
      <c r="O707" s="1030"/>
      <c r="P707" s="1030"/>
      <c r="Q707" s="1030"/>
      <c r="R707" s="1030"/>
      <c r="S707" s="1031"/>
      <c r="T707" s="952"/>
      <c r="U707" s="941"/>
      <c r="V707" s="941"/>
      <c r="W707" s="941"/>
    </row>
    <row r="708" spans="10:23" s="1011" customFormat="1" x14ac:dyDescent="0.2">
      <c r="J708" s="1030"/>
      <c r="K708" s="1030"/>
      <c r="L708" s="1030"/>
      <c r="M708" s="1030"/>
      <c r="N708" s="1030"/>
      <c r="O708" s="1030"/>
      <c r="P708" s="1030"/>
      <c r="Q708" s="1030"/>
      <c r="R708" s="1030"/>
      <c r="S708" s="1031"/>
      <c r="T708" s="952"/>
      <c r="U708" s="941"/>
      <c r="V708" s="941"/>
      <c r="W708" s="941"/>
    </row>
    <row r="709" spans="10:23" s="1011" customFormat="1" x14ac:dyDescent="0.2">
      <c r="J709" s="1030"/>
      <c r="K709" s="1030"/>
      <c r="L709" s="1030"/>
      <c r="M709" s="1030"/>
      <c r="N709" s="1030"/>
      <c r="O709" s="1030"/>
      <c r="P709" s="1030"/>
      <c r="Q709" s="1030"/>
      <c r="R709" s="1030"/>
      <c r="S709" s="1031"/>
      <c r="T709" s="952"/>
      <c r="U709" s="941"/>
      <c r="V709" s="941"/>
      <c r="W709" s="941"/>
    </row>
    <row r="710" spans="10:23" s="1011" customFormat="1" x14ac:dyDescent="0.2">
      <c r="J710" s="1030"/>
      <c r="K710" s="1030"/>
      <c r="L710" s="1030"/>
      <c r="M710" s="1030"/>
      <c r="N710" s="1030"/>
      <c r="O710" s="1030"/>
      <c r="P710" s="1030"/>
      <c r="Q710" s="1030"/>
      <c r="R710" s="1030"/>
      <c r="S710" s="1031"/>
      <c r="T710" s="952"/>
      <c r="U710" s="941"/>
      <c r="V710" s="941"/>
      <c r="W710" s="941"/>
    </row>
    <row r="711" spans="10:23" s="1011" customFormat="1" x14ac:dyDescent="0.2">
      <c r="J711" s="1030"/>
      <c r="K711" s="1030"/>
      <c r="L711" s="1030"/>
      <c r="M711" s="1030"/>
      <c r="N711" s="1030"/>
      <c r="O711" s="1030"/>
      <c r="P711" s="1030"/>
      <c r="Q711" s="1030"/>
      <c r="R711" s="1030"/>
      <c r="S711" s="1031"/>
      <c r="T711" s="952"/>
      <c r="U711" s="941"/>
      <c r="V711" s="941"/>
      <c r="W711" s="941"/>
    </row>
    <row r="712" spans="10:23" s="1011" customFormat="1" x14ac:dyDescent="0.2">
      <c r="J712" s="1030"/>
      <c r="K712" s="1030"/>
      <c r="L712" s="1030"/>
      <c r="M712" s="1030"/>
      <c r="N712" s="1030"/>
      <c r="O712" s="1030"/>
      <c r="P712" s="1030"/>
      <c r="Q712" s="1030"/>
      <c r="R712" s="1030"/>
      <c r="S712" s="1031"/>
      <c r="T712" s="952"/>
      <c r="U712" s="941"/>
      <c r="V712" s="941"/>
      <c r="W712" s="941"/>
    </row>
    <row r="713" spans="10:23" s="1011" customFormat="1" x14ac:dyDescent="0.2">
      <c r="J713" s="1030"/>
      <c r="K713" s="1030"/>
      <c r="L713" s="1030"/>
      <c r="M713" s="1030"/>
      <c r="N713" s="1030"/>
      <c r="O713" s="1030"/>
      <c r="P713" s="1030"/>
      <c r="Q713" s="1030"/>
      <c r="R713" s="1030"/>
      <c r="S713" s="1031"/>
      <c r="T713" s="952"/>
      <c r="U713" s="941"/>
      <c r="V713" s="941"/>
      <c r="W713" s="941"/>
    </row>
    <row r="714" spans="10:23" s="1011" customFormat="1" x14ac:dyDescent="0.2">
      <c r="J714" s="1030"/>
      <c r="K714" s="1030"/>
      <c r="L714" s="1030"/>
      <c r="M714" s="1030"/>
      <c r="N714" s="1030"/>
      <c r="O714" s="1030"/>
      <c r="P714" s="1030"/>
      <c r="Q714" s="1030"/>
      <c r="R714" s="1030"/>
      <c r="S714" s="1031"/>
      <c r="T714" s="952"/>
      <c r="U714" s="941"/>
      <c r="V714" s="941"/>
      <c r="W714" s="941"/>
    </row>
    <row r="715" spans="10:23" s="1011" customFormat="1" x14ac:dyDescent="0.2">
      <c r="J715" s="1030"/>
      <c r="K715" s="1030"/>
      <c r="L715" s="1030"/>
      <c r="M715" s="1030"/>
      <c r="N715" s="1030"/>
      <c r="O715" s="1030"/>
      <c r="P715" s="1030"/>
      <c r="Q715" s="1030"/>
      <c r="R715" s="1030"/>
      <c r="S715" s="1031"/>
      <c r="T715" s="952"/>
      <c r="U715" s="941"/>
      <c r="V715" s="941"/>
      <c r="W715" s="941"/>
    </row>
    <row r="716" spans="10:23" s="1011" customFormat="1" x14ac:dyDescent="0.2">
      <c r="J716" s="1030"/>
      <c r="K716" s="1030"/>
      <c r="L716" s="1030"/>
      <c r="M716" s="1030"/>
      <c r="N716" s="1030"/>
      <c r="O716" s="1030"/>
      <c r="P716" s="1030"/>
      <c r="Q716" s="1030"/>
      <c r="R716" s="1030"/>
      <c r="S716" s="1031"/>
      <c r="T716" s="952"/>
      <c r="U716" s="941"/>
      <c r="V716" s="941"/>
      <c r="W716" s="941"/>
    </row>
    <row r="717" spans="10:23" s="1011" customFormat="1" x14ac:dyDescent="0.2">
      <c r="J717" s="1030"/>
      <c r="K717" s="1030"/>
      <c r="L717" s="1030"/>
      <c r="M717" s="1030"/>
      <c r="N717" s="1030"/>
      <c r="O717" s="1030"/>
      <c r="P717" s="1030"/>
      <c r="Q717" s="1030"/>
      <c r="R717" s="1030"/>
      <c r="S717" s="1031"/>
      <c r="T717" s="952"/>
      <c r="U717" s="941"/>
      <c r="V717" s="941"/>
      <c r="W717" s="941"/>
    </row>
    <row r="718" spans="10:23" s="1011" customFormat="1" x14ac:dyDescent="0.2">
      <c r="J718" s="1030"/>
      <c r="K718" s="1030"/>
      <c r="L718" s="1030"/>
      <c r="M718" s="1030"/>
      <c r="N718" s="1030"/>
      <c r="O718" s="1030"/>
      <c r="P718" s="1030"/>
      <c r="Q718" s="1030"/>
      <c r="R718" s="1030"/>
      <c r="S718" s="1031"/>
      <c r="T718" s="952"/>
      <c r="U718" s="941"/>
      <c r="V718" s="941"/>
      <c r="W718" s="941"/>
    </row>
    <row r="719" spans="10:23" s="1011" customFormat="1" x14ac:dyDescent="0.2">
      <c r="J719" s="1030"/>
      <c r="K719" s="1030"/>
      <c r="L719" s="1030"/>
      <c r="M719" s="1030"/>
      <c r="N719" s="1030"/>
      <c r="O719" s="1030"/>
      <c r="P719" s="1030"/>
      <c r="Q719" s="1030"/>
      <c r="R719" s="1030"/>
      <c r="S719" s="1031"/>
      <c r="T719" s="952"/>
      <c r="U719" s="941"/>
      <c r="V719" s="941"/>
      <c r="W719" s="941"/>
    </row>
    <row r="720" spans="10:23" s="1011" customFormat="1" x14ac:dyDescent="0.2">
      <c r="J720" s="1030"/>
      <c r="K720" s="1030"/>
      <c r="L720" s="1030"/>
      <c r="M720" s="1030"/>
      <c r="N720" s="1030"/>
      <c r="O720" s="1030"/>
      <c r="P720" s="1030"/>
      <c r="Q720" s="1030"/>
      <c r="R720" s="1030"/>
      <c r="S720" s="1031"/>
      <c r="T720" s="952"/>
      <c r="U720" s="941"/>
      <c r="V720" s="941"/>
      <c r="W720" s="941"/>
    </row>
    <row r="721" spans="10:23" s="1011" customFormat="1" x14ac:dyDescent="0.2">
      <c r="J721" s="1030"/>
      <c r="K721" s="1030"/>
      <c r="L721" s="1030"/>
      <c r="M721" s="1030"/>
      <c r="N721" s="1030"/>
      <c r="O721" s="1030"/>
      <c r="P721" s="1030"/>
      <c r="Q721" s="1030"/>
      <c r="R721" s="1030"/>
      <c r="S721" s="1031"/>
      <c r="T721" s="952"/>
      <c r="U721" s="941"/>
      <c r="V721" s="941"/>
      <c r="W721" s="941"/>
    </row>
    <row r="722" spans="10:23" s="1011" customFormat="1" x14ac:dyDescent="0.2">
      <c r="J722" s="1030"/>
      <c r="K722" s="1030"/>
      <c r="L722" s="1030"/>
      <c r="M722" s="1030"/>
      <c r="N722" s="1030"/>
      <c r="O722" s="1030"/>
      <c r="P722" s="1030"/>
      <c r="Q722" s="1030"/>
      <c r="R722" s="1030"/>
      <c r="S722" s="1031"/>
      <c r="T722" s="952"/>
      <c r="U722" s="941"/>
      <c r="V722" s="941"/>
      <c r="W722" s="941"/>
    </row>
    <row r="723" spans="10:23" s="1011" customFormat="1" x14ac:dyDescent="0.2">
      <c r="J723" s="1030"/>
      <c r="K723" s="1030"/>
      <c r="L723" s="1030"/>
      <c r="M723" s="1030"/>
      <c r="N723" s="1030"/>
      <c r="O723" s="1030"/>
      <c r="P723" s="1030"/>
      <c r="Q723" s="1030"/>
      <c r="R723" s="1030"/>
      <c r="S723" s="1031"/>
      <c r="T723" s="952"/>
      <c r="U723" s="941"/>
      <c r="V723" s="941"/>
      <c r="W723" s="941"/>
    </row>
    <row r="724" spans="10:23" s="1011" customFormat="1" x14ac:dyDescent="0.2">
      <c r="J724" s="1030"/>
      <c r="K724" s="1030"/>
      <c r="L724" s="1030"/>
      <c r="M724" s="1030"/>
      <c r="N724" s="1030"/>
      <c r="O724" s="1030"/>
      <c r="P724" s="1030"/>
      <c r="Q724" s="1030"/>
      <c r="R724" s="1030"/>
      <c r="S724" s="1031"/>
      <c r="T724" s="952"/>
      <c r="U724" s="941"/>
      <c r="V724" s="941"/>
      <c r="W724" s="941"/>
    </row>
    <row r="725" spans="10:23" s="1011" customFormat="1" x14ac:dyDescent="0.2">
      <c r="J725" s="1030"/>
      <c r="K725" s="1030"/>
      <c r="L725" s="1030"/>
      <c r="M725" s="1030"/>
      <c r="N725" s="1030"/>
      <c r="O725" s="1030"/>
      <c r="P725" s="1030"/>
      <c r="Q725" s="1030"/>
      <c r="R725" s="1030"/>
      <c r="S725" s="1031"/>
      <c r="T725" s="952"/>
      <c r="U725" s="941"/>
      <c r="V725" s="941"/>
      <c r="W725" s="941"/>
    </row>
    <row r="726" spans="10:23" s="1011" customFormat="1" x14ac:dyDescent="0.2">
      <c r="J726" s="1030"/>
      <c r="K726" s="1030"/>
      <c r="L726" s="1030"/>
      <c r="M726" s="1030"/>
      <c r="N726" s="1030"/>
      <c r="O726" s="1030"/>
      <c r="P726" s="1030"/>
      <c r="Q726" s="1030"/>
      <c r="R726" s="1030"/>
      <c r="S726" s="1031"/>
      <c r="T726" s="952"/>
      <c r="U726" s="941"/>
      <c r="V726" s="941"/>
      <c r="W726" s="941"/>
    </row>
    <row r="727" spans="10:23" s="1011" customFormat="1" x14ac:dyDescent="0.2">
      <c r="J727" s="1030"/>
      <c r="K727" s="1030"/>
      <c r="L727" s="1030"/>
      <c r="M727" s="1030"/>
      <c r="N727" s="1030"/>
      <c r="O727" s="1030"/>
      <c r="P727" s="1030"/>
      <c r="Q727" s="1030"/>
      <c r="R727" s="1030"/>
      <c r="S727" s="1031"/>
      <c r="T727" s="952"/>
      <c r="U727" s="941"/>
      <c r="V727" s="941"/>
      <c r="W727" s="941"/>
    </row>
    <row r="728" spans="10:23" s="1011" customFormat="1" x14ac:dyDescent="0.2">
      <c r="J728" s="1030"/>
      <c r="K728" s="1030"/>
      <c r="L728" s="1030"/>
      <c r="M728" s="1030"/>
      <c r="N728" s="1030"/>
      <c r="O728" s="1030"/>
      <c r="P728" s="1030"/>
      <c r="Q728" s="1030"/>
      <c r="R728" s="1030"/>
      <c r="S728" s="1031"/>
      <c r="T728" s="952"/>
      <c r="U728" s="941"/>
      <c r="V728" s="941"/>
      <c r="W728" s="941"/>
    </row>
    <row r="729" spans="10:23" s="1011" customFormat="1" x14ac:dyDescent="0.2">
      <c r="J729" s="1030"/>
      <c r="K729" s="1030"/>
      <c r="L729" s="1030"/>
      <c r="M729" s="1030"/>
      <c r="N729" s="1030"/>
      <c r="O729" s="1030"/>
      <c r="P729" s="1030"/>
      <c r="Q729" s="1030"/>
      <c r="R729" s="1030"/>
      <c r="S729" s="1031"/>
      <c r="T729" s="952"/>
      <c r="U729" s="941"/>
      <c r="V729" s="941"/>
      <c r="W729" s="941"/>
    </row>
    <row r="730" spans="10:23" s="1011" customFormat="1" x14ac:dyDescent="0.2">
      <c r="J730" s="1030"/>
      <c r="K730" s="1030"/>
      <c r="L730" s="1030"/>
      <c r="M730" s="1030"/>
      <c r="N730" s="1030"/>
      <c r="O730" s="1030"/>
      <c r="P730" s="1030"/>
      <c r="Q730" s="1030"/>
      <c r="R730" s="1030"/>
      <c r="S730" s="1031"/>
      <c r="T730" s="952"/>
      <c r="U730" s="941"/>
      <c r="V730" s="941"/>
      <c r="W730" s="941"/>
    </row>
    <row r="731" spans="10:23" s="1011" customFormat="1" x14ac:dyDescent="0.2">
      <c r="J731" s="1030"/>
      <c r="K731" s="1030"/>
      <c r="L731" s="1030"/>
      <c r="M731" s="1030"/>
      <c r="N731" s="1030"/>
      <c r="O731" s="1030"/>
      <c r="P731" s="1030"/>
      <c r="Q731" s="1030"/>
      <c r="R731" s="1030"/>
      <c r="S731" s="1031"/>
      <c r="T731" s="952"/>
      <c r="U731" s="941"/>
      <c r="V731" s="941"/>
      <c r="W731" s="941"/>
    </row>
    <row r="732" spans="10:23" s="1011" customFormat="1" x14ac:dyDescent="0.2">
      <c r="J732" s="1030"/>
      <c r="K732" s="1030"/>
      <c r="L732" s="1030"/>
      <c r="M732" s="1030"/>
      <c r="N732" s="1030"/>
      <c r="O732" s="1030"/>
      <c r="P732" s="1030"/>
      <c r="Q732" s="1030"/>
      <c r="R732" s="1030"/>
      <c r="S732" s="1031"/>
      <c r="T732" s="952"/>
      <c r="U732" s="941"/>
      <c r="V732" s="941"/>
      <c r="W732" s="941"/>
    </row>
    <row r="733" spans="10:23" s="1011" customFormat="1" x14ac:dyDescent="0.2">
      <c r="J733" s="1030"/>
      <c r="K733" s="1030"/>
      <c r="L733" s="1030"/>
      <c r="M733" s="1030"/>
      <c r="N733" s="1030"/>
      <c r="O733" s="1030"/>
      <c r="P733" s="1030"/>
      <c r="Q733" s="1030"/>
      <c r="R733" s="1030"/>
      <c r="S733" s="1031"/>
      <c r="T733" s="952"/>
      <c r="U733" s="941"/>
      <c r="V733" s="941"/>
      <c r="W733" s="941"/>
    </row>
    <row r="734" spans="10:23" s="1011" customFormat="1" x14ac:dyDescent="0.2">
      <c r="J734" s="1030"/>
      <c r="K734" s="1030"/>
      <c r="L734" s="1030"/>
      <c r="M734" s="1030"/>
      <c r="N734" s="1030"/>
      <c r="O734" s="1030"/>
      <c r="P734" s="1030"/>
      <c r="Q734" s="1030"/>
      <c r="R734" s="1030"/>
      <c r="S734" s="1031"/>
      <c r="T734" s="952"/>
      <c r="U734" s="941"/>
      <c r="V734" s="941"/>
      <c r="W734" s="941"/>
    </row>
    <row r="735" spans="10:23" s="1011" customFormat="1" x14ac:dyDescent="0.2">
      <c r="J735" s="1030"/>
      <c r="K735" s="1030"/>
      <c r="L735" s="1030"/>
      <c r="M735" s="1030"/>
      <c r="N735" s="1030"/>
      <c r="O735" s="1030"/>
      <c r="P735" s="1030"/>
      <c r="Q735" s="1030"/>
      <c r="R735" s="1030"/>
      <c r="S735" s="1031"/>
      <c r="T735" s="952"/>
      <c r="U735" s="941"/>
      <c r="V735" s="941"/>
      <c r="W735" s="941"/>
    </row>
    <row r="736" spans="10:23" s="1011" customFormat="1" x14ac:dyDescent="0.2">
      <c r="J736" s="1030"/>
      <c r="K736" s="1030"/>
      <c r="L736" s="1030"/>
      <c r="M736" s="1030"/>
      <c r="N736" s="1030"/>
      <c r="O736" s="1030"/>
      <c r="P736" s="1030"/>
      <c r="Q736" s="1030"/>
      <c r="R736" s="1030"/>
      <c r="S736" s="1031"/>
      <c r="T736" s="952"/>
      <c r="U736" s="941"/>
      <c r="V736" s="941"/>
      <c r="W736" s="941"/>
    </row>
    <row r="737" spans="10:23" s="1011" customFormat="1" x14ac:dyDescent="0.2">
      <c r="J737" s="1030"/>
      <c r="K737" s="1030"/>
      <c r="L737" s="1030"/>
      <c r="M737" s="1030"/>
      <c r="N737" s="1030"/>
      <c r="O737" s="1030"/>
      <c r="P737" s="1030"/>
      <c r="Q737" s="1030"/>
      <c r="R737" s="1030"/>
      <c r="S737" s="1031"/>
      <c r="T737" s="952"/>
      <c r="U737" s="941"/>
      <c r="V737" s="941"/>
      <c r="W737" s="941"/>
    </row>
    <row r="738" spans="10:23" s="1011" customFormat="1" x14ac:dyDescent="0.2">
      <c r="J738" s="1030"/>
      <c r="K738" s="1030"/>
      <c r="L738" s="1030"/>
      <c r="M738" s="1030"/>
      <c r="N738" s="1030"/>
      <c r="O738" s="1030"/>
      <c r="P738" s="1030"/>
      <c r="Q738" s="1030"/>
      <c r="R738" s="1030"/>
      <c r="S738" s="1031"/>
      <c r="T738" s="952"/>
      <c r="U738" s="941"/>
      <c r="V738" s="941"/>
      <c r="W738" s="941"/>
    </row>
    <row r="739" spans="10:23" s="1011" customFormat="1" x14ac:dyDescent="0.2">
      <c r="J739" s="1030"/>
      <c r="K739" s="1030"/>
      <c r="L739" s="1030"/>
      <c r="M739" s="1030"/>
      <c r="N739" s="1030"/>
      <c r="O739" s="1030"/>
      <c r="P739" s="1030"/>
      <c r="Q739" s="1030"/>
      <c r="R739" s="1030"/>
      <c r="S739" s="1031"/>
      <c r="T739" s="952"/>
      <c r="U739" s="941"/>
      <c r="V739" s="941"/>
      <c r="W739" s="941"/>
    </row>
    <row r="740" spans="10:23" s="1011" customFormat="1" x14ac:dyDescent="0.2">
      <c r="J740" s="1030"/>
      <c r="K740" s="1030"/>
      <c r="L740" s="1030"/>
      <c r="M740" s="1030"/>
      <c r="N740" s="1030"/>
      <c r="O740" s="1030"/>
      <c r="P740" s="1030"/>
      <c r="Q740" s="1030"/>
      <c r="R740" s="1030"/>
      <c r="S740" s="1031"/>
      <c r="T740" s="952"/>
      <c r="U740" s="941"/>
      <c r="V740" s="941"/>
      <c r="W740" s="941"/>
    </row>
    <row r="741" spans="10:23" s="1011" customFormat="1" x14ac:dyDescent="0.2">
      <c r="J741" s="1030"/>
      <c r="K741" s="1030"/>
      <c r="L741" s="1030"/>
      <c r="M741" s="1030"/>
      <c r="N741" s="1030"/>
      <c r="O741" s="1030"/>
      <c r="P741" s="1030"/>
      <c r="Q741" s="1030"/>
      <c r="R741" s="1030"/>
      <c r="S741" s="1031"/>
      <c r="T741" s="952"/>
      <c r="U741" s="941"/>
      <c r="V741" s="941"/>
      <c r="W741" s="941"/>
    </row>
    <row r="742" spans="10:23" s="1011" customFormat="1" x14ac:dyDescent="0.2">
      <c r="J742" s="1030"/>
      <c r="K742" s="1030"/>
      <c r="L742" s="1030"/>
      <c r="M742" s="1030"/>
      <c r="N742" s="1030"/>
      <c r="O742" s="1030"/>
      <c r="P742" s="1030"/>
      <c r="Q742" s="1030"/>
      <c r="R742" s="1030"/>
      <c r="S742" s="1031"/>
      <c r="T742" s="952"/>
      <c r="U742" s="941"/>
      <c r="V742" s="941"/>
      <c r="W742" s="941"/>
    </row>
    <row r="743" spans="10:23" s="1011" customFormat="1" x14ac:dyDescent="0.2">
      <c r="J743" s="1030"/>
      <c r="K743" s="1030"/>
      <c r="L743" s="1030"/>
      <c r="M743" s="1030"/>
      <c r="N743" s="1030"/>
      <c r="O743" s="1030"/>
      <c r="P743" s="1030"/>
      <c r="Q743" s="1030"/>
      <c r="R743" s="1030"/>
      <c r="S743" s="1031"/>
      <c r="T743" s="952"/>
      <c r="U743" s="941"/>
      <c r="V743" s="941"/>
      <c r="W743" s="941"/>
    </row>
    <row r="744" spans="10:23" s="1011" customFormat="1" x14ac:dyDescent="0.2">
      <c r="J744" s="1030"/>
      <c r="K744" s="1030"/>
      <c r="L744" s="1030"/>
      <c r="M744" s="1030"/>
      <c r="N744" s="1030"/>
      <c r="O744" s="1030"/>
      <c r="P744" s="1030"/>
      <c r="Q744" s="1030"/>
      <c r="R744" s="1030"/>
      <c r="S744" s="1031"/>
      <c r="T744" s="952"/>
      <c r="U744" s="941"/>
      <c r="V744" s="941"/>
      <c r="W744" s="941"/>
    </row>
    <row r="745" spans="10:23" s="1011" customFormat="1" x14ac:dyDescent="0.2">
      <c r="J745" s="1030"/>
      <c r="K745" s="1030"/>
      <c r="L745" s="1030"/>
      <c r="M745" s="1030"/>
      <c r="N745" s="1030"/>
      <c r="O745" s="1030"/>
      <c r="P745" s="1030"/>
      <c r="Q745" s="1030"/>
      <c r="R745" s="1030"/>
      <c r="S745" s="1031"/>
      <c r="T745" s="952"/>
      <c r="U745" s="941"/>
      <c r="V745" s="941"/>
      <c r="W745" s="941"/>
    </row>
    <row r="746" spans="10:23" s="1011" customFormat="1" x14ac:dyDescent="0.2">
      <c r="J746" s="1030"/>
      <c r="K746" s="1030"/>
      <c r="L746" s="1030"/>
      <c r="M746" s="1030"/>
      <c r="N746" s="1030"/>
      <c r="O746" s="1030"/>
      <c r="P746" s="1030"/>
      <c r="Q746" s="1030"/>
      <c r="R746" s="1030"/>
      <c r="S746" s="1031"/>
      <c r="T746" s="952"/>
      <c r="U746" s="941"/>
      <c r="V746" s="941"/>
      <c r="W746" s="941"/>
    </row>
    <row r="747" spans="10:23" s="1011" customFormat="1" x14ac:dyDescent="0.2">
      <c r="J747" s="1030"/>
      <c r="K747" s="1030"/>
      <c r="L747" s="1030"/>
      <c r="M747" s="1030"/>
      <c r="N747" s="1030"/>
      <c r="O747" s="1030"/>
      <c r="P747" s="1030"/>
      <c r="Q747" s="1030"/>
      <c r="R747" s="1030"/>
      <c r="S747" s="1031"/>
      <c r="T747" s="952"/>
      <c r="U747" s="941"/>
      <c r="V747" s="941"/>
      <c r="W747" s="941"/>
    </row>
    <row r="748" spans="10:23" s="1011" customFormat="1" x14ac:dyDescent="0.2">
      <c r="J748" s="1030"/>
      <c r="K748" s="1030"/>
      <c r="L748" s="1030"/>
      <c r="M748" s="1030"/>
      <c r="N748" s="1030"/>
      <c r="O748" s="1030"/>
      <c r="P748" s="1030"/>
      <c r="Q748" s="1030"/>
      <c r="R748" s="1030"/>
      <c r="S748" s="1031"/>
      <c r="T748" s="952"/>
      <c r="U748" s="941"/>
      <c r="V748" s="941"/>
      <c r="W748" s="941"/>
    </row>
    <row r="749" spans="10:23" s="1011" customFormat="1" x14ac:dyDescent="0.2">
      <c r="J749" s="1030"/>
      <c r="K749" s="1030"/>
      <c r="L749" s="1030"/>
      <c r="M749" s="1030"/>
      <c r="N749" s="1030"/>
      <c r="O749" s="1030"/>
      <c r="P749" s="1030"/>
      <c r="Q749" s="1030"/>
      <c r="R749" s="1030"/>
      <c r="S749" s="1031"/>
      <c r="T749" s="952"/>
      <c r="U749" s="941"/>
      <c r="V749" s="941"/>
      <c r="W749" s="941"/>
    </row>
    <row r="750" spans="10:23" s="1011" customFormat="1" x14ac:dyDescent="0.2">
      <c r="J750" s="1030"/>
      <c r="K750" s="1030"/>
      <c r="L750" s="1030"/>
      <c r="M750" s="1030"/>
      <c r="N750" s="1030"/>
      <c r="O750" s="1030"/>
      <c r="P750" s="1030"/>
      <c r="Q750" s="1030"/>
      <c r="R750" s="1030"/>
      <c r="S750" s="1031"/>
      <c r="T750" s="952"/>
      <c r="U750" s="941"/>
      <c r="V750" s="941"/>
      <c r="W750" s="941"/>
    </row>
    <row r="751" spans="10:23" s="1011" customFormat="1" x14ac:dyDescent="0.2">
      <c r="J751" s="1030"/>
      <c r="K751" s="1030"/>
      <c r="L751" s="1030"/>
      <c r="M751" s="1030"/>
      <c r="N751" s="1030"/>
      <c r="O751" s="1030"/>
      <c r="P751" s="1030"/>
      <c r="Q751" s="1030"/>
      <c r="R751" s="1030"/>
      <c r="S751" s="1031"/>
      <c r="T751" s="952"/>
      <c r="U751" s="941"/>
      <c r="V751" s="941"/>
      <c r="W751" s="941"/>
    </row>
    <row r="752" spans="10:23" s="1011" customFormat="1" x14ac:dyDescent="0.2">
      <c r="J752" s="1030"/>
      <c r="K752" s="1030"/>
      <c r="L752" s="1030"/>
      <c r="M752" s="1030"/>
      <c r="N752" s="1030"/>
      <c r="O752" s="1030"/>
      <c r="P752" s="1030"/>
      <c r="Q752" s="1030"/>
      <c r="R752" s="1030"/>
      <c r="S752" s="1031"/>
      <c r="T752" s="952"/>
      <c r="U752" s="941"/>
      <c r="V752" s="941"/>
      <c r="W752" s="941"/>
    </row>
    <row r="753" spans="10:23" s="1011" customFormat="1" x14ac:dyDescent="0.2">
      <c r="J753" s="1030"/>
      <c r="K753" s="1030"/>
      <c r="L753" s="1030"/>
      <c r="M753" s="1030"/>
      <c r="N753" s="1030"/>
      <c r="O753" s="1030"/>
      <c r="P753" s="1030"/>
      <c r="Q753" s="1030"/>
      <c r="R753" s="1030"/>
      <c r="S753" s="1031"/>
      <c r="T753" s="952"/>
      <c r="U753" s="941"/>
      <c r="V753" s="941"/>
      <c r="W753" s="941"/>
    </row>
    <row r="754" spans="10:23" s="1011" customFormat="1" x14ac:dyDescent="0.2">
      <c r="J754" s="1030"/>
      <c r="K754" s="1030"/>
      <c r="L754" s="1030"/>
      <c r="M754" s="1030"/>
      <c r="N754" s="1030"/>
      <c r="O754" s="1030"/>
      <c r="P754" s="1030"/>
      <c r="Q754" s="1030"/>
      <c r="R754" s="1030"/>
      <c r="S754" s="1031"/>
      <c r="T754" s="952"/>
      <c r="U754" s="941"/>
      <c r="V754" s="941"/>
      <c r="W754" s="941"/>
    </row>
    <row r="755" spans="10:23" s="1011" customFormat="1" x14ac:dyDescent="0.2">
      <c r="J755" s="1030"/>
      <c r="K755" s="1030"/>
      <c r="L755" s="1030"/>
      <c r="M755" s="1030"/>
      <c r="N755" s="1030"/>
      <c r="O755" s="1030"/>
      <c r="P755" s="1030"/>
      <c r="Q755" s="1030"/>
      <c r="R755" s="1030"/>
      <c r="S755" s="1031"/>
      <c r="T755" s="952"/>
      <c r="U755" s="941"/>
      <c r="V755" s="941"/>
      <c r="W755" s="941"/>
    </row>
    <row r="756" spans="10:23" s="1011" customFormat="1" x14ac:dyDescent="0.2">
      <c r="J756" s="1030"/>
      <c r="K756" s="1030"/>
      <c r="L756" s="1030"/>
      <c r="M756" s="1030"/>
      <c r="N756" s="1030"/>
      <c r="O756" s="1030"/>
      <c r="P756" s="1030"/>
      <c r="Q756" s="1030"/>
      <c r="R756" s="1030"/>
      <c r="S756" s="1031"/>
      <c r="T756" s="952"/>
      <c r="U756" s="941"/>
      <c r="V756" s="941"/>
      <c r="W756" s="941"/>
    </row>
    <row r="757" spans="10:23" s="1011" customFormat="1" x14ac:dyDescent="0.2">
      <c r="J757" s="1030"/>
      <c r="K757" s="1030"/>
      <c r="L757" s="1030"/>
      <c r="M757" s="1030"/>
      <c r="N757" s="1030"/>
      <c r="O757" s="1030"/>
      <c r="P757" s="1030"/>
      <c r="Q757" s="1030"/>
      <c r="R757" s="1030"/>
      <c r="S757" s="1031"/>
      <c r="T757" s="952"/>
      <c r="U757" s="941"/>
      <c r="V757" s="941"/>
      <c r="W757" s="941"/>
    </row>
    <row r="758" spans="10:23" s="1011" customFormat="1" x14ac:dyDescent="0.2">
      <c r="J758" s="1030"/>
      <c r="K758" s="1030"/>
      <c r="L758" s="1030"/>
      <c r="M758" s="1030"/>
      <c r="N758" s="1030"/>
      <c r="O758" s="1030"/>
      <c r="P758" s="1030"/>
      <c r="Q758" s="1030"/>
      <c r="R758" s="1030"/>
      <c r="S758" s="1031"/>
      <c r="T758" s="952"/>
      <c r="U758" s="941"/>
      <c r="V758" s="941"/>
      <c r="W758" s="941"/>
    </row>
    <row r="759" spans="10:23" s="1011" customFormat="1" x14ac:dyDescent="0.2">
      <c r="J759" s="1030"/>
      <c r="K759" s="1030"/>
      <c r="L759" s="1030"/>
      <c r="M759" s="1030"/>
      <c r="N759" s="1030"/>
      <c r="O759" s="1030"/>
      <c r="P759" s="1030"/>
      <c r="Q759" s="1030"/>
      <c r="R759" s="1030"/>
      <c r="S759" s="1031"/>
      <c r="T759" s="952"/>
      <c r="U759" s="941"/>
      <c r="V759" s="941"/>
      <c r="W759" s="941"/>
    </row>
    <row r="760" spans="10:23" s="1011" customFormat="1" x14ac:dyDescent="0.2">
      <c r="J760" s="1030"/>
      <c r="K760" s="1030"/>
      <c r="L760" s="1030"/>
      <c r="M760" s="1030"/>
      <c r="N760" s="1030"/>
      <c r="O760" s="1030"/>
      <c r="P760" s="1030"/>
      <c r="Q760" s="1030"/>
      <c r="R760" s="1030"/>
      <c r="S760" s="1031"/>
      <c r="T760" s="952"/>
      <c r="U760" s="941"/>
      <c r="V760" s="941"/>
      <c r="W760" s="941"/>
    </row>
    <row r="761" spans="10:23" s="1011" customFormat="1" x14ac:dyDescent="0.2">
      <c r="J761" s="1030"/>
      <c r="K761" s="1030"/>
      <c r="L761" s="1030"/>
      <c r="M761" s="1030"/>
      <c r="N761" s="1030"/>
      <c r="O761" s="1030"/>
      <c r="P761" s="1030"/>
      <c r="Q761" s="1030"/>
      <c r="R761" s="1030"/>
      <c r="S761" s="1031"/>
      <c r="T761" s="952"/>
      <c r="U761" s="941"/>
      <c r="V761" s="941"/>
      <c r="W761" s="941"/>
    </row>
    <row r="762" spans="10:23" s="1011" customFormat="1" x14ac:dyDescent="0.2">
      <c r="J762" s="1030"/>
      <c r="K762" s="1030"/>
      <c r="L762" s="1030"/>
      <c r="M762" s="1030"/>
      <c r="N762" s="1030"/>
      <c r="O762" s="1030"/>
      <c r="P762" s="1030"/>
      <c r="Q762" s="1030"/>
      <c r="R762" s="1030"/>
      <c r="S762" s="1031"/>
      <c r="T762" s="952"/>
      <c r="U762" s="941"/>
      <c r="V762" s="941"/>
      <c r="W762" s="941"/>
    </row>
    <row r="763" spans="10:23" s="1011" customFormat="1" x14ac:dyDescent="0.2">
      <c r="J763" s="1030"/>
      <c r="K763" s="1030"/>
      <c r="L763" s="1030"/>
      <c r="M763" s="1030"/>
      <c r="N763" s="1030"/>
      <c r="O763" s="1030"/>
      <c r="P763" s="1030"/>
      <c r="Q763" s="1030"/>
      <c r="R763" s="1030"/>
      <c r="S763" s="1031"/>
      <c r="T763" s="952"/>
      <c r="U763" s="941"/>
      <c r="V763" s="941"/>
      <c r="W763" s="941"/>
    </row>
    <row r="764" spans="10:23" s="1011" customFormat="1" x14ac:dyDescent="0.2">
      <c r="J764" s="1030"/>
      <c r="K764" s="1030"/>
      <c r="L764" s="1030"/>
      <c r="M764" s="1030"/>
      <c r="N764" s="1030"/>
      <c r="O764" s="1030"/>
      <c r="P764" s="1030"/>
      <c r="Q764" s="1030"/>
      <c r="R764" s="1030"/>
      <c r="S764" s="1031"/>
      <c r="T764" s="952"/>
      <c r="U764" s="941"/>
      <c r="V764" s="941"/>
      <c r="W764" s="941"/>
    </row>
    <row r="765" spans="10:23" s="1011" customFormat="1" x14ac:dyDescent="0.2">
      <c r="J765" s="1030"/>
      <c r="K765" s="1030"/>
      <c r="L765" s="1030"/>
      <c r="M765" s="1030"/>
      <c r="N765" s="1030"/>
      <c r="O765" s="1030"/>
      <c r="P765" s="1030"/>
      <c r="Q765" s="1030"/>
      <c r="R765" s="1030"/>
      <c r="S765" s="1031"/>
      <c r="T765" s="952"/>
      <c r="U765" s="941"/>
      <c r="V765" s="941"/>
      <c r="W765" s="941"/>
    </row>
    <row r="766" spans="10:23" s="1011" customFormat="1" x14ac:dyDescent="0.2">
      <c r="J766" s="1030"/>
      <c r="K766" s="1030"/>
      <c r="L766" s="1030"/>
      <c r="M766" s="1030"/>
      <c r="N766" s="1030"/>
      <c r="O766" s="1030"/>
      <c r="P766" s="1030"/>
      <c r="Q766" s="1030"/>
      <c r="R766" s="1030"/>
      <c r="S766" s="1031"/>
      <c r="T766" s="952"/>
      <c r="U766" s="941"/>
      <c r="V766" s="941"/>
      <c r="W766" s="941"/>
    </row>
    <row r="767" spans="10:23" s="1011" customFormat="1" x14ac:dyDescent="0.2">
      <c r="J767" s="1030"/>
      <c r="K767" s="1030"/>
      <c r="L767" s="1030"/>
      <c r="M767" s="1030"/>
      <c r="N767" s="1030"/>
      <c r="O767" s="1030"/>
      <c r="P767" s="1030"/>
      <c r="Q767" s="1030"/>
      <c r="R767" s="1030"/>
      <c r="S767" s="1031"/>
      <c r="T767" s="952"/>
      <c r="U767" s="941"/>
      <c r="V767" s="941"/>
      <c r="W767" s="941"/>
    </row>
    <row r="768" spans="10:23" s="1011" customFormat="1" x14ac:dyDescent="0.2">
      <c r="J768" s="1030"/>
      <c r="K768" s="1030"/>
      <c r="L768" s="1030"/>
      <c r="M768" s="1030"/>
      <c r="N768" s="1030"/>
      <c r="O768" s="1030"/>
      <c r="P768" s="1030"/>
      <c r="Q768" s="1030"/>
      <c r="R768" s="1030"/>
      <c r="S768" s="1031"/>
      <c r="T768" s="952"/>
      <c r="U768" s="941"/>
      <c r="V768" s="941"/>
      <c r="W768" s="941"/>
    </row>
    <row r="769" spans="10:23" s="1011" customFormat="1" x14ac:dyDescent="0.2">
      <c r="J769" s="1030"/>
      <c r="K769" s="1030"/>
      <c r="L769" s="1030"/>
      <c r="M769" s="1030"/>
      <c r="N769" s="1030"/>
      <c r="O769" s="1030"/>
      <c r="P769" s="1030"/>
      <c r="Q769" s="1030"/>
      <c r="R769" s="1030"/>
      <c r="S769" s="1031"/>
      <c r="T769" s="952"/>
      <c r="U769" s="941"/>
      <c r="V769" s="941"/>
      <c r="W769" s="941"/>
    </row>
    <row r="770" spans="10:23" s="1011" customFormat="1" x14ac:dyDescent="0.2">
      <c r="J770" s="1030"/>
      <c r="K770" s="1030"/>
      <c r="L770" s="1030"/>
      <c r="M770" s="1030"/>
      <c r="N770" s="1030"/>
      <c r="O770" s="1030"/>
      <c r="P770" s="1030"/>
      <c r="Q770" s="1030"/>
      <c r="R770" s="1030"/>
      <c r="S770" s="1031"/>
      <c r="T770" s="952"/>
      <c r="U770" s="941"/>
      <c r="V770" s="941"/>
      <c r="W770" s="941"/>
    </row>
    <row r="771" spans="10:23" s="1011" customFormat="1" x14ac:dyDescent="0.2">
      <c r="J771" s="1030"/>
      <c r="K771" s="1030"/>
      <c r="L771" s="1030"/>
      <c r="M771" s="1030"/>
      <c r="N771" s="1030"/>
      <c r="O771" s="1030"/>
      <c r="P771" s="1030"/>
      <c r="Q771" s="1030"/>
      <c r="R771" s="1030"/>
      <c r="S771" s="1031"/>
      <c r="T771" s="952"/>
      <c r="U771" s="941"/>
      <c r="V771" s="941"/>
      <c r="W771" s="941"/>
    </row>
    <row r="772" spans="10:23" s="1011" customFormat="1" x14ac:dyDescent="0.2">
      <c r="J772" s="1030"/>
      <c r="K772" s="1030"/>
      <c r="L772" s="1030"/>
      <c r="M772" s="1030"/>
      <c r="N772" s="1030"/>
      <c r="O772" s="1030"/>
      <c r="P772" s="1030"/>
      <c r="Q772" s="1030"/>
      <c r="R772" s="1030"/>
      <c r="S772" s="1031"/>
      <c r="T772" s="952"/>
      <c r="U772" s="941"/>
      <c r="V772" s="941"/>
      <c r="W772" s="941"/>
    </row>
    <row r="773" spans="10:23" s="1011" customFormat="1" x14ac:dyDescent="0.2">
      <c r="J773" s="1030"/>
      <c r="K773" s="1030"/>
      <c r="L773" s="1030"/>
      <c r="M773" s="1030"/>
      <c r="N773" s="1030"/>
      <c r="O773" s="1030"/>
      <c r="P773" s="1030"/>
      <c r="Q773" s="1030"/>
      <c r="R773" s="1030"/>
      <c r="S773" s="1031"/>
      <c r="T773" s="952"/>
      <c r="U773" s="941"/>
      <c r="V773" s="941"/>
      <c r="W773" s="941"/>
    </row>
    <row r="774" spans="10:23" s="1011" customFormat="1" x14ac:dyDescent="0.2">
      <c r="J774" s="1030"/>
      <c r="K774" s="1030"/>
      <c r="L774" s="1030"/>
      <c r="M774" s="1030"/>
      <c r="N774" s="1030"/>
      <c r="O774" s="1030"/>
      <c r="P774" s="1030"/>
      <c r="Q774" s="1030"/>
      <c r="R774" s="1030"/>
      <c r="S774" s="1031"/>
      <c r="T774" s="952"/>
      <c r="U774" s="941"/>
      <c r="V774" s="941"/>
      <c r="W774" s="941"/>
    </row>
    <row r="775" spans="10:23" s="1011" customFormat="1" x14ac:dyDescent="0.2">
      <c r="J775" s="1030"/>
      <c r="K775" s="1030"/>
      <c r="L775" s="1030"/>
      <c r="M775" s="1030"/>
      <c r="N775" s="1030"/>
      <c r="O775" s="1030"/>
      <c r="P775" s="1030"/>
      <c r="Q775" s="1030"/>
      <c r="R775" s="1030"/>
      <c r="S775" s="1031"/>
      <c r="T775" s="952"/>
      <c r="U775" s="941"/>
      <c r="V775" s="941"/>
      <c r="W775" s="941"/>
    </row>
    <row r="776" spans="10:23" s="1011" customFormat="1" x14ac:dyDescent="0.2">
      <c r="J776" s="1030"/>
      <c r="K776" s="1030"/>
      <c r="L776" s="1030"/>
      <c r="M776" s="1030"/>
      <c r="N776" s="1030"/>
      <c r="O776" s="1030"/>
      <c r="P776" s="1030"/>
      <c r="Q776" s="1030"/>
      <c r="R776" s="1030"/>
      <c r="S776" s="1031"/>
      <c r="T776" s="952"/>
      <c r="U776" s="941"/>
      <c r="V776" s="941"/>
      <c r="W776" s="941"/>
    </row>
    <row r="777" spans="10:23" s="1011" customFormat="1" x14ac:dyDescent="0.2">
      <c r="J777" s="1030"/>
      <c r="K777" s="1030"/>
      <c r="L777" s="1030"/>
      <c r="M777" s="1030"/>
      <c r="N777" s="1030"/>
      <c r="O777" s="1030"/>
      <c r="P777" s="1030"/>
      <c r="Q777" s="1030"/>
      <c r="R777" s="1030"/>
      <c r="S777" s="1031"/>
      <c r="T777" s="952"/>
      <c r="U777" s="941"/>
      <c r="V777" s="941"/>
      <c r="W777" s="941"/>
    </row>
    <row r="778" spans="10:23" s="1011" customFormat="1" x14ac:dyDescent="0.2">
      <c r="J778" s="1030"/>
      <c r="K778" s="1030"/>
      <c r="L778" s="1030"/>
      <c r="M778" s="1030"/>
      <c r="N778" s="1030"/>
      <c r="O778" s="1030"/>
      <c r="P778" s="1030"/>
      <c r="Q778" s="1030"/>
      <c r="R778" s="1030"/>
      <c r="S778" s="1031"/>
      <c r="T778" s="952"/>
      <c r="U778" s="941"/>
      <c r="V778" s="941"/>
      <c r="W778" s="941"/>
    </row>
    <row r="779" spans="10:23" s="1011" customFormat="1" x14ac:dyDescent="0.2">
      <c r="J779" s="1030"/>
      <c r="K779" s="1030"/>
      <c r="L779" s="1030"/>
      <c r="M779" s="1030"/>
      <c r="N779" s="1030"/>
      <c r="O779" s="1030"/>
      <c r="P779" s="1030"/>
      <c r="Q779" s="1030"/>
      <c r="R779" s="1030"/>
      <c r="S779" s="1031"/>
      <c r="T779" s="952"/>
      <c r="U779" s="941"/>
      <c r="V779" s="941"/>
      <c r="W779" s="941"/>
    </row>
    <row r="780" spans="10:23" s="1011" customFormat="1" x14ac:dyDescent="0.2">
      <c r="J780" s="1030"/>
      <c r="K780" s="1030"/>
      <c r="L780" s="1030"/>
      <c r="M780" s="1030"/>
      <c r="N780" s="1030"/>
      <c r="O780" s="1030"/>
      <c r="P780" s="1030"/>
      <c r="Q780" s="1030"/>
      <c r="R780" s="1030"/>
      <c r="S780" s="1031"/>
      <c r="T780" s="952"/>
      <c r="U780" s="941"/>
      <c r="V780" s="941"/>
      <c r="W780" s="941"/>
    </row>
    <row r="781" spans="10:23" s="1011" customFormat="1" x14ac:dyDescent="0.2">
      <c r="J781" s="1030"/>
      <c r="K781" s="1030"/>
      <c r="L781" s="1030"/>
      <c r="M781" s="1030"/>
      <c r="N781" s="1030"/>
      <c r="O781" s="1030"/>
      <c r="P781" s="1030"/>
      <c r="Q781" s="1030"/>
      <c r="R781" s="1030"/>
      <c r="S781" s="1031"/>
      <c r="T781" s="952"/>
      <c r="U781" s="941"/>
      <c r="V781" s="941"/>
      <c r="W781" s="941"/>
    </row>
    <row r="782" spans="10:23" s="1011" customFormat="1" x14ac:dyDescent="0.2">
      <c r="J782" s="1030"/>
      <c r="K782" s="1030"/>
      <c r="L782" s="1030"/>
      <c r="M782" s="1030"/>
      <c r="N782" s="1030"/>
      <c r="O782" s="1030"/>
      <c r="P782" s="1030"/>
      <c r="Q782" s="1030"/>
      <c r="R782" s="1030"/>
      <c r="S782" s="1031"/>
      <c r="T782" s="952"/>
      <c r="U782" s="941"/>
      <c r="V782" s="941"/>
      <c r="W782" s="941"/>
    </row>
    <row r="783" spans="10:23" s="1011" customFormat="1" x14ac:dyDescent="0.2">
      <c r="J783" s="1030"/>
      <c r="K783" s="1030"/>
      <c r="L783" s="1030"/>
      <c r="M783" s="1030"/>
      <c r="N783" s="1030"/>
      <c r="O783" s="1030"/>
      <c r="P783" s="1030"/>
      <c r="Q783" s="1030"/>
      <c r="R783" s="1030"/>
      <c r="S783" s="1031"/>
      <c r="T783" s="952"/>
      <c r="U783" s="941"/>
      <c r="V783" s="941"/>
      <c r="W783" s="941"/>
    </row>
    <row r="784" spans="10:23" s="1011" customFormat="1" x14ac:dyDescent="0.2">
      <c r="J784" s="1030"/>
      <c r="K784" s="1030"/>
      <c r="L784" s="1030"/>
      <c r="M784" s="1030"/>
      <c r="N784" s="1030"/>
      <c r="O784" s="1030"/>
      <c r="P784" s="1030"/>
      <c r="Q784" s="1030"/>
      <c r="R784" s="1030"/>
      <c r="S784" s="1031"/>
      <c r="T784" s="952"/>
      <c r="U784" s="941"/>
      <c r="V784" s="941"/>
      <c r="W784" s="941"/>
    </row>
    <row r="785" spans="10:23" s="1011" customFormat="1" x14ac:dyDescent="0.2">
      <c r="J785" s="1030"/>
      <c r="K785" s="1030"/>
      <c r="L785" s="1030"/>
      <c r="M785" s="1030"/>
      <c r="N785" s="1030"/>
      <c r="O785" s="1030"/>
      <c r="P785" s="1030"/>
      <c r="Q785" s="1030"/>
      <c r="R785" s="1030"/>
      <c r="S785" s="1031"/>
      <c r="T785" s="952"/>
      <c r="U785" s="941"/>
      <c r="V785" s="941"/>
      <c r="W785" s="941"/>
    </row>
    <row r="786" spans="10:23" s="1011" customFormat="1" x14ac:dyDescent="0.2">
      <c r="J786" s="1030"/>
      <c r="K786" s="1030"/>
      <c r="L786" s="1030"/>
      <c r="M786" s="1030"/>
      <c r="N786" s="1030"/>
      <c r="O786" s="1030"/>
      <c r="P786" s="1030"/>
      <c r="Q786" s="1030"/>
      <c r="R786" s="1030"/>
      <c r="S786" s="1031"/>
      <c r="T786" s="952"/>
      <c r="U786" s="941"/>
      <c r="V786" s="941"/>
      <c r="W786" s="941"/>
    </row>
    <row r="787" spans="10:23" s="1011" customFormat="1" x14ac:dyDescent="0.2">
      <c r="J787" s="1030"/>
      <c r="K787" s="1030"/>
      <c r="L787" s="1030"/>
      <c r="M787" s="1030"/>
      <c r="N787" s="1030"/>
      <c r="O787" s="1030"/>
      <c r="P787" s="1030"/>
      <c r="Q787" s="1030"/>
      <c r="R787" s="1030"/>
      <c r="S787" s="1031"/>
      <c r="T787" s="952"/>
      <c r="U787" s="941"/>
      <c r="V787" s="941"/>
      <c r="W787" s="941"/>
    </row>
    <row r="788" spans="10:23" s="1011" customFormat="1" x14ac:dyDescent="0.2">
      <c r="J788" s="1030"/>
      <c r="K788" s="1030"/>
      <c r="L788" s="1030"/>
      <c r="M788" s="1030"/>
      <c r="N788" s="1030"/>
      <c r="O788" s="1030"/>
      <c r="P788" s="1030"/>
      <c r="Q788" s="1030"/>
      <c r="R788" s="1030"/>
      <c r="S788" s="1031"/>
      <c r="T788" s="952"/>
      <c r="U788" s="941"/>
      <c r="V788" s="941"/>
      <c r="W788" s="941"/>
    </row>
    <row r="789" spans="10:23" s="1011" customFormat="1" x14ac:dyDescent="0.2">
      <c r="J789" s="1030"/>
      <c r="K789" s="1030"/>
      <c r="L789" s="1030"/>
      <c r="M789" s="1030"/>
      <c r="N789" s="1030"/>
      <c r="O789" s="1030"/>
      <c r="P789" s="1030"/>
      <c r="Q789" s="1030"/>
      <c r="R789" s="1030"/>
      <c r="S789" s="1031"/>
      <c r="T789" s="952"/>
      <c r="U789" s="941"/>
      <c r="V789" s="941"/>
      <c r="W789" s="941"/>
    </row>
    <row r="790" spans="10:23" s="1011" customFormat="1" x14ac:dyDescent="0.2">
      <c r="J790" s="1030"/>
      <c r="K790" s="1030"/>
      <c r="L790" s="1030"/>
      <c r="M790" s="1030"/>
      <c r="N790" s="1030"/>
      <c r="O790" s="1030"/>
      <c r="P790" s="1030"/>
      <c r="Q790" s="1030"/>
      <c r="R790" s="1030"/>
      <c r="S790" s="1031"/>
      <c r="T790" s="952"/>
      <c r="U790" s="941"/>
      <c r="V790" s="941"/>
      <c r="W790" s="941"/>
    </row>
    <row r="791" spans="10:23" s="1011" customFormat="1" x14ac:dyDescent="0.2">
      <c r="J791" s="1030"/>
      <c r="K791" s="1030"/>
      <c r="L791" s="1030"/>
      <c r="M791" s="1030"/>
      <c r="N791" s="1030"/>
      <c r="O791" s="1030"/>
      <c r="P791" s="1030"/>
      <c r="Q791" s="1030"/>
      <c r="R791" s="1030"/>
      <c r="S791" s="1031"/>
      <c r="T791" s="952"/>
      <c r="U791" s="941"/>
      <c r="V791" s="941"/>
      <c r="W791" s="941"/>
    </row>
    <row r="792" spans="10:23" s="1011" customFormat="1" x14ac:dyDescent="0.2">
      <c r="J792" s="1030"/>
      <c r="K792" s="1030"/>
      <c r="L792" s="1030"/>
      <c r="M792" s="1030"/>
      <c r="N792" s="1030"/>
      <c r="O792" s="1030"/>
      <c r="P792" s="1030"/>
      <c r="Q792" s="1030"/>
      <c r="R792" s="1030"/>
      <c r="S792" s="1031"/>
      <c r="T792" s="952"/>
      <c r="U792" s="941"/>
      <c r="V792" s="941"/>
      <c r="W792" s="941"/>
    </row>
    <row r="793" spans="10:23" s="1011" customFormat="1" x14ac:dyDescent="0.2">
      <c r="J793" s="1030"/>
      <c r="K793" s="1030"/>
      <c r="L793" s="1030"/>
      <c r="M793" s="1030"/>
      <c r="N793" s="1030"/>
      <c r="O793" s="1030"/>
      <c r="P793" s="1030"/>
      <c r="Q793" s="1030"/>
      <c r="R793" s="1030"/>
      <c r="S793" s="1031"/>
      <c r="T793" s="952"/>
      <c r="U793" s="941"/>
      <c r="V793" s="941"/>
      <c r="W793" s="941"/>
    </row>
    <row r="794" spans="10:23" s="1011" customFormat="1" x14ac:dyDescent="0.2">
      <c r="J794" s="1030"/>
      <c r="K794" s="1030"/>
      <c r="L794" s="1030"/>
      <c r="M794" s="1030"/>
      <c r="N794" s="1030"/>
      <c r="O794" s="1030"/>
      <c r="P794" s="1030"/>
      <c r="Q794" s="1030"/>
      <c r="R794" s="1030"/>
      <c r="S794" s="1031"/>
      <c r="T794" s="952"/>
      <c r="U794" s="941"/>
      <c r="V794" s="941"/>
      <c r="W794" s="941"/>
    </row>
    <row r="795" spans="10:23" s="1011" customFormat="1" x14ac:dyDescent="0.2">
      <c r="J795" s="1030"/>
      <c r="K795" s="1030"/>
      <c r="L795" s="1030"/>
      <c r="M795" s="1030"/>
      <c r="N795" s="1030"/>
      <c r="O795" s="1030"/>
      <c r="P795" s="1030"/>
      <c r="Q795" s="1030"/>
      <c r="R795" s="1030"/>
      <c r="S795" s="1031"/>
      <c r="T795" s="952"/>
      <c r="U795" s="941"/>
      <c r="V795" s="941"/>
      <c r="W795" s="941"/>
    </row>
    <row r="796" spans="10:23" s="1011" customFormat="1" x14ac:dyDescent="0.2">
      <c r="J796" s="1030"/>
      <c r="K796" s="1030"/>
      <c r="L796" s="1030"/>
      <c r="M796" s="1030"/>
      <c r="N796" s="1030"/>
      <c r="O796" s="1030"/>
      <c r="P796" s="1030"/>
      <c r="Q796" s="1030"/>
      <c r="R796" s="1030"/>
      <c r="S796" s="1031"/>
      <c r="T796" s="952"/>
      <c r="U796" s="941"/>
      <c r="V796" s="941"/>
      <c r="W796" s="941"/>
    </row>
    <row r="797" spans="10:23" s="1011" customFormat="1" x14ac:dyDescent="0.2">
      <c r="J797" s="1030"/>
      <c r="K797" s="1030"/>
      <c r="L797" s="1030"/>
      <c r="M797" s="1030"/>
      <c r="N797" s="1030"/>
      <c r="O797" s="1030"/>
      <c r="P797" s="1030"/>
      <c r="Q797" s="1030"/>
      <c r="R797" s="1030"/>
      <c r="S797" s="1031"/>
      <c r="T797" s="952"/>
      <c r="U797" s="941"/>
      <c r="V797" s="941"/>
      <c r="W797" s="941"/>
    </row>
    <row r="798" spans="10:23" s="1011" customFormat="1" x14ac:dyDescent="0.2">
      <c r="J798" s="1030"/>
      <c r="K798" s="1030"/>
      <c r="L798" s="1030"/>
      <c r="M798" s="1030"/>
      <c r="N798" s="1030"/>
      <c r="O798" s="1030"/>
      <c r="P798" s="1030"/>
      <c r="Q798" s="1030"/>
      <c r="R798" s="1030"/>
      <c r="S798" s="1031"/>
      <c r="T798" s="952"/>
      <c r="U798" s="941"/>
      <c r="V798" s="941"/>
      <c r="W798" s="941"/>
    </row>
    <row r="799" spans="10:23" s="1011" customFormat="1" x14ac:dyDescent="0.2">
      <c r="J799" s="1030"/>
      <c r="K799" s="1030"/>
      <c r="L799" s="1030"/>
      <c r="M799" s="1030"/>
      <c r="N799" s="1030"/>
      <c r="O799" s="1030"/>
      <c r="P799" s="1030"/>
      <c r="Q799" s="1030"/>
      <c r="R799" s="1030"/>
      <c r="S799" s="1031"/>
      <c r="T799" s="952"/>
      <c r="U799" s="941"/>
      <c r="V799" s="941"/>
      <c r="W799" s="941"/>
    </row>
    <row r="800" spans="10:23" s="1011" customFormat="1" x14ac:dyDescent="0.2">
      <c r="J800" s="1030"/>
      <c r="K800" s="1030"/>
      <c r="L800" s="1030"/>
      <c r="M800" s="1030"/>
      <c r="N800" s="1030"/>
      <c r="O800" s="1030"/>
      <c r="P800" s="1030"/>
      <c r="Q800" s="1030"/>
      <c r="R800" s="1030"/>
      <c r="S800" s="1031"/>
      <c r="T800" s="952"/>
      <c r="U800" s="941"/>
      <c r="V800" s="941"/>
      <c r="W800" s="941"/>
    </row>
    <row r="801" spans="10:23" s="1011" customFormat="1" x14ac:dyDescent="0.2">
      <c r="J801" s="1030"/>
      <c r="K801" s="1030"/>
      <c r="L801" s="1030"/>
      <c r="M801" s="1030"/>
      <c r="N801" s="1030"/>
      <c r="O801" s="1030"/>
      <c r="P801" s="1030"/>
      <c r="Q801" s="1030"/>
      <c r="R801" s="1030"/>
      <c r="S801" s="1031"/>
      <c r="T801" s="952"/>
      <c r="U801" s="941"/>
      <c r="V801" s="941"/>
      <c r="W801" s="941"/>
    </row>
    <row r="802" spans="10:23" s="1011" customFormat="1" x14ac:dyDescent="0.2">
      <c r="J802" s="1030"/>
      <c r="K802" s="1030"/>
      <c r="L802" s="1030"/>
      <c r="M802" s="1030"/>
      <c r="N802" s="1030"/>
      <c r="O802" s="1030"/>
      <c r="P802" s="1030"/>
      <c r="Q802" s="1030"/>
      <c r="R802" s="1030"/>
      <c r="S802" s="1031"/>
      <c r="T802" s="952"/>
      <c r="U802" s="941"/>
      <c r="V802" s="941"/>
      <c r="W802" s="941"/>
    </row>
    <row r="803" spans="10:23" s="1011" customFormat="1" x14ac:dyDescent="0.2">
      <c r="J803" s="1030"/>
      <c r="K803" s="1030"/>
      <c r="L803" s="1030"/>
      <c r="M803" s="1030"/>
      <c r="N803" s="1030"/>
      <c r="O803" s="1030"/>
      <c r="P803" s="1030"/>
      <c r="Q803" s="1030"/>
      <c r="R803" s="1030"/>
      <c r="S803" s="1031"/>
      <c r="T803" s="952"/>
      <c r="U803" s="941"/>
      <c r="V803" s="941"/>
      <c r="W803" s="941"/>
    </row>
    <row r="804" spans="10:23" s="1011" customFormat="1" x14ac:dyDescent="0.2">
      <c r="J804" s="1030"/>
      <c r="K804" s="1030"/>
      <c r="L804" s="1030"/>
      <c r="M804" s="1030"/>
      <c r="N804" s="1030"/>
      <c r="O804" s="1030"/>
      <c r="P804" s="1030"/>
      <c r="Q804" s="1030"/>
      <c r="R804" s="1030"/>
      <c r="S804" s="1031"/>
      <c r="T804" s="952"/>
      <c r="U804" s="941"/>
      <c r="V804" s="941"/>
      <c r="W804" s="941"/>
    </row>
    <row r="805" spans="10:23" s="1011" customFormat="1" x14ac:dyDescent="0.2">
      <c r="J805" s="1030"/>
      <c r="K805" s="1030"/>
      <c r="L805" s="1030"/>
      <c r="M805" s="1030"/>
      <c r="N805" s="1030"/>
      <c r="O805" s="1030"/>
      <c r="P805" s="1030"/>
      <c r="Q805" s="1030"/>
      <c r="R805" s="1030"/>
      <c r="S805" s="1031"/>
      <c r="T805" s="952"/>
      <c r="U805" s="941"/>
      <c r="V805" s="941"/>
      <c r="W805" s="941"/>
    </row>
    <row r="806" spans="10:23" s="1011" customFormat="1" x14ac:dyDescent="0.2">
      <c r="J806" s="1030"/>
      <c r="K806" s="1030"/>
      <c r="L806" s="1030"/>
      <c r="M806" s="1030"/>
      <c r="N806" s="1030"/>
      <c r="O806" s="1030"/>
      <c r="P806" s="1030"/>
      <c r="Q806" s="1030"/>
      <c r="R806" s="1030"/>
      <c r="S806" s="1031"/>
      <c r="T806" s="952"/>
      <c r="U806" s="941"/>
      <c r="V806" s="941"/>
      <c r="W806" s="941"/>
    </row>
    <row r="807" spans="10:23" s="1011" customFormat="1" x14ac:dyDescent="0.2">
      <c r="J807" s="1030"/>
      <c r="K807" s="1030"/>
      <c r="L807" s="1030"/>
      <c r="M807" s="1030"/>
      <c r="N807" s="1030"/>
      <c r="O807" s="1030"/>
      <c r="P807" s="1030"/>
      <c r="Q807" s="1030"/>
      <c r="R807" s="1030"/>
      <c r="S807" s="1031"/>
      <c r="T807" s="952"/>
      <c r="U807" s="941"/>
      <c r="V807" s="941"/>
      <c r="W807" s="941"/>
    </row>
    <row r="808" spans="10:23" s="1011" customFormat="1" x14ac:dyDescent="0.2">
      <c r="J808" s="1030"/>
      <c r="K808" s="1030"/>
      <c r="L808" s="1030"/>
      <c r="M808" s="1030"/>
      <c r="N808" s="1030"/>
      <c r="O808" s="1030"/>
      <c r="P808" s="1030"/>
      <c r="Q808" s="1030"/>
      <c r="R808" s="1030"/>
      <c r="S808" s="1031"/>
      <c r="T808" s="952"/>
      <c r="U808" s="941"/>
      <c r="V808" s="941"/>
      <c r="W808" s="941"/>
    </row>
    <row r="809" spans="10:23" s="1011" customFormat="1" x14ac:dyDescent="0.2">
      <c r="J809" s="1030"/>
      <c r="K809" s="1030"/>
      <c r="L809" s="1030"/>
      <c r="M809" s="1030"/>
      <c r="N809" s="1030"/>
      <c r="O809" s="1030"/>
      <c r="P809" s="1030"/>
      <c r="Q809" s="1030"/>
      <c r="R809" s="1030"/>
      <c r="S809" s="1031"/>
      <c r="T809" s="952"/>
      <c r="U809" s="941"/>
      <c r="V809" s="941"/>
      <c r="W809" s="941"/>
    </row>
    <row r="810" spans="10:23" s="1011" customFormat="1" x14ac:dyDescent="0.2">
      <c r="J810" s="1030"/>
      <c r="K810" s="1030"/>
      <c r="L810" s="1030"/>
      <c r="M810" s="1030"/>
      <c r="N810" s="1030"/>
      <c r="O810" s="1030"/>
      <c r="P810" s="1030"/>
      <c r="Q810" s="1030"/>
      <c r="R810" s="1030"/>
      <c r="S810" s="1031"/>
      <c r="T810" s="952"/>
      <c r="U810" s="941"/>
      <c r="V810" s="941"/>
      <c r="W810" s="941"/>
    </row>
    <row r="811" spans="10:23" s="1011" customFormat="1" x14ac:dyDescent="0.2">
      <c r="J811" s="1030"/>
      <c r="K811" s="1030"/>
      <c r="L811" s="1030"/>
      <c r="M811" s="1030"/>
      <c r="N811" s="1030"/>
      <c r="O811" s="1030"/>
      <c r="P811" s="1030"/>
      <c r="Q811" s="1030"/>
      <c r="R811" s="1030"/>
      <c r="S811" s="1031"/>
      <c r="T811" s="952"/>
      <c r="U811" s="941"/>
      <c r="V811" s="941"/>
      <c r="W811" s="941"/>
    </row>
    <row r="812" spans="10:23" s="1011" customFormat="1" x14ac:dyDescent="0.2">
      <c r="J812" s="1030"/>
      <c r="K812" s="1030"/>
      <c r="L812" s="1030"/>
      <c r="M812" s="1030"/>
      <c r="N812" s="1030"/>
      <c r="O812" s="1030"/>
      <c r="P812" s="1030"/>
      <c r="Q812" s="1030"/>
      <c r="R812" s="1030"/>
      <c r="S812" s="1031"/>
      <c r="T812" s="952"/>
      <c r="U812" s="941"/>
      <c r="V812" s="941"/>
      <c r="W812" s="941"/>
    </row>
    <row r="813" spans="10:23" s="1011" customFormat="1" x14ac:dyDescent="0.2">
      <c r="J813" s="1030"/>
      <c r="K813" s="1030"/>
      <c r="L813" s="1030"/>
      <c r="M813" s="1030"/>
      <c r="N813" s="1030"/>
      <c r="O813" s="1030"/>
      <c r="P813" s="1030"/>
      <c r="Q813" s="1030"/>
      <c r="R813" s="1030"/>
      <c r="S813" s="1031"/>
      <c r="T813" s="952"/>
      <c r="U813" s="941"/>
      <c r="V813" s="941"/>
      <c r="W813" s="941"/>
    </row>
    <row r="814" spans="10:23" s="1011" customFormat="1" x14ac:dyDescent="0.2">
      <c r="J814" s="1030"/>
      <c r="K814" s="1030"/>
      <c r="L814" s="1030"/>
      <c r="M814" s="1030"/>
      <c r="N814" s="1030"/>
      <c r="O814" s="1030"/>
      <c r="P814" s="1030"/>
      <c r="Q814" s="1030"/>
      <c r="R814" s="1030"/>
      <c r="S814" s="1031"/>
      <c r="T814" s="952"/>
      <c r="U814" s="941"/>
      <c r="V814" s="941"/>
      <c r="W814" s="941"/>
    </row>
    <row r="815" spans="10:23" s="1011" customFormat="1" x14ac:dyDescent="0.2">
      <c r="J815" s="1030"/>
      <c r="K815" s="1030"/>
      <c r="L815" s="1030"/>
      <c r="M815" s="1030"/>
      <c r="N815" s="1030"/>
      <c r="O815" s="1030"/>
      <c r="P815" s="1030"/>
      <c r="Q815" s="1030"/>
      <c r="R815" s="1030"/>
      <c r="S815" s="1031"/>
      <c r="T815" s="952"/>
      <c r="U815" s="941"/>
      <c r="V815" s="941"/>
      <c r="W815" s="941"/>
    </row>
    <row r="816" spans="10:23" s="1011" customFormat="1" x14ac:dyDescent="0.2">
      <c r="J816" s="1030"/>
      <c r="K816" s="1030"/>
      <c r="L816" s="1030"/>
      <c r="M816" s="1030"/>
      <c r="N816" s="1030"/>
      <c r="O816" s="1030"/>
      <c r="P816" s="1030"/>
      <c r="Q816" s="1030"/>
      <c r="R816" s="1030"/>
      <c r="S816" s="1031"/>
      <c r="T816" s="952"/>
      <c r="U816" s="941"/>
      <c r="V816" s="941"/>
      <c r="W816" s="941"/>
    </row>
    <row r="817" spans="10:23" s="1011" customFormat="1" x14ac:dyDescent="0.2">
      <c r="J817" s="1030"/>
      <c r="K817" s="1030"/>
      <c r="L817" s="1030"/>
      <c r="M817" s="1030"/>
      <c r="N817" s="1030"/>
      <c r="O817" s="1030"/>
      <c r="P817" s="1030"/>
      <c r="Q817" s="1030"/>
      <c r="R817" s="1030"/>
      <c r="S817" s="1031"/>
      <c r="T817" s="952"/>
      <c r="U817" s="941"/>
      <c r="V817" s="941"/>
      <c r="W817" s="941"/>
    </row>
    <row r="818" spans="10:23" s="1011" customFormat="1" x14ac:dyDescent="0.2">
      <c r="J818" s="1030"/>
      <c r="K818" s="1030"/>
      <c r="L818" s="1030"/>
      <c r="M818" s="1030"/>
      <c r="N818" s="1030"/>
      <c r="O818" s="1030"/>
      <c r="P818" s="1030"/>
      <c r="Q818" s="1030"/>
      <c r="R818" s="1030"/>
      <c r="S818" s="1031"/>
      <c r="T818" s="952"/>
      <c r="U818" s="941"/>
      <c r="V818" s="941"/>
      <c r="W818" s="941"/>
    </row>
    <row r="819" spans="10:23" s="1011" customFormat="1" x14ac:dyDescent="0.2">
      <c r="J819" s="1030"/>
      <c r="K819" s="1030"/>
      <c r="L819" s="1030"/>
      <c r="M819" s="1030"/>
      <c r="N819" s="1030"/>
      <c r="O819" s="1030"/>
      <c r="P819" s="1030"/>
      <c r="Q819" s="1030"/>
      <c r="R819" s="1030"/>
      <c r="S819" s="1031"/>
      <c r="T819" s="952"/>
      <c r="U819" s="941"/>
      <c r="V819" s="941"/>
      <c r="W819" s="941"/>
    </row>
    <row r="820" spans="10:23" s="1011" customFormat="1" x14ac:dyDescent="0.2">
      <c r="J820" s="1030"/>
      <c r="K820" s="1030"/>
      <c r="L820" s="1030"/>
      <c r="M820" s="1030"/>
      <c r="N820" s="1030"/>
      <c r="O820" s="1030"/>
      <c r="P820" s="1030"/>
      <c r="Q820" s="1030"/>
      <c r="R820" s="1030"/>
      <c r="S820" s="1031"/>
      <c r="T820" s="952"/>
      <c r="U820" s="941"/>
      <c r="V820" s="941"/>
      <c r="W820" s="941"/>
    </row>
    <row r="821" spans="10:23" s="1011" customFormat="1" x14ac:dyDescent="0.2">
      <c r="J821" s="1030"/>
      <c r="K821" s="1030"/>
      <c r="L821" s="1030"/>
      <c r="M821" s="1030"/>
      <c r="N821" s="1030"/>
      <c r="O821" s="1030"/>
      <c r="P821" s="1030"/>
      <c r="Q821" s="1030"/>
      <c r="R821" s="1030"/>
      <c r="S821" s="1031"/>
      <c r="T821" s="952"/>
      <c r="U821" s="941"/>
      <c r="V821" s="941"/>
      <c r="W821" s="941"/>
    </row>
    <row r="822" spans="10:23" s="1011" customFormat="1" x14ac:dyDescent="0.2">
      <c r="J822" s="1030"/>
      <c r="K822" s="1030"/>
      <c r="L822" s="1030"/>
      <c r="M822" s="1030"/>
      <c r="N822" s="1030"/>
      <c r="O822" s="1030"/>
      <c r="P822" s="1030"/>
      <c r="Q822" s="1030"/>
      <c r="R822" s="1030"/>
      <c r="S822" s="1031"/>
      <c r="T822" s="952"/>
      <c r="U822" s="941"/>
      <c r="V822" s="941"/>
      <c r="W822" s="941"/>
    </row>
    <row r="823" spans="10:23" s="1011" customFormat="1" x14ac:dyDescent="0.2">
      <c r="J823" s="1030"/>
      <c r="K823" s="1030"/>
      <c r="L823" s="1030"/>
      <c r="M823" s="1030"/>
      <c r="N823" s="1030"/>
      <c r="O823" s="1030"/>
      <c r="P823" s="1030"/>
      <c r="Q823" s="1030"/>
      <c r="R823" s="1030"/>
      <c r="S823" s="1031"/>
      <c r="T823" s="952"/>
      <c r="U823" s="941"/>
      <c r="V823" s="941"/>
      <c r="W823" s="941"/>
    </row>
    <row r="824" spans="10:23" s="1011" customFormat="1" x14ac:dyDescent="0.2">
      <c r="J824" s="1030"/>
      <c r="K824" s="1030"/>
      <c r="L824" s="1030"/>
      <c r="M824" s="1030"/>
      <c r="N824" s="1030"/>
      <c r="O824" s="1030"/>
      <c r="P824" s="1030"/>
      <c r="Q824" s="1030"/>
      <c r="R824" s="1030"/>
      <c r="S824" s="1031"/>
      <c r="T824" s="952"/>
      <c r="U824" s="941"/>
      <c r="V824" s="941"/>
      <c r="W824" s="941"/>
    </row>
    <row r="825" spans="10:23" s="1011" customFormat="1" x14ac:dyDescent="0.2">
      <c r="J825" s="1030"/>
      <c r="K825" s="1030"/>
      <c r="L825" s="1030"/>
      <c r="M825" s="1030"/>
      <c r="N825" s="1030"/>
      <c r="O825" s="1030"/>
      <c r="P825" s="1030"/>
      <c r="Q825" s="1030"/>
      <c r="R825" s="1030"/>
      <c r="S825" s="1031"/>
      <c r="T825" s="952"/>
      <c r="U825" s="941"/>
      <c r="V825" s="941"/>
      <c r="W825" s="941"/>
    </row>
    <row r="826" spans="10:23" s="1011" customFormat="1" x14ac:dyDescent="0.2">
      <c r="J826" s="1030"/>
      <c r="K826" s="1030"/>
      <c r="L826" s="1030"/>
      <c r="M826" s="1030"/>
      <c r="N826" s="1030"/>
      <c r="O826" s="1030"/>
      <c r="P826" s="1030"/>
      <c r="Q826" s="1030"/>
      <c r="R826" s="1030"/>
      <c r="S826" s="1031"/>
      <c r="T826" s="952"/>
      <c r="U826" s="941"/>
      <c r="V826" s="941"/>
      <c r="W826" s="941"/>
    </row>
    <row r="827" spans="10:23" s="1011" customFormat="1" x14ac:dyDescent="0.2">
      <c r="J827" s="1030"/>
      <c r="K827" s="1030"/>
      <c r="L827" s="1030"/>
      <c r="M827" s="1030"/>
      <c r="N827" s="1030"/>
      <c r="O827" s="1030"/>
      <c r="P827" s="1030"/>
      <c r="Q827" s="1030"/>
      <c r="R827" s="1030"/>
      <c r="S827" s="1031"/>
      <c r="T827" s="952"/>
      <c r="U827" s="941"/>
      <c r="V827" s="941"/>
      <c r="W827" s="941"/>
    </row>
    <row r="828" spans="10:23" s="1011" customFormat="1" x14ac:dyDescent="0.2">
      <c r="J828" s="1030"/>
      <c r="K828" s="1030"/>
      <c r="L828" s="1030"/>
      <c r="M828" s="1030"/>
      <c r="N828" s="1030"/>
      <c r="O828" s="1030"/>
      <c r="P828" s="1030"/>
      <c r="Q828" s="1030"/>
      <c r="R828" s="1030"/>
      <c r="S828" s="1031"/>
      <c r="T828" s="952"/>
      <c r="U828" s="941"/>
      <c r="V828" s="941"/>
      <c r="W828" s="941"/>
    </row>
    <row r="829" spans="10:23" s="1011" customFormat="1" x14ac:dyDescent="0.2">
      <c r="J829" s="1030"/>
      <c r="K829" s="1030"/>
      <c r="L829" s="1030"/>
      <c r="M829" s="1030"/>
      <c r="N829" s="1030"/>
      <c r="O829" s="1030"/>
      <c r="P829" s="1030"/>
      <c r="Q829" s="1030"/>
      <c r="R829" s="1030"/>
      <c r="S829" s="1031"/>
      <c r="T829" s="952"/>
      <c r="U829" s="941"/>
      <c r="V829" s="941"/>
      <c r="W829" s="941"/>
    </row>
    <row r="830" spans="10:23" s="1011" customFormat="1" x14ac:dyDescent="0.2">
      <c r="J830" s="1030"/>
      <c r="K830" s="1030"/>
      <c r="L830" s="1030"/>
      <c r="M830" s="1030"/>
      <c r="N830" s="1030"/>
      <c r="O830" s="1030"/>
      <c r="P830" s="1030"/>
      <c r="Q830" s="1030"/>
      <c r="R830" s="1030"/>
      <c r="S830" s="1031"/>
      <c r="T830" s="952"/>
      <c r="U830" s="941"/>
      <c r="V830" s="941"/>
      <c r="W830" s="941"/>
    </row>
    <row r="831" spans="10:23" s="1011" customFormat="1" x14ac:dyDescent="0.2">
      <c r="J831" s="1030"/>
      <c r="K831" s="1030"/>
      <c r="L831" s="1030"/>
      <c r="M831" s="1030"/>
      <c r="N831" s="1030"/>
      <c r="O831" s="1030"/>
      <c r="P831" s="1030"/>
      <c r="Q831" s="1030"/>
      <c r="R831" s="1030"/>
      <c r="S831" s="1031"/>
      <c r="T831" s="952"/>
      <c r="U831" s="941"/>
      <c r="V831" s="941"/>
      <c r="W831" s="941"/>
    </row>
    <row r="832" spans="10:23" s="1011" customFormat="1" x14ac:dyDescent="0.2">
      <c r="J832" s="1030"/>
      <c r="K832" s="1030"/>
      <c r="L832" s="1030"/>
      <c r="M832" s="1030"/>
      <c r="N832" s="1030"/>
      <c r="O832" s="1030"/>
      <c r="P832" s="1030"/>
      <c r="Q832" s="1030"/>
      <c r="R832" s="1030"/>
      <c r="S832" s="1031"/>
      <c r="T832" s="952"/>
      <c r="U832" s="941"/>
      <c r="V832" s="941"/>
      <c r="W832" s="941"/>
    </row>
    <row r="833" spans="10:23" s="1011" customFormat="1" x14ac:dyDescent="0.2">
      <c r="J833" s="1030"/>
      <c r="K833" s="1030"/>
      <c r="L833" s="1030"/>
      <c r="M833" s="1030"/>
      <c r="N833" s="1030"/>
      <c r="O833" s="1030"/>
      <c r="P833" s="1030"/>
      <c r="Q833" s="1030"/>
      <c r="R833" s="1030"/>
      <c r="S833" s="1031"/>
      <c r="T833" s="952"/>
      <c r="U833" s="941"/>
      <c r="V833" s="941"/>
      <c r="W833" s="941"/>
    </row>
    <row r="834" spans="10:23" s="1011" customFormat="1" x14ac:dyDescent="0.2">
      <c r="J834" s="1030"/>
      <c r="K834" s="1030"/>
      <c r="L834" s="1030"/>
      <c r="M834" s="1030"/>
      <c r="N834" s="1030"/>
      <c r="O834" s="1030"/>
      <c r="P834" s="1030"/>
      <c r="Q834" s="1030"/>
      <c r="R834" s="1030"/>
      <c r="S834" s="1031"/>
      <c r="T834" s="952"/>
      <c r="U834" s="941"/>
      <c r="V834" s="941"/>
      <c r="W834" s="941"/>
    </row>
    <row r="835" spans="10:23" s="1011" customFormat="1" x14ac:dyDescent="0.2">
      <c r="J835" s="1030"/>
      <c r="K835" s="1030"/>
      <c r="L835" s="1030"/>
      <c r="M835" s="1030"/>
      <c r="N835" s="1030"/>
      <c r="O835" s="1030"/>
      <c r="P835" s="1030"/>
      <c r="Q835" s="1030"/>
      <c r="R835" s="1030"/>
      <c r="S835" s="1031"/>
      <c r="T835" s="952"/>
      <c r="U835" s="941"/>
      <c r="V835" s="941"/>
      <c r="W835" s="941"/>
    </row>
    <row r="836" spans="10:23" s="1011" customFormat="1" x14ac:dyDescent="0.2">
      <c r="J836" s="1030"/>
      <c r="K836" s="1030"/>
      <c r="L836" s="1030"/>
      <c r="M836" s="1030"/>
      <c r="N836" s="1030"/>
      <c r="O836" s="1030"/>
      <c r="P836" s="1030"/>
      <c r="Q836" s="1030"/>
      <c r="R836" s="1030"/>
      <c r="S836" s="1031"/>
      <c r="T836" s="952"/>
      <c r="U836" s="941"/>
      <c r="V836" s="941"/>
      <c r="W836" s="941"/>
    </row>
    <row r="837" spans="10:23" s="1011" customFormat="1" x14ac:dyDescent="0.2">
      <c r="J837" s="1030"/>
      <c r="K837" s="1030"/>
      <c r="L837" s="1030"/>
      <c r="M837" s="1030"/>
      <c r="N837" s="1030"/>
      <c r="O837" s="1030"/>
      <c r="P837" s="1030"/>
      <c r="Q837" s="1030"/>
      <c r="R837" s="1030"/>
      <c r="S837" s="1031"/>
      <c r="T837" s="952"/>
      <c r="U837" s="941"/>
      <c r="V837" s="941"/>
      <c r="W837" s="941"/>
    </row>
    <row r="838" spans="10:23" s="1011" customFormat="1" x14ac:dyDescent="0.2">
      <c r="J838" s="1030"/>
      <c r="K838" s="1030"/>
      <c r="L838" s="1030"/>
      <c r="M838" s="1030"/>
      <c r="N838" s="1030"/>
      <c r="O838" s="1030"/>
      <c r="P838" s="1030"/>
      <c r="Q838" s="1030"/>
      <c r="R838" s="1030"/>
      <c r="S838" s="1031"/>
      <c r="T838" s="952"/>
      <c r="U838" s="941"/>
      <c r="V838" s="941"/>
      <c r="W838" s="941"/>
    </row>
    <row r="839" spans="10:23" s="1011" customFormat="1" x14ac:dyDescent="0.2">
      <c r="J839" s="1030"/>
      <c r="K839" s="1030"/>
      <c r="L839" s="1030"/>
      <c r="M839" s="1030"/>
      <c r="N839" s="1030"/>
      <c r="O839" s="1030"/>
      <c r="P839" s="1030"/>
      <c r="Q839" s="1030"/>
      <c r="R839" s="1030"/>
      <c r="S839" s="1031"/>
      <c r="T839" s="952"/>
      <c r="U839" s="941"/>
      <c r="V839" s="941"/>
      <c r="W839" s="941"/>
    </row>
    <row r="840" spans="10:23" s="1011" customFormat="1" x14ac:dyDescent="0.2">
      <c r="J840" s="1030"/>
      <c r="K840" s="1030"/>
      <c r="L840" s="1030"/>
      <c r="M840" s="1030"/>
      <c r="N840" s="1030"/>
      <c r="O840" s="1030"/>
      <c r="P840" s="1030"/>
      <c r="Q840" s="1030"/>
      <c r="R840" s="1030"/>
      <c r="S840" s="1031"/>
      <c r="T840" s="952"/>
      <c r="U840" s="941"/>
      <c r="V840" s="941"/>
      <c r="W840" s="941"/>
    </row>
    <row r="841" spans="10:23" s="1011" customFormat="1" x14ac:dyDescent="0.2">
      <c r="J841" s="1030"/>
      <c r="K841" s="1030"/>
      <c r="L841" s="1030"/>
      <c r="M841" s="1030"/>
      <c r="N841" s="1030"/>
      <c r="O841" s="1030"/>
      <c r="P841" s="1030"/>
      <c r="Q841" s="1030"/>
      <c r="R841" s="1030"/>
      <c r="S841" s="1031"/>
      <c r="T841" s="952"/>
      <c r="U841" s="941"/>
      <c r="V841" s="941"/>
      <c r="W841" s="941"/>
    </row>
    <row r="842" spans="10:23" s="1011" customFormat="1" x14ac:dyDescent="0.2">
      <c r="J842" s="1030"/>
      <c r="K842" s="1030"/>
      <c r="L842" s="1030"/>
      <c r="M842" s="1030"/>
      <c r="N842" s="1030"/>
      <c r="O842" s="1030"/>
      <c r="P842" s="1030"/>
      <c r="Q842" s="1030"/>
      <c r="R842" s="1030"/>
      <c r="S842" s="1031"/>
      <c r="T842" s="952"/>
      <c r="U842" s="941"/>
      <c r="V842" s="941"/>
      <c r="W842" s="941"/>
    </row>
    <row r="843" spans="10:23" s="1011" customFormat="1" x14ac:dyDescent="0.2">
      <c r="J843" s="1030"/>
      <c r="K843" s="1030"/>
      <c r="L843" s="1030"/>
      <c r="M843" s="1030"/>
      <c r="N843" s="1030"/>
      <c r="O843" s="1030"/>
      <c r="P843" s="1030"/>
      <c r="Q843" s="1030"/>
      <c r="R843" s="1030"/>
      <c r="S843" s="1031"/>
      <c r="T843" s="952"/>
      <c r="U843" s="941"/>
      <c r="V843" s="941"/>
      <c r="W843" s="941"/>
    </row>
    <row r="844" spans="10:23" s="1011" customFormat="1" x14ac:dyDescent="0.2">
      <c r="J844" s="1030"/>
      <c r="K844" s="1030"/>
      <c r="L844" s="1030"/>
      <c r="M844" s="1030"/>
      <c r="N844" s="1030"/>
      <c r="O844" s="1030"/>
      <c r="P844" s="1030"/>
      <c r="Q844" s="1030"/>
      <c r="R844" s="1030"/>
      <c r="S844" s="1031"/>
      <c r="T844" s="952"/>
      <c r="U844" s="941"/>
      <c r="V844" s="941"/>
      <c r="W844" s="941"/>
    </row>
    <row r="845" spans="10:23" s="1011" customFormat="1" x14ac:dyDescent="0.2">
      <c r="J845" s="1030"/>
      <c r="K845" s="1030"/>
      <c r="L845" s="1030"/>
      <c r="M845" s="1030"/>
      <c r="N845" s="1030"/>
      <c r="O845" s="1030"/>
      <c r="P845" s="1030"/>
      <c r="Q845" s="1030"/>
      <c r="R845" s="1030"/>
      <c r="S845" s="1031"/>
      <c r="T845" s="952"/>
      <c r="U845" s="941"/>
      <c r="V845" s="941"/>
      <c r="W845" s="941"/>
    </row>
    <row r="846" spans="10:23" s="1011" customFormat="1" x14ac:dyDescent="0.2">
      <c r="J846" s="1030"/>
      <c r="K846" s="1030"/>
      <c r="L846" s="1030"/>
      <c r="M846" s="1030"/>
      <c r="N846" s="1030"/>
      <c r="O846" s="1030"/>
      <c r="P846" s="1030"/>
      <c r="Q846" s="1030"/>
      <c r="R846" s="1030"/>
      <c r="S846" s="1031"/>
      <c r="T846" s="952"/>
      <c r="U846" s="941"/>
      <c r="V846" s="941"/>
      <c r="W846" s="941"/>
    </row>
    <row r="847" spans="10:23" s="1011" customFormat="1" x14ac:dyDescent="0.2">
      <c r="J847" s="1030"/>
      <c r="K847" s="1030"/>
      <c r="L847" s="1030"/>
      <c r="M847" s="1030"/>
      <c r="N847" s="1030"/>
      <c r="O847" s="1030"/>
      <c r="P847" s="1030"/>
      <c r="Q847" s="1030"/>
      <c r="R847" s="1030"/>
      <c r="S847" s="1031"/>
      <c r="T847" s="952"/>
      <c r="U847" s="941"/>
      <c r="V847" s="941"/>
      <c r="W847" s="941"/>
    </row>
    <row r="848" spans="10:23" s="1011" customFormat="1" x14ac:dyDescent="0.2">
      <c r="J848" s="1030"/>
      <c r="K848" s="1030"/>
      <c r="L848" s="1030"/>
      <c r="M848" s="1030"/>
      <c r="N848" s="1030"/>
      <c r="O848" s="1030"/>
      <c r="P848" s="1030"/>
      <c r="Q848" s="1030"/>
      <c r="R848" s="1030"/>
      <c r="S848" s="1031"/>
      <c r="T848" s="952"/>
      <c r="U848" s="941"/>
      <c r="V848" s="941"/>
      <c r="W848" s="941"/>
    </row>
    <row r="849" spans="10:23" s="1011" customFormat="1" x14ac:dyDescent="0.2">
      <c r="J849" s="1030"/>
      <c r="K849" s="1030"/>
      <c r="L849" s="1030"/>
      <c r="M849" s="1030"/>
      <c r="N849" s="1030"/>
      <c r="O849" s="1030"/>
      <c r="P849" s="1030"/>
      <c r="Q849" s="1030"/>
      <c r="R849" s="1030"/>
      <c r="S849" s="1031"/>
      <c r="T849" s="952"/>
      <c r="U849" s="941"/>
      <c r="V849" s="941"/>
      <c r="W849" s="941"/>
    </row>
    <row r="850" spans="10:23" s="1011" customFormat="1" x14ac:dyDescent="0.2">
      <c r="J850" s="1030"/>
      <c r="K850" s="1030"/>
      <c r="L850" s="1030"/>
      <c r="M850" s="1030"/>
      <c r="N850" s="1030"/>
      <c r="O850" s="1030"/>
      <c r="P850" s="1030"/>
      <c r="Q850" s="1030"/>
      <c r="R850" s="1030"/>
      <c r="S850" s="1031"/>
      <c r="T850" s="952"/>
      <c r="U850" s="941"/>
      <c r="V850" s="941"/>
      <c r="W850" s="941"/>
    </row>
    <row r="851" spans="10:23" s="1011" customFormat="1" x14ac:dyDescent="0.2">
      <c r="J851" s="1030"/>
      <c r="K851" s="1030"/>
      <c r="L851" s="1030"/>
      <c r="M851" s="1030"/>
      <c r="N851" s="1030"/>
      <c r="O851" s="1030"/>
      <c r="P851" s="1030"/>
      <c r="Q851" s="1030"/>
      <c r="R851" s="1030"/>
      <c r="S851" s="1031"/>
      <c r="T851" s="952"/>
      <c r="U851" s="941"/>
      <c r="V851" s="941"/>
      <c r="W851" s="941"/>
    </row>
    <row r="852" spans="10:23" s="1011" customFormat="1" x14ac:dyDescent="0.2">
      <c r="J852" s="1030"/>
      <c r="K852" s="1030"/>
      <c r="L852" s="1030"/>
      <c r="M852" s="1030"/>
      <c r="N852" s="1030"/>
      <c r="O852" s="1030"/>
      <c r="P852" s="1030"/>
      <c r="Q852" s="1030"/>
      <c r="R852" s="1030"/>
      <c r="S852" s="1031"/>
      <c r="T852" s="952"/>
      <c r="U852" s="941"/>
      <c r="V852" s="941"/>
      <c r="W852" s="941"/>
    </row>
    <row r="853" spans="10:23" s="1011" customFormat="1" x14ac:dyDescent="0.2">
      <c r="J853" s="1030"/>
      <c r="K853" s="1030"/>
      <c r="L853" s="1030"/>
      <c r="M853" s="1030"/>
      <c r="N853" s="1030"/>
      <c r="O853" s="1030"/>
      <c r="P853" s="1030"/>
      <c r="Q853" s="1030"/>
      <c r="R853" s="1030"/>
      <c r="S853" s="1031"/>
      <c r="T853" s="952"/>
      <c r="U853" s="941"/>
      <c r="V853" s="941"/>
      <c r="W853" s="941"/>
    </row>
    <row r="854" spans="10:23" s="1011" customFormat="1" x14ac:dyDescent="0.2">
      <c r="J854" s="1030"/>
      <c r="K854" s="1030"/>
      <c r="L854" s="1030"/>
      <c r="M854" s="1030"/>
      <c r="N854" s="1030"/>
      <c r="O854" s="1030"/>
      <c r="P854" s="1030"/>
      <c r="Q854" s="1030"/>
      <c r="R854" s="1030"/>
      <c r="S854" s="1031"/>
      <c r="T854" s="952"/>
      <c r="U854" s="941"/>
      <c r="V854" s="941"/>
      <c r="W854" s="941"/>
    </row>
    <row r="855" spans="10:23" s="1011" customFormat="1" x14ac:dyDescent="0.2">
      <c r="J855" s="1030"/>
      <c r="K855" s="1030"/>
      <c r="L855" s="1030"/>
      <c r="M855" s="1030"/>
      <c r="N855" s="1030"/>
      <c r="O855" s="1030"/>
      <c r="P855" s="1030"/>
      <c r="Q855" s="1030"/>
      <c r="R855" s="1030"/>
      <c r="S855" s="1031"/>
      <c r="T855" s="952"/>
      <c r="U855" s="941"/>
      <c r="V855" s="941"/>
      <c r="W855" s="941"/>
    </row>
    <row r="856" spans="10:23" s="1011" customFormat="1" x14ac:dyDescent="0.2">
      <c r="J856" s="1030"/>
      <c r="K856" s="1030"/>
      <c r="L856" s="1030"/>
      <c r="M856" s="1030"/>
      <c r="N856" s="1030"/>
      <c r="O856" s="1030"/>
      <c r="P856" s="1030"/>
      <c r="Q856" s="1030"/>
      <c r="R856" s="1030"/>
      <c r="S856" s="1031"/>
      <c r="T856" s="952"/>
      <c r="U856" s="941"/>
      <c r="V856" s="941"/>
      <c r="W856" s="941"/>
    </row>
    <row r="857" spans="10:23" s="1011" customFormat="1" x14ac:dyDescent="0.2">
      <c r="J857" s="1030"/>
      <c r="K857" s="1030"/>
      <c r="L857" s="1030"/>
      <c r="M857" s="1030"/>
      <c r="N857" s="1030"/>
      <c r="O857" s="1030"/>
      <c r="P857" s="1030"/>
      <c r="Q857" s="1030"/>
      <c r="R857" s="1030"/>
      <c r="S857" s="1031"/>
      <c r="T857" s="952"/>
      <c r="U857" s="941"/>
      <c r="V857" s="941"/>
      <c r="W857" s="941"/>
    </row>
    <row r="858" spans="10:23" s="1011" customFormat="1" x14ac:dyDescent="0.2">
      <c r="J858" s="1030"/>
      <c r="K858" s="1030"/>
      <c r="L858" s="1030"/>
      <c r="M858" s="1030"/>
      <c r="N858" s="1030"/>
      <c r="O858" s="1030"/>
      <c r="P858" s="1030"/>
      <c r="Q858" s="1030"/>
      <c r="R858" s="1030"/>
      <c r="S858" s="1031"/>
      <c r="T858" s="952"/>
      <c r="U858" s="941"/>
      <c r="V858" s="941"/>
      <c r="W858" s="941"/>
    </row>
    <row r="859" spans="10:23" s="1011" customFormat="1" x14ac:dyDescent="0.2">
      <c r="J859" s="1030"/>
      <c r="K859" s="1030"/>
      <c r="L859" s="1030"/>
      <c r="M859" s="1030"/>
      <c r="N859" s="1030"/>
      <c r="O859" s="1030"/>
      <c r="P859" s="1030"/>
      <c r="Q859" s="1030"/>
      <c r="R859" s="1030"/>
      <c r="S859" s="1031"/>
      <c r="T859" s="952"/>
      <c r="U859" s="941"/>
      <c r="V859" s="941"/>
      <c r="W859" s="941"/>
    </row>
    <row r="860" spans="10:23" s="1011" customFormat="1" x14ac:dyDescent="0.2">
      <c r="J860" s="1030"/>
      <c r="K860" s="1030"/>
      <c r="L860" s="1030"/>
      <c r="M860" s="1030"/>
      <c r="N860" s="1030"/>
      <c r="O860" s="1030"/>
      <c r="P860" s="1030"/>
      <c r="Q860" s="1030"/>
      <c r="R860" s="1030"/>
      <c r="S860" s="1031"/>
      <c r="T860" s="952"/>
      <c r="U860" s="941"/>
      <c r="V860" s="941"/>
      <c r="W860" s="941"/>
    </row>
    <row r="861" spans="10:23" s="1011" customFormat="1" x14ac:dyDescent="0.2">
      <c r="J861" s="1030"/>
      <c r="K861" s="1030"/>
      <c r="L861" s="1030"/>
      <c r="M861" s="1030"/>
      <c r="N861" s="1030"/>
      <c r="O861" s="1030"/>
      <c r="P861" s="1030"/>
      <c r="Q861" s="1030"/>
      <c r="R861" s="1030"/>
      <c r="S861" s="1031"/>
      <c r="T861" s="952"/>
      <c r="U861" s="941"/>
      <c r="V861" s="941"/>
      <c r="W861" s="941"/>
    </row>
    <row r="862" spans="10:23" s="1011" customFormat="1" x14ac:dyDescent="0.2">
      <c r="J862" s="1030"/>
      <c r="K862" s="1030"/>
      <c r="L862" s="1030"/>
      <c r="M862" s="1030"/>
      <c r="N862" s="1030"/>
      <c r="O862" s="1030"/>
      <c r="P862" s="1030"/>
      <c r="Q862" s="1030"/>
      <c r="R862" s="1030"/>
      <c r="S862" s="1031"/>
      <c r="T862" s="952"/>
      <c r="U862" s="941"/>
      <c r="V862" s="941"/>
      <c r="W862" s="941"/>
    </row>
    <row r="863" spans="10:23" s="1011" customFormat="1" x14ac:dyDescent="0.2">
      <c r="J863" s="1030"/>
      <c r="K863" s="1030"/>
      <c r="L863" s="1030"/>
      <c r="M863" s="1030"/>
      <c r="N863" s="1030"/>
      <c r="O863" s="1030"/>
      <c r="P863" s="1030"/>
      <c r="Q863" s="1030"/>
      <c r="R863" s="1030"/>
      <c r="S863" s="1031"/>
      <c r="T863" s="952"/>
      <c r="U863" s="941"/>
      <c r="V863" s="941"/>
      <c r="W863" s="941"/>
    </row>
    <row r="864" spans="10:23" s="1011" customFormat="1" x14ac:dyDescent="0.2">
      <c r="J864" s="1030"/>
      <c r="K864" s="1030"/>
      <c r="L864" s="1030"/>
      <c r="M864" s="1030"/>
      <c r="N864" s="1030"/>
      <c r="O864" s="1030"/>
      <c r="P864" s="1030"/>
      <c r="Q864" s="1030"/>
      <c r="R864" s="1030"/>
      <c r="S864" s="1031"/>
      <c r="T864" s="952"/>
      <c r="U864" s="941"/>
      <c r="V864" s="941"/>
      <c r="W864" s="941"/>
    </row>
    <row r="865" spans="10:23" s="1011" customFormat="1" x14ac:dyDescent="0.2">
      <c r="J865" s="1030"/>
      <c r="K865" s="1030"/>
      <c r="L865" s="1030"/>
      <c r="M865" s="1030"/>
      <c r="N865" s="1030"/>
      <c r="O865" s="1030"/>
      <c r="P865" s="1030"/>
      <c r="Q865" s="1030"/>
      <c r="R865" s="1030"/>
      <c r="S865" s="1031"/>
      <c r="T865" s="952"/>
      <c r="U865" s="941"/>
      <c r="V865" s="941"/>
      <c r="W865" s="941"/>
    </row>
    <row r="866" spans="10:23" s="1011" customFormat="1" x14ac:dyDescent="0.2">
      <c r="J866" s="1030"/>
      <c r="K866" s="1030"/>
      <c r="L866" s="1030"/>
      <c r="M866" s="1030"/>
      <c r="N866" s="1030"/>
      <c r="O866" s="1030"/>
      <c r="P866" s="1030"/>
      <c r="Q866" s="1030"/>
      <c r="R866" s="1030"/>
      <c r="S866" s="1031"/>
      <c r="T866" s="952"/>
      <c r="U866" s="941"/>
      <c r="V866" s="941"/>
      <c r="W866" s="941"/>
    </row>
    <row r="867" spans="10:23" s="1011" customFormat="1" x14ac:dyDescent="0.2">
      <c r="J867" s="1030"/>
      <c r="K867" s="1030"/>
      <c r="L867" s="1030"/>
      <c r="M867" s="1030"/>
      <c r="N867" s="1030"/>
      <c r="O867" s="1030"/>
      <c r="P867" s="1030"/>
      <c r="Q867" s="1030"/>
      <c r="R867" s="1030"/>
      <c r="S867" s="1031"/>
      <c r="T867" s="952"/>
      <c r="U867" s="941"/>
      <c r="V867" s="941"/>
      <c r="W867" s="941"/>
    </row>
    <row r="868" spans="10:23" s="1011" customFormat="1" x14ac:dyDescent="0.2">
      <c r="J868" s="1030"/>
      <c r="K868" s="1030"/>
      <c r="L868" s="1030"/>
      <c r="M868" s="1030"/>
      <c r="N868" s="1030"/>
      <c r="O868" s="1030"/>
      <c r="P868" s="1030"/>
      <c r="Q868" s="1030"/>
      <c r="R868" s="1030"/>
      <c r="S868" s="1031"/>
      <c r="T868" s="952"/>
      <c r="U868" s="941"/>
      <c r="V868" s="941"/>
      <c r="W868" s="941"/>
    </row>
    <row r="869" spans="10:23" s="1011" customFormat="1" x14ac:dyDescent="0.2">
      <c r="J869" s="1030"/>
      <c r="K869" s="1030"/>
      <c r="L869" s="1030"/>
      <c r="M869" s="1030"/>
      <c r="N869" s="1030"/>
      <c r="O869" s="1030"/>
      <c r="P869" s="1030"/>
      <c r="Q869" s="1030"/>
      <c r="R869" s="1030"/>
      <c r="S869" s="1031"/>
      <c r="T869" s="952"/>
      <c r="U869" s="941"/>
      <c r="V869" s="941"/>
      <c r="W869" s="941"/>
    </row>
    <row r="870" spans="10:23" s="1011" customFormat="1" x14ac:dyDescent="0.2">
      <c r="J870" s="1030"/>
      <c r="K870" s="1030"/>
      <c r="L870" s="1030"/>
      <c r="M870" s="1030"/>
      <c r="N870" s="1030"/>
      <c r="O870" s="1030"/>
      <c r="P870" s="1030"/>
      <c r="Q870" s="1030"/>
      <c r="R870" s="1030"/>
      <c r="S870" s="1031"/>
      <c r="T870" s="952"/>
      <c r="U870" s="941"/>
      <c r="V870" s="941"/>
      <c r="W870" s="941"/>
    </row>
    <row r="871" spans="10:23" s="1011" customFormat="1" x14ac:dyDescent="0.2">
      <c r="J871" s="1030"/>
      <c r="K871" s="1030"/>
      <c r="L871" s="1030"/>
      <c r="M871" s="1030"/>
      <c r="N871" s="1030"/>
      <c r="O871" s="1030"/>
      <c r="P871" s="1030"/>
      <c r="Q871" s="1030"/>
      <c r="R871" s="1030"/>
      <c r="S871" s="1031"/>
      <c r="T871" s="952"/>
      <c r="U871" s="941"/>
      <c r="V871" s="941"/>
      <c r="W871" s="941"/>
    </row>
    <row r="872" spans="10:23" s="1011" customFormat="1" x14ac:dyDescent="0.2">
      <c r="J872" s="1030"/>
      <c r="K872" s="1030"/>
      <c r="L872" s="1030"/>
      <c r="M872" s="1030"/>
      <c r="N872" s="1030"/>
      <c r="O872" s="1030"/>
      <c r="P872" s="1030"/>
      <c r="Q872" s="1030"/>
      <c r="R872" s="1030"/>
      <c r="S872" s="1031"/>
      <c r="T872" s="952"/>
      <c r="U872" s="941"/>
      <c r="V872" s="941"/>
      <c r="W872" s="941"/>
    </row>
    <row r="873" spans="10:23" s="1011" customFormat="1" x14ac:dyDescent="0.2">
      <c r="J873" s="1030"/>
      <c r="K873" s="1030"/>
      <c r="L873" s="1030"/>
      <c r="M873" s="1030"/>
      <c r="N873" s="1030"/>
      <c r="O873" s="1030"/>
      <c r="P873" s="1030"/>
      <c r="Q873" s="1030"/>
      <c r="R873" s="1030"/>
      <c r="S873" s="1031"/>
      <c r="T873" s="952"/>
      <c r="U873" s="941"/>
      <c r="V873" s="941"/>
      <c r="W873" s="941"/>
    </row>
    <row r="874" spans="10:23" s="1011" customFormat="1" x14ac:dyDescent="0.2">
      <c r="J874" s="1030"/>
      <c r="K874" s="1030"/>
      <c r="L874" s="1030"/>
      <c r="M874" s="1030"/>
      <c r="N874" s="1030"/>
      <c r="O874" s="1030"/>
      <c r="P874" s="1030"/>
      <c r="Q874" s="1030"/>
      <c r="R874" s="1030"/>
      <c r="S874" s="1031"/>
      <c r="T874" s="952"/>
      <c r="U874" s="941"/>
      <c r="V874" s="941"/>
      <c r="W874" s="941"/>
    </row>
    <row r="875" spans="10:23" s="1011" customFormat="1" x14ac:dyDescent="0.2">
      <c r="J875" s="1030"/>
      <c r="K875" s="1030"/>
      <c r="L875" s="1030"/>
      <c r="M875" s="1030"/>
      <c r="N875" s="1030"/>
      <c r="O875" s="1030"/>
      <c r="P875" s="1030"/>
      <c r="Q875" s="1030"/>
      <c r="R875" s="1030"/>
      <c r="S875" s="1031"/>
      <c r="T875" s="952"/>
      <c r="U875" s="941"/>
      <c r="V875" s="941"/>
      <c r="W875" s="941"/>
    </row>
    <row r="876" spans="10:23" s="1011" customFormat="1" x14ac:dyDescent="0.2">
      <c r="J876" s="1030"/>
      <c r="K876" s="1030"/>
      <c r="L876" s="1030"/>
      <c r="M876" s="1030"/>
      <c r="N876" s="1030"/>
      <c r="O876" s="1030"/>
      <c r="P876" s="1030"/>
      <c r="Q876" s="1030"/>
      <c r="R876" s="1030"/>
      <c r="S876" s="1031"/>
      <c r="T876" s="952"/>
      <c r="U876" s="941"/>
      <c r="V876" s="941"/>
      <c r="W876" s="941"/>
    </row>
    <row r="877" spans="10:23" s="1011" customFormat="1" x14ac:dyDescent="0.2">
      <c r="J877" s="1030"/>
      <c r="K877" s="1030"/>
      <c r="L877" s="1030"/>
      <c r="M877" s="1030"/>
      <c r="N877" s="1030"/>
      <c r="O877" s="1030"/>
      <c r="P877" s="1030"/>
      <c r="Q877" s="1030"/>
      <c r="R877" s="1030"/>
      <c r="S877" s="1031"/>
      <c r="T877" s="952"/>
      <c r="U877" s="941"/>
      <c r="V877" s="941"/>
      <c r="W877" s="941"/>
    </row>
    <row r="878" spans="10:23" s="1011" customFormat="1" x14ac:dyDescent="0.2">
      <c r="J878" s="1030"/>
      <c r="K878" s="1030"/>
      <c r="L878" s="1030"/>
      <c r="M878" s="1030"/>
      <c r="N878" s="1030"/>
      <c r="O878" s="1030"/>
      <c r="P878" s="1030"/>
      <c r="Q878" s="1030"/>
      <c r="R878" s="1030"/>
      <c r="S878" s="1031"/>
      <c r="T878" s="952"/>
      <c r="U878" s="941"/>
      <c r="V878" s="941"/>
      <c r="W878" s="941"/>
    </row>
    <row r="879" spans="10:23" s="1011" customFormat="1" x14ac:dyDescent="0.2">
      <c r="J879" s="1030"/>
      <c r="K879" s="1030"/>
      <c r="L879" s="1030"/>
      <c r="M879" s="1030"/>
      <c r="N879" s="1030"/>
      <c r="O879" s="1030"/>
      <c r="P879" s="1030"/>
      <c r="Q879" s="1030"/>
      <c r="R879" s="1030"/>
      <c r="S879" s="1031"/>
      <c r="T879" s="952"/>
      <c r="U879" s="941"/>
      <c r="V879" s="941"/>
      <c r="W879" s="941"/>
    </row>
    <row r="880" spans="10:23" s="1011" customFormat="1" x14ac:dyDescent="0.2">
      <c r="J880" s="1030"/>
      <c r="K880" s="1030"/>
      <c r="L880" s="1030"/>
      <c r="M880" s="1030"/>
      <c r="N880" s="1030"/>
      <c r="O880" s="1030"/>
      <c r="P880" s="1030"/>
      <c r="Q880" s="1030"/>
      <c r="R880" s="1030"/>
      <c r="S880" s="1031"/>
      <c r="T880" s="952"/>
      <c r="U880" s="941"/>
      <c r="V880" s="941"/>
      <c r="W880" s="941"/>
    </row>
    <row r="881" spans="10:23" s="1011" customFormat="1" x14ac:dyDescent="0.2">
      <c r="J881" s="1030"/>
      <c r="K881" s="1030"/>
      <c r="L881" s="1030"/>
      <c r="M881" s="1030"/>
      <c r="N881" s="1030"/>
      <c r="O881" s="1030"/>
      <c r="P881" s="1030"/>
      <c r="Q881" s="1030"/>
      <c r="R881" s="1030"/>
      <c r="S881" s="1031"/>
      <c r="T881" s="952"/>
      <c r="U881" s="941"/>
      <c r="V881" s="941"/>
      <c r="W881" s="941"/>
    </row>
    <row r="882" spans="10:23" s="1011" customFormat="1" x14ac:dyDescent="0.2">
      <c r="J882" s="1030"/>
      <c r="K882" s="1030"/>
      <c r="L882" s="1030"/>
      <c r="M882" s="1030"/>
      <c r="N882" s="1030"/>
      <c r="O882" s="1030"/>
      <c r="P882" s="1030"/>
      <c r="Q882" s="1030"/>
      <c r="R882" s="1030"/>
      <c r="S882" s="1031"/>
      <c r="T882" s="952"/>
      <c r="U882" s="941"/>
      <c r="V882" s="941"/>
      <c r="W882" s="941"/>
    </row>
    <row r="883" spans="10:23" s="1011" customFormat="1" x14ac:dyDescent="0.2">
      <c r="J883" s="1030"/>
      <c r="K883" s="1030"/>
      <c r="L883" s="1030"/>
      <c r="M883" s="1030"/>
      <c r="N883" s="1030"/>
      <c r="O883" s="1030"/>
      <c r="P883" s="1030"/>
      <c r="Q883" s="1030"/>
      <c r="R883" s="1030"/>
      <c r="S883" s="1031"/>
      <c r="T883" s="952"/>
      <c r="U883" s="941"/>
      <c r="V883" s="941"/>
      <c r="W883" s="941"/>
    </row>
    <row r="884" spans="10:23" s="1011" customFormat="1" x14ac:dyDescent="0.2">
      <c r="J884" s="1030"/>
      <c r="K884" s="1030"/>
      <c r="L884" s="1030"/>
      <c r="M884" s="1030"/>
      <c r="N884" s="1030"/>
      <c r="O884" s="1030"/>
      <c r="P884" s="1030"/>
      <c r="Q884" s="1030"/>
      <c r="R884" s="1030"/>
      <c r="S884" s="1031"/>
      <c r="T884" s="952"/>
      <c r="U884" s="941"/>
      <c r="V884" s="941"/>
      <c r="W884" s="941"/>
    </row>
    <row r="885" spans="10:23" s="1011" customFormat="1" x14ac:dyDescent="0.2">
      <c r="J885" s="1030"/>
      <c r="K885" s="1030"/>
      <c r="L885" s="1030"/>
      <c r="M885" s="1030"/>
      <c r="N885" s="1030"/>
      <c r="O885" s="1030"/>
      <c r="P885" s="1030"/>
      <c r="Q885" s="1030"/>
      <c r="R885" s="1030"/>
      <c r="S885" s="1031"/>
      <c r="T885" s="952"/>
      <c r="U885" s="941"/>
      <c r="V885" s="941"/>
      <c r="W885" s="941"/>
    </row>
    <row r="886" spans="10:23" s="1011" customFormat="1" x14ac:dyDescent="0.2">
      <c r="J886" s="1030"/>
      <c r="K886" s="1030"/>
      <c r="L886" s="1030"/>
      <c r="M886" s="1030"/>
      <c r="N886" s="1030"/>
      <c r="O886" s="1030"/>
      <c r="P886" s="1030"/>
      <c r="Q886" s="1030"/>
      <c r="R886" s="1030"/>
      <c r="S886" s="1031"/>
      <c r="T886" s="952"/>
      <c r="U886" s="941"/>
      <c r="V886" s="941"/>
      <c r="W886" s="941"/>
    </row>
    <row r="887" spans="10:23" s="1011" customFormat="1" x14ac:dyDescent="0.2">
      <c r="J887" s="1030"/>
      <c r="K887" s="1030"/>
      <c r="L887" s="1030"/>
      <c r="M887" s="1030"/>
      <c r="N887" s="1030"/>
      <c r="O887" s="1030"/>
      <c r="P887" s="1030"/>
      <c r="Q887" s="1030"/>
      <c r="R887" s="1030"/>
      <c r="S887" s="1031"/>
      <c r="T887" s="952"/>
      <c r="U887" s="941"/>
      <c r="V887" s="941"/>
      <c r="W887" s="941"/>
    </row>
    <row r="888" spans="10:23" s="1011" customFormat="1" x14ac:dyDescent="0.2">
      <c r="J888" s="1030"/>
      <c r="K888" s="1030"/>
      <c r="L888" s="1030"/>
      <c r="M888" s="1030"/>
      <c r="N888" s="1030"/>
      <c r="O888" s="1030"/>
      <c r="P888" s="1030"/>
      <c r="Q888" s="1030"/>
      <c r="R888" s="1030"/>
      <c r="S888" s="1031"/>
      <c r="T888" s="952"/>
      <c r="U888" s="941"/>
      <c r="V888" s="941"/>
      <c r="W888" s="941"/>
    </row>
    <row r="889" spans="10:23" s="1011" customFormat="1" x14ac:dyDescent="0.2">
      <c r="J889" s="1030"/>
      <c r="K889" s="1030"/>
      <c r="L889" s="1030"/>
      <c r="M889" s="1030"/>
      <c r="N889" s="1030"/>
      <c r="O889" s="1030"/>
      <c r="P889" s="1030"/>
      <c r="Q889" s="1030"/>
      <c r="R889" s="1030"/>
      <c r="S889" s="1031"/>
      <c r="T889" s="952"/>
      <c r="U889" s="941"/>
      <c r="V889" s="941"/>
      <c r="W889" s="941"/>
    </row>
    <row r="890" spans="10:23" s="1011" customFormat="1" x14ac:dyDescent="0.2">
      <c r="J890" s="1030"/>
      <c r="K890" s="1030"/>
      <c r="L890" s="1030"/>
      <c r="M890" s="1030"/>
      <c r="N890" s="1030"/>
      <c r="O890" s="1030"/>
      <c r="P890" s="1030"/>
      <c r="Q890" s="1030"/>
      <c r="R890" s="1030"/>
      <c r="S890" s="1031"/>
      <c r="T890" s="952"/>
      <c r="U890" s="941"/>
      <c r="V890" s="941"/>
      <c r="W890" s="941"/>
    </row>
    <row r="891" spans="10:23" s="1011" customFormat="1" x14ac:dyDescent="0.2">
      <c r="J891" s="1030"/>
      <c r="K891" s="1030"/>
      <c r="L891" s="1030"/>
      <c r="M891" s="1030"/>
      <c r="N891" s="1030"/>
      <c r="O891" s="1030"/>
      <c r="P891" s="1030"/>
      <c r="Q891" s="1030"/>
      <c r="R891" s="1030"/>
      <c r="S891" s="1031"/>
      <c r="T891" s="952"/>
      <c r="U891" s="941"/>
      <c r="V891" s="941"/>
      <c r="W891" s="941"/>
    </row>
    <row r="892" spans="10:23" s="1011" customFormat="1" x14ac:dyDescent="0.2">
      <c r="J892" s="1030"/>
      <c r="K892" s="1030"/>
      <c r="L892" s="1030"/>
      <c r="M892" s="1030"/>
      <c r="N892" s="1030"/>
      <c r="O892" s="1030"/>
      <c r="P892" s="1030"/>
      <c r="Q892" s="1030"/>
      <c r="R892" s="1030"/>
      <c r="S892" s="1031"/>
      <c r="T892" s="952"/>
      <c r="U892" s="941"/>
      <c r="V892" s="941"/>
      <c r="W892" s="941"/>
    </row>
    <row r="893" spans="10:23" s="1011" customFormat="1" x14ac:dyDescent="0.2">
      <c r="J893" s="1030"/>
      <c r="K893" s="1030"/>
      <c r="L893" s="1030"/>
      <c r="M893" s="1030"/>
      <c r="N893" s="1030"/>
      <c r="O893" s="1030"/>
      <c r="P893" s="1030"/>
      <c r="Q893" s="1030"/>
      <c r="R893" s="1030"/>
      <c r="S893" s="1031"/>
      <c r="T893" s="952"/>
      <c r="U893" s="941"/>
      <c r="V893" s="941"/>
      <c r="W893" s="941"/>
    </row>
    <row r="894" spans="10:23" s="1011" customFormat="1" x14ac:dyDescent="0.2">
      <c r="J894" s="1030"/>
      <c r="K894" s="1030"/>
      <c r="L894" s="1030"/>
      <c r="M894" s="1030"/>
      <c r="N894" s="1030"/>
      <c r="O894" s="1030"/>
      <c r="P894" s="1030"/>
      <c r="Q894" s="1030"/>
      <c r="R894" s="1030"/>
      <c r="S894" s="1031"/>
      <c r="T894" s="952"/>
      <c r="U894" s="941"/>
      <c r="V894" s="941"/>
      <c r="W894" s="941"/>
    </row>
    <row r="895" spans="10:23" s="1011" customFormat="1" x14ac:dyDescent="0.2">
      <c r="J895" s="1030"/>
      <c r="K895" s="1030"/>
      <c r="L895" s="1030"/>
      <c r="M895" s="1030"/>
      <c r="N895" s="1030"/>
      <c r="O895" s="1030"/>
      <c r="P895" s="1030"/>
      <c r="Q895" s="1030"/>
      <c r="R895" s="1030"/>
      <c r="S895" s="1031"/>
      <c r="T895" s="952"/>
      <c r="U895" s="941"/>
      <c r="V895" s="941"/>
      <c r="W895" s="941"/>
    </row>
    <row r="896" spans="10:23" s="1011" customFormat="1" x14ac:dyDescent="0.2">
      <c r="J896" s="1030"/>
      <c r="K896" s="1030"/>
      <c r="L896" s="1030"/>
      <c r="M896" s="1030"/>
      <c r="N896" s="1030"/>
      <c r="O896" s="1030"/>
      <c r="P896" s="1030"/>
      <c r="Q896" s="1030"/>
      <c r="R896" s="1030"/>
      <c r="S896" s="1031"/>
      <c r="T896" s="952"/>
      <c r="U896" s="941"/>
      <c r="V896" s="941"/>
      <c r="W896" s="941"/>
    </row>
    <row r="897" spans="10:23" s="1011" customFormat="1" x14ac:dyDescent="0.2">
      <c r="J897" s="1030"/>
      <c r="K897" s="1030"/>
      <c r="L897" s="1030"/>
      <c r="M897" s="1030"/>
      <c r="N897" s="1030"/>
      <c r="O897" s="1030"/>
      <c r="P897" s="1030"/>
      <c r="Q897" s="1030"/>
      <c r="R897" s="1030"/>
      <c r="S897" s="1031"/>
      <c r="T897" s="952"/>
      <c r="U897" s="941"/>
      <c r="V897" s="941"/>
      <c r="W897" s="941"/>
    </row>
    <row r="898" spans="10:23" s="1011" customFormat="1" x14ac:dyDescent="0.2">
      <c r="J898" s="1030"/>
      <c r="K898" s="1030"/>
      <c r="L898" s="1030"/>
      <c r="M898" s="1030"/>
      <c r="N898" s="1030"/>
      <c r="O898" s="1030"/>
      <c r="P898" s="1030"/>
      <c r="Q898" s="1030"/>
      <c r="R898" s="1030"/>
      <c r="S898" s="1031"/>
      <c r="T898" s="952"/>
      <c r="U898" s="941"/>
      <c r="V898" s="941"/>
      <c r="W898" s="941"/>
    </row>
    <row r="899" spans="10:23" s="1011" customFormat="1" x14ac:dyDescent="0.2">
      <c r="J899" s="1030"/>
      <c r="K899" s="1030"/>
      <c r="L899" s="1030"/>
      <c r="M899" s="1030"/>
      <c r="N899" s="1030"/>
      <c r="O899" s="1030"/>
      <c r="P899" s="1030"/>
      <c r="Q899" s="1030"/>
      <c r="R899" s="1030"/>
      <c r="S899" s="1031"/>
      <c r="T899" s="952"/>
      <c r="U899" s="941"/>
      <c r="V899" s="941"/>
      <c r="W899" s="941"/>
    </row>
    <row r="900" spans="10:23" s="1011" customFormat="1" x14ac:dyDescent="0.2">
      <c r="J900" s="1030"/>
      <c r="K900" s="1030"/>
      <c r="L900" s="1030"/>
      <c r="M900" s="1030"/>
      <c r="N900" s="1030"/>
      <c r="O900" s="1030"/>
      <c r="P900" s="1030"/>
      <c r="Q900" s="1030"/>
      <c r="R900" s="1030"/>
      <c r="S900" s="1031"/>
      <c r="T900" s="952"/>
      <c r="U900" s="941"/>
      <c r="V900" s="941"/>
      <c r="W900" s="941"/>
    </row>
    <row r="901" spans="10:23" s="1011" customFormat="1" x14ac:dyDescent="0.2">
      <c r="J901" s="1030"/>
      <c r="K901" s="1030"/>
      <c r="L901" s="1030"/>
      <c r="M901" s="1030"/>
      <c r="N901" s="1030"/>
      <c r="O901" s="1030"/>
      <c r="P901" s="1030"/>
      <c r="Q901" s="1030"/>
      <c r="R901" s="1030"/>
      <c r="S901" s="1031"/>
      <c r="T901" s="952"/>
      <c r="U901" s="941"/>
      <c r="V901" s="941"/>
      <c r="W901" s="941"/>
    </row>
    <row r="902" spans="10:23" s="1011" customFormat="1" x14ac:dyDescent="0.2">
      <c r="J902" s="1030"/>
      <c r="K902" s="1030"/>
      <c r="L902" s="1030"/>
      <c r="M902" s="1030"/>
      <c r="N902" s="1030"/>
      <c r="O902" s="1030"/>
      <c r="P902" s="1030"/>
      <c r="Q902" s="1030"/>
      <c r="R902" s="1030"/>
      <c r="S902" s="1031"/>
      <c r="T902" s="952"/>
      <c r="U902" s="941"/>
      <c r="V902" s="941"/>
      <c r="W902" s="941"/>
    </row>
    <row r="903" spans="10:23" s="1011" customFormat="1" x14ac:dyDescent="0.2">
      <c r="J903" s="1030"/>
      <c r="K903" s="1030"/>
      <c r="L903" s="1030"/>
      <c r="M903" s="1030"/>
      <c r="N903" s="1030"/>
      <c r="O903" s="1030"/>
      <c r="P903" s="1030"/>
      <c r="Q903" s="1030"/>
      <c r="R903" s="1030"/>
      <c r="S903" s="1031"/>
      <c r="T903" s="952"/>
      <c r="U903" s="941"/>
      <c r="V903" s="941"/>
      <c r="W903" s="941"/>
    </row>
    <row r="904" spans="10:23" s="1011" customFormat="1" x14ac:dyDescent="0.2">
      <c r="J904" s="1030"/>
      <c r="K904" s="1030"/>
      <c r="L904" s="1030"/>
      <c r="M904" s="1030"/>
      <c r="N904" s="1030"/>
      <c r="O904" s="1030"/>
      <c r="P904" s="1030"/>
      <c r="Q904" s="1030"/>
      <c r="R904" s="1030"/>
      <c r="S904" s="1031"/>
      <c r="T904" s="952"/>
      <c r="U904" s="941"/>
      <c r="V904" s="941"/>
      <c r="W904" s="941"/>
    </row>
    <row r="905" spans="10:23" s="1011" customFormat="1" x14ac:dyDescent="0.2">
      <c r="J905" s="1030"/>
      <c r="K905" s="1030"/>
      <c r="L905" s="1030"/>
      <c r="M905" s="1030"/>
      <c r="N905" s="1030"/>
      <c r="O905" s="1030"/>
      <c r="P905" s="1030"/>
      <c r="Q905" s="1030"/>
      <c r="R905" s="1030"/>
      <c r="S905" s="1031"/>
      <c r="T905" s="952"/>
      <c r="U905" s="941"/>
      <c r="V905" s="941"/>
      <c r="W905" s="941"/>
    </row>
    <row r="906" spans="10:23" s="1011" customFormat="1" x14ac:dyDescent="0.2">
      <c r="J906" s="1030"/>
      <c r="K906" s="1030"/>
      <c r="L906" s="1030"/>
      <c r="M906" s="1030"/>
      <c r="N906" s="1030"/>
      <c r="O906" s="1030"/>
      <c r="P906" s="1030"/>
      <c r="Q906" s="1030"/>
      <c r="R906" s="1030"/>
      <c r="S906" s="1031"/>
      <c r="T906" s="952"/>
      <c r="U906" s="941"/>
      <c r="V906" s="941"/>
      <c r="W906" s="941"/>
    </row>
    <row r="907" spans="10:23" s="1011" customFormat="1" x14ac:dyDescent="0.2">
      <c r="J907" s="1030"/>
      <c r="K907" s="1030"/>
      <c r="L907" s="1030"/>
      <c r="M907" s="1030"/>
      <c r="N907" s="1030"/>
      <c r="O907" s="1030"/>
      <c r="P907" s="1030"/>
      <c r="Q907" s="1030"/>
      <c r="R907" s="1030"/>
      <c r="S907" s="1031"/>
      <c r="T907" s="952"/>
      <c r="U907" s="941"/>
      <c r="V907" s="941"/>
      <c r="W907" s="941"/>
    </row>
    <row r="908" spans="10:23" s="1011" customFormat="1" x14ac:dyDescent="0.2">
      <c r="J908" s="1030"/>
      <c r="K908" s="1030"/>
      <c r="L908" s="1030"/>
      <c r="M908" s="1030"/>
      <c r="N908" s="1030"/>
      <c r="O908" s="1030"/>
      <c r="P908" s="1030"/>
      <c r="Q908" s="1030"/>
      <c r="R908" s="1030"/>
      <c r="S908" s="1031"/>
      <c r="T908" s="952"/>
      <c r="U908" s="941"/>
      <c r="V908" s="941"/>
      <c r="W908" s="941"/>
    </row>
    <row r="909" spans="10:23" s="1011" customFormat="1" x14ac:dyDescent="0.2">
      <c r="J909" s="1030"/>
      <c r="K909" s="1030"/>
      <c r="L909" s="1030"/>
      <c r="M909" s="1030"/>
      <c r="N909" s="1030"/>
      <c r="O909" s="1030"/>
      <c r="P909" s="1030"/>
      <c r="Q909" s="1030"/>
      <c r="R909" s="1030"/>
      <c r="S909" s="1031"/>
      <c r="T909" s="952"/>
      <c r="U909" s="941"/>
      <c r="V909" s="941"/>
      <c r="W909" s="941"/>
    </row>
    <row r="910" spans="10:23" s="1011" customFormat="1" x14ac:dyDescent="0.2">
      <c r="J910" s="1030"/>
      <c r="K910" s="1030"/>
      <c r="L910" s="1030"/>
      <c r="M910" s="1030"/>
      <c r="N910" s="1030"/>
      <c r="O910" s="1030"/>
      <c r="P910" s="1030"/>
      <c r="Q910" s="1030"/>
      <c r="R910" s="1030"/>
      <c r="S910" s="1031"/>
      <c r="T910" s="952"/>
      <c r="U910" s="941"/>
      <c r="V910" s="941"/>
      <c r="W910" s="941"/>
    </row>
    <row r="911" spans="10:23" s="1011" customFormat="1" x14ac:dyDescent="0.2">
      <c r="J911" s="1030"/>
      <c r="K911" s="1030"/>
      <c r="L911" s="1030"/>
      <c r="M911" s="1030"/>
      <c r="N911" s="1030"/>
      <c r="O911" s="1030"/>
      <c r="P911" s="1030"/>
      <c r="Q911" s="1030"/>
      <c r="R911" s="1030"/>
      <c r="S911" s="1031"/>
      <c r="T911" s="952"/>
      <c r="U911" s="941"/>
      <c r="V911" s="941"/>
      <c r="W911" s="941"/>
    </row>
    <row r="912" spans="10:23" s="1011" customFormat="1" x14ac:dyDescent="0.2">
      <c r="J912" s="1030"/>
      <c r="K912" s="1030"/>
      <c r="L912" s="1030"/>
      <c r="M912" s="1030"/>
      <c r="N912" s="1030"/>
      <c r="O912" s="1030"/>
      <c r="P912" s="1030"/>
      <c r="Q912" s="1030"/>
      <c r="R912" s="1030"/>
      <c r="S912" s="1031"/>
      <c r="T912" s="952"/>
      <c r="U912" s="941"/>
      <c r="V912" s="941"/>
      <c r="W912" s="941"/>
    </row>
    <row r="913" spans="10:23" s="1011" customFormat="1" x14ac:dyDescent="0.2">
      <c r="J913" s="1030"/>
      <c r="K913" s="1030"/>
      <c r="L913" s="1030"/>
      <c r="M913" s="1030"/>
      <c r="N913" s="1030"/>
      <c r="O913" s="1030"/>
      <c r="P913" s="1030"/>
      <c r="Q913" s="1030"/>
      <c r="R913" s="1030"/>
      <c r="S913" s="1031"/>
      <c r="T913" s="952"/>
      <c r="U913" s="941"/>
      <c r="V913" s="941"/>
      <c r="W913" s="941"/>
    </row>
    <row r="914" spans="10:23" s="1011" customFormat="1" x14ac:dyDescent="0.2">
      <c r="J914" s="1030"/>
      <c r="K914" s="1030"/>
      <c r="L914" s="1030"/>
      <c r="M914" s="1030"/>
      <c r="N914" s="1030"/>
      <c r="O914" s="1030"/>
      <c r="P914" s="1030"/>
      <c r="Q914" s="1030"/>
      <c r="R914" s="1030"/>
      <c r="S914" s="1031"/>
      <c r="T914" s="952"/>
      <c r="U914" s="941"/>
      <c r="V914" s="941"/>
      <c r="W914" s="941"/>
    </row>
    <row r="915" spans="10:23" s="1011" customFormat="1" x14ac:dyDescent="0.2">
      <c r="J915" s="1030"/>
      <c r="K915" s="1030"/>
      <c r="L915" s="1030"/>
      <c r="M915" s="1030"/>
      <c r="N915" s="1030"/>
      <c r="O915" s="1030"/>
      <c r="P915" s="1030"/>
      <c r="Q915" s="1030"/>
      <c r="R915" s="1030"/>
      <c r="S915" s="1031"/>
      <c r="T915" s="952"/>
      <c r="U915" s="941"/>
      <c r="V915" s="941"/>
      <c r="W915" s="941"/>
    </row>
    <row r="916" spans="10:23" s="1011" customFormat="1" x14ac:dyDescent="0.2">
      <c r="J916" s="1030"/>
      <c r="K916" s="1030"/>
      <c r="L916" s="1030"/>
      <c r="M916" s="1030"/>
      <c r="N916" s="1030"/>
      <c r="O916" s="1030"/>
      <c r="P916" s="1030"/>
      <c r="Q916" s="1030"/>
      <c r="R916" s="1030"/>
      <c r="S916" s="1031"/>
      <c r="T916" s="952"/>
      <c r="U916" s="941"/>
      <c r="V916" s="941"/>
      <c r="W916" s="941"/>
    </row>
    <row r="917" spans="10:23" s="1011" customFormat="1" x14ac:dyDescent="0.2">
      <c r="J917" s="1030"/>
      <c r="K917" s="1030"/>
      <c r="L917" s="1030"/>
      <c r="M917" s="1030"/>
      <c r="N917" s="1030"/>
      <c r="O917" s="1030"/>
      <c r="P917" s="1030"/>
      <c r="Q917" s="1030"/>
      <c r="R917" s="1030"/>
      <c r="S917" s="1031"/>
      <c r="T917" s="952"/>
      <c r="U917" s="941"/>
      <c r="V917" s="941"/>
      <c r="W917" s="941"/>
    </row>
    <row r="918" spans="10:23" s="1011" customFormat="1" x14ac:dyDescent="0.2">
      <c r="J918" s="1030"/>
      <c r="K918" s="1030"/>
      <c r="L918" s="1030"/>
      <c r="M918" s="1030"/>
      <c r="N918" s="1030"/>
      <c r="O918" s="1030"/>
      <c r="P918" s="1030"/>
      <c r="Q918" s="1030"/>
      <c r="R918" s="1030"/>
      <c r="S918" s="1031"/>
      <c r="T918" s="952"/>
      <c r="U918" s="941"/>
      <c r="V918" s="941"/>
      <c r="W918" s="941"/>
    </row>
    <row r="919" spans="10:23" s="1011" customFormat="1" x14ac:dyDescent="0.2">
      <c r="J919" s="1030"/>
      <c r="K919" s="1030"/>
      <c r="L919" s="1030"/>
      <c r="M919" s="1030"/>
      <c r="N919" s="1030"/>
      <c r="O919" s="1030"/>
      <c r="P919" s="1030"/>
      <c r="Q919" s="1030"/>
      <c r="R919" s="1030"/>
      <c r="S919" s="1031"/>
      <c r="T919" s="952"/>
      <c r="U919" s="941"/>
      <c r="V919" s="941"/>
      <c r="W919" s="941"/>
    </row>
    <row r="920" spans="10:23" s="1011" customFormat="1" x14ac:dyDescent="0.2">
      <c r="J920" s="1030"/>
      <c r="K920" s="1030"/>
      <c r="L920" s="1030"/>
      <c r="M920" s="1030"/>
      <c r="N920" s="1030"/>
      <c r="O920" s="1030"/>
      <c r="P920" s="1030"/>
      <c r="Q920" s="1030"/>
      <c r="R920" s="1030"/>
      <c r="S920" s="1031"/>
      <c r="T920" s="952"/>
      <c r="U920" s="941"/>
      <c r="V920" s="941"/>
      <c r="W920" s="941"/>
    </row>
    <row r="921" spans="10:23" s="1011" customFormat="1" x14ac:dyDescent="0.2">
      <c r="J921" s="1030"/>
      <c r="K921" s="1030"/>
      <c r="L921" s="1030"/>
      <c r="M921" s="1030"/>
      <c r="N921" s="1030"/>
      <c r="O921" s="1030"/>
      <c r="P921" s="1030"/>
      <c r="Q921" s="1030"/>
      <c r="R921" s="1030"/>
      <c r="S921" s="1031"/>
      <c r="T921" s="952"/>
      <c r="U921" s="941"/>
      <c r="V921" s="941"/>
      <c r="W921" s="941"/>
    </row>
    <row r="922" spans="10:23" s="1011" customFormat="1" x14ac:dyDescent="0.2">
      <c r="J922" s="1030"/>
      <c r="K922" s="1030"/>
      <c r="L922" s="1030"/>
      <c r="M922" s="1030"/>
      <c r="N922" s="1030"/>
      <c r="O922" s="1030"/>
      <c r="P922" s="1030"/>
      <c r="Q922" s="1030"/>
      <c r="R922" s="1030"/>
      <c r="S922" s="1031"/>
      <c r="T922" s="952"/>
      <c r="U922" s="941"/>
      <c r="V922" s="941"/>
      <c r="W922" s="941"/>
    </row>
    <row r="923" spans="10:23" s="1011" customFormat="1" x14ac:dyDescent="0.2">
      <c r="J923" s="1030"/>
      <c r="K923" s="1030"/>
      <c r="L923" s="1030"/>
      <c r="M923" s="1030"/>
      <c r="N923" s="1030"/>
      <c r="O923" s="1030"/>
      <c r="P923" s="1030"/>
      <c r="Q923" s="1030"/>
      <c r="R923" s="1030"/>
      <c r="S923" s="1031"/>
      <c r="T923" s="952"/>
      <c r="U923" s="941"/>
      <c r="V923" s="941"/>
      <c r="W923" s="941"/>
    </row>
    <row r="924" spans="10:23" s="1011" customFormat="1" x14ac:dyDescent="0.2">
      <c r="J924" s="1030"/>
      <c r="K924" s="1030"/>
      <c r="L924" s="1030"/>
      <c r="M924" s="1030"/>
      <c r="N924" s="1030"/>
      <c r="O924" s="1030"/>
      <c r="P924" s="1030"/>
      <c r="Q924" s="1030"/>
      <c r="R924" s="1030"/>
      <c r="S924" s="1031"/>
      <c r="T924" s="952"/>
      <c r="U924" s="941"/>
      <c r="V924" s="941"/>
      <c r="W924" s="941"/>
    </row>
    <row r="925" spans="10:23" s="1011" customFormat="1" x14ac:dyDescent="0.2">
      <c r="J925" s="1030"/>
      <c r="K925" s="1030"/>
      <c r="L925" s="1030"/>
      <c r="M925" s="1030"/>
      <c r="N925" s="1030"/>
      <c r="O925" s="1030"/>
      <c r="P925" s="1030"/>
      <c r="Q925" s="1030"/>
      <c r="R925" s="1030"/>
      <c r="S925" s="1031"/>
      <c r="T925" s="952"/>
      <c r="U925" s="941"/>
      <c r="V925" s="941"/>
      <c r="W925" s="941"/>
    </row>
    <row r="926" spans="10:23" s="1011" customFormat="1" x14ac:dyDescent="0.2">
      <c r="J926" s="1030"/>
      <c r="K926" s="1030"/>
      <c r="L926" s="1030"/>
      <c r="M926" s="1030"/>
      <c r="N926" s="1030"/>
      <c r="O926" s="1030"/>
      <c r="P926" s="1030"/>
      <c r="Q926" s="1030"/>
      <c r="R926" s="1030"/>
      <c r="S926" s="1031"/>
      <c r="T926" s="952"/>
      <c r="U926" s="941"/>
      <c r="V926" s="941"/>
      <c r="W926" s="941"/>
    </row>
    <row r="927" spans="10:23" s="1011" customFormat="1" x14ac:dyDescent="0.2">
      <c r="J927" s="1030"/>
      <c r="K927" s="1030"/>
      <c r="L927" s="1030"/>
      <c r="M927" s="1030"/>
      <c r="N927" s="1030"/>
      <c r="O927" s="1030"/>
      <c r="P927" s="1030"/>
      <c r="Q927" s="1030"/>
      <c r="R927" s="1030"/>
      <c r="S927" s="1031"/>
      <c r="T927" s="952"/>
      <c r="U927" s="941"/>
      <c r="V927" s="941"/>
      <c r="W927" s="941"/>
    </row>
    <row r="928" spans="10:23" s="1011" customFormat="1" x14ac:dyDescent="0.2">
      <c r="J928" s="1030"/>
      <c r="K928" s="1030"/>
      <c r="L928" s="1030"/>
      <c r="M928" s="1030"/>
      <c r="N928" s="1030"/>
      <c r="O928" s="1030"/>
      <c r="P928" s="1030"/>
      <c r="Q928" s="1030"/>
      <c r="R928" s="1030"/>
      <c r="S928" s="1031"/>
      <c r="T928" s="952"/>
      <c r="U928" s="941"/>
      <c r="V928" s="941"/>
      <c r="W928" s="941"/>
    </row>
    <row r="929" spans="10:23" s="1011" customFormat="1" x14ac:dyDescent="0.2">
      <c r="J929" s="1030"/>
      <c r="K929" s="1030"/>
      <c r="L929" s="1030"/>
      <c r="M929" s="1030"/>
      <c r="N929" s="1030"/>
      <c r="O929" s="1030"/>
      <c r="P929" s="1030"/>
      <c r="Q929" s="1030"/>
      <c r="R929" s="1030"/>
      <c r="S929" s="1031"/>
      <c r="T929" s="952"/>
      <c r="U929" s="941"/>
      <c r="V929" s="941"/>
      <c r="W929" s="941"/>
    </row>
    <row r="930" spans="10:23" s="1011" customFormat="1" x14ac:dyDescent="0.2">
      <c r="J930" s="1030"/>
      <c r="K930" s="1030"/>
      <c r="L930" s="1030"/>
      <c r="M930" s="1030"/>
      <c r="N930" s="1030"/>
      <c r="O930" s="1030"/>
      <c r="P930" s="1030"/>
      <c r="Q930" s="1030"/>
      <c r="R930" s="1030"/>
      <c r="S930" s="1031"/>
      <c r="T930" s="952"/>
      <c r="U930" s="941"/>
      <c r="V930" s="941"/>
      <c r="W930" s="941"/>
    </row>
    <row r="931" spans="10:23" s="1011" customFormat="1" x14ac:dyDescent="0.2">
      <c r="J931" s="1030"/>
      <c r="K931" s="1030"/>
      <c r="L931" s="1030"/>
      <c r="M931" s="1030"/>
      <c r="N931" s="1030"/>
      <c r="O931" s="1030"/>
      <c r="P931" s="1030"/>
      <c r="Q931" s="1030"/>
      <c r="R931" s="1030"/>
      <c r="S931" s="1031"/>
      <c r="T931" s="952"/>
      <c r="U931" s="941"/>
      <c r="V931" s="941"/>
      <c r="W931" s="941"/>
    </row>
    <row r="932" spans="10:23" s="1011" customFormat="1" x14ac:dyDescent="0.2">
      <c r="J932" s="1030"/>
      <c r="K932" s="1030"/>
      <c r="L932" s="1030"/>
      <c r="M932" s="1030"/>
      <c r="N932" s="1030"/>
      <c r="O932" s="1030"/>
      <c r="P932" s="1030"/>
      <c r="Q932" s="1030"/>
      <c r="R932" s="1030"/>
      <c r="S932" s="1031"/>
      <c r="T932" s="952"/>
      <c r="U932" s="941"/>
      <c r="V932" s="941"/>
      <c r="W932" s="941"/>
    </row>
    <row r="933" spans="10:23" s="1011" customFormat="1" x14ac:dyDescent="0.2">
      <c r="J933" s="1030"/>
      <c r="K933" s="1030"/>
      <c r="L933" s="1030"/>
      <c r="M933" s="1030"/>
      <c r="N933" s="1030"/>
      <c r="O933" s="1030"/>
      <c r="P933" s="1030"/>
      <c r="Q933" s="1030"/>
      <c r="R933" s="1030"/>
      <c r="S933" s="1031"/>
      <c r="T933" s="952"/>
      <c r="U933" s="941"/>
      <c r="V933" s="941"/>
      <c r="W933" s="941"/>
    </row>
    <row r="934" spans="10:23" s="1011" customFormat="1" x14ac:dyDescent="0.2">
      <c r="J934" s="1030"/>
      <c r="K934" s="1030"/>
      <c r="L934" s="1030"/>
      <c r="M934" s="1030"/>
      <c r="N934" s="1030"/>
      <c r="O934" s="1030"/>
      <c r="P934" s="1030"/>
      <c r="Q934" s="1030"/>
      <c r="R934" s="1030"/>
      <c r="S934" s="1031"/>
      <c r="T934" s="952"/>
      <c r="U934" s="941"/>
      <c r="V934" s="941"/>
      <c r="W934" s="941"/>
    </row>
    <row r="935" spans="10:23" s="1011" customFormat="1" x14ac:dyDescent="0.2">
      <c r="J935" s="1030"/>
      <c r="K935" s="1030"/>
      <c r="L935" s="1030"/>
      <c r="M935" s="1030"/>
      <c r="N935" s="1030"/>
      <c r="O935" s="1030"/>
      <c r="P935" s="1030"/>
      <c r="Q935" s="1030"/>
      <c r="R935" s="1030"/>
      <c r="S935" s="1031"/>
      <c r="T935" s="952"/>
      <c r="U935" s="941"/>
      <c r="V935" s="941"/>
      <c r="W935" s="941"/>
    </row>
    <row r="936" spans="10:23" s="1011" customFormat="1" x14ac:dyDescent="0.2">
      <c r="J936" s="1030"/>
      <c r="K936" s="1030"/>
      <c r="L936" s="1030"/>
      <c r="M936" s="1030"/>
      <c r="N936" s="1030"/>
      <c r="O936" s="1030"/>
      <c r="P936" s="1030"/>
      <c r="Q936" s="1030"/>
      <c r="R936" s="1030"/>
      <c r="S936" s="1031"/>
      <c r="T936" s="952"/>
      <c r="U936" s="941"/>
      <c r="V936" s="941"/>
      <c r="W936" s="941"/>
    </row>
    <row r="937" spans="10:23" s="1011" customFormat="1" x14ac:dyDescent="0.2">
      <c r="J937" s="1030"/>
      <c r="K937" s="1030"/>
      <c r="L937" s="1030"/>
      <c r="M937" s="1030"/>
      <c r="N937" s="1030"/>
      <c r="O937" s="1030"/>
      <c r="P937" s="1030"/>
      <c r="Q937" s="1030"/>
      <c r="R937" s="1030"/>
      <c r="S937" s="1031"/>
      <c r="T937" s="952"/>
      <c r="U937" s="941"/>
      <c r="V937" s="941"/>
      <c r="W937" s="941"/>
    </row>
    <row r="938" spans="10:23" s="1011" customFormat="1" x14ac:dyDescent="0.2">
      <c r="J938" s="1030"/>
      <c r="K938" s="1030"/>
      <c r="L938" s="1030"/>
      <c r="M938" s="1030"/>
      <c r="N938" s="1030"/>
      <c r="O938" s="1030"/>
      <c r="P938" s="1030"/>
      <c r="Q938" s="1030"/>
      <c r="R938" s="1030"/>
      <c r="S938" s="1031"/>
      <c r="T938" s="952"/>
      <c r="U938" s="941"/>
      <c r="V938" s="941"/>
      <c r="W938" s="941"/>
    </row>
    <row r="939" spans="10:23" s="1011" customFormat="1" x14ac:dyDescent="0.2">
      <c r="J939" s="1030"/>
      <c r="K939" s="1030"/>
      <c r="L939" s="1030"/>
      <c r="M939" s="1030"/>
      <c r="N939" s="1030"/>
      <c r="O939" s="1030"/>
      <c r="P939" s="1030"/>
      <c r="Q939" s="1030"/>
      <c r="R939" s="1030"/>
      <c r="S939" s="1031"/>
      <c r="T939" s="952"/>
      <c r="U939" s="941"/>
      <c r="V939" s="941"/>
      <c r="W939" s="941"/>
    </row>
    <row r="940" spans="10:23" s="1011" customFormat="1" x14ac:dyDescent="0.2">
      <c r="J940" s="1030"/>
      <c r="K940" s="1030"/>
      <c r="L940" s="1030"/>
      <c r="M940" s="1030"/>
      <c r="N940" s="1030"/>
      <c r="O940" s="1030"/>
      <c r="P940" s="1030"/>
      <c r="Q940" s="1030"/>
      <c r="R940" s="1030"/>
      <c r="S940" s="1031"/>
      <c r="T940" s="952"/>
      <c r="U940" s="941"/>
      <c r="V940" s="941"/>
      <c r="W940" s="941"/>
    </row>
    <row r="941" spans="10:23" s="1011" customFormat="1" x14ac:dyDescent="0.2">
      <c r="J941" s="1030"/>
      <c r="K941" s="1030"/>
      <c r="L941" s="1030"/>
      <c r="M941" s="1030"/>
      <c r="N941" s="1030"/>
      <c r="O941" s="1030"/>
      <c r="P941" s="1030"/>
      <c r="Q941" s="1030"/>
      <c r="R941" s="1030"/>
      <c r="S941" s="1031"/>
      <c r="T941" s="952"/>
      <c r="U941" s="941"/>
      <c r="V941" s="941"/>
      <c r="W941" s="941"/>
    </row>
    <row r="942" spans="10:23" s="1011" customFormat="1" x14ac:dyDescent="0.2">
      <c r="J942" s="1030"/>
      <c r="K942" s="1030"/>
      <c r="L942" s="1030"/>
      <c r="M942" s="1030"/>
      <c r="N942" s="1030"/>
      <c r="O942" s="1030"/>
      <c r="P942" s="1030"/>
      <c r="Q942" s="1030"/>
      <c r="R942" s="1030"/>
      <c r="S942" s="1031"/>
      <c r="T942" s="952"/>
      <c r="U942" s="941"/>
      <c r="V942" s="941"/>
      <c r="W942" s="941"/>
    </row>
    <row r="943" spans="10:23" s="1011" customFormat="1" x14ac:dyDescent="0.2">
      <c r="J943" s="1030"/>
      <c r="K943" s="1030"/>
      <c r="L943" s="1030"/>
      <c r="M943" s="1030"/>
      <c r="N943" s="1030"/>
      <c r="O943" s="1030"/>
      <c r="P943" s="1030"/>
      <c r="Q943" s="1030"/>
      <c r="R943" s="1030"/>
      <c r="S943" s="1031"/>
      <c r="T943" s="952"/>
      <c r="U943" s="941"/>
      <c r="V943" s="941"/>
      <c r="W943" s="941"/>
    </row>
    <row r="944" spans="10:23" s="1011" customFormat="1" x14ac:dyDescent="0.2">
      <c r="J944" s="1030"/>
      <c r="K944" s="1030"/>
      <c r="L944" s="1030"/>
      <c r="M944" s="1030"/>
      <c r="N944" s="1030"/>
      <c r="O944" s="1030"/>
      <c r="P944" s="1030"/>
      <c r="Q944" s="1030"/>
      <c r="R944" s="1030"/>
      <c r="S944" s="1031"/>
      <c r="T944" s="952"/>
      <c r="U944" s="941"/>
      <c r="V944" s="941"/>
      <c r="W944" s="941"/>
    </row>
    <row r="945" spans="10:23" s="1011" customFormat="1" x14ac:dyDescent="0.2">
      <c r="J945" s="1030"/>
      <c r="K945" s="1030"/>
      <c r="L945" s="1030"/>
      <c r="M945" s="1030"/>
      <c r="N945" s="1030"/>
      <c r="O945" s="1030"/>
      <c r="P945" s="1030"/>
      <c r="Q945" s="1030"/>
      <c r="R945" s="1030"/>
      <c r="S945" s="1031"/>
      <c r="T945" s="952"/>
      <c r="U945" s="941"/>
      <c r="V945" s="941"/>
      <c r="W945" s="941"/>
    </row>
    <row r="946" spans="10:23" s="1011" customFormat="1" x14ac:dyDescent="0.2">
      <c r="J946" s="1030"/>
      <c r="K946" s="1030"/>
      <c r="L946" s="1030"/>
      <c r="M946" s="1030"/>
      <c r="N946" s="1030"/>
      <c r="O946" s="1030"/>
      <c r="P946" s="1030"/>
      <c r="Q946" s="1030"/>
      <c r="R946" s="1030"/>
      <c r="S946" s="1031"/>
      <c r="T946" s="952"/>
      <c r="U946" s="941"/>
      <c r="V946" s="941"/>
      <c r="W946" s="941"/>
    </row>
    <row r="947" spans="10:23" s="1011" customFormat="1" x14ac:dyDescent="0.2">
      <c r="J947" s="1030"/>
      <c r="K947" s="1030"/>
      <c r="L947" s="1030"/>
      <c r="M947" s="1030"/>
      <c r="N947" s="1030"/>
      <c r="O947" s="1030"/>
      <c r="P947" s="1030"/>
      <c r="Q947" s="1030"/>
      <c r="R947" s="1030"/>
      <c r="S947" s="1031"/>
      <c r="T947" s="952"/>
      <c r="U947" s="941"/>
      <c r="V947" s="941"/>
      <c r="W947" s="941"/>
    </row>
    <row r="948" spans="10:23" s="1011" customFormat="1" x14ac:dyDescent="0.2">
      <c r="J948" s="1030"/>
      <c r="K948" s="1030"/>
      <c r="L948" s="1030"/>
      <c r="M948" s="1030"/>
      <c r="N948" s="1030"/>
      <c r="O948" s="1030"/>
      <c r="P948" s="1030"/>
      <c r="Q948" s="1030"/>
      <c r="R948" s="1030"/>
      <c r="S948" s="1031"/>
      <c r="T948" s="952"/>
      <c r="U948" s="941"/>
      <c r="V948" s="941"/>
      <c r="W948" s="941"/>
    </row>
    <row r="949" spans="10:23" s="1011" customFormat="1" x14ac:dyDescent="0.2">
      <c r="J949" s="1030"/>
      <c r="K949" s="1030"/>
      <c r="L949" s="1030"/>
      <c r="M949" s="1030"/>
      <c r="N949" s="1030"/>
      <c r="O949" s="1030"/>
      <c r="P949" s="1030"/>
      <c r="Q949" s="1030"/>
      <c r="R949" s="1030"/>
      <c r="S949" s="1031"/>
      <c r="T949" s="952"/>
      <c r="U949" s="941"/>
      <c r="V949" s="941"/>
      <c r="W949" s="941"/>
    </row>
    <row r="950" spans="10:23" s="1011" customFormat="1" x14ac:dyDescent="0.2">
      <c r="J950" s="1030"/>
      <c r="K950" s="1030"/>
      <c r="L950" s="1030"/>
      <c r="M950" s="1030"/>
      <c r="N950" s="1030"/>
      <c r="O950" s="1030"/>
      <c r="P950" s="1030"/>
      <c r="Q950" s="1030"/>
      <c r="R950" s="1030"/>
      <c r="S950" s="1031"/>
      <c r="T950" s="952"/>
      <c r="U950" s="941"/>
      <c r="V950" s="941"/>
      <c r="W950" s="941"/>
    </row>
    <row r="951" spans="10:23" s="1011" customFormat="1" x14ac:dyDescent="0.2">
      <c r="J951" s="1030"/>
      <c r="K951" s="1030"/>
      <c r="L951" s="1030"/>
      <c r="M951" s="1030"/>
      <c r="N951" s="1030"/>
      <c r="O951" s="1030"/>
      <c r="P951" s="1030"/>
      <c r="Q951" s="1030"/>
      <c r="R951" s="1030"/>
      <c r="S951" s="1031"/>
      <c r="T951" s="952"/>
      <c r="U951" s="941"/>
      <c r="V951" s="941"/>
      <c r="W951" s="941"/>
    </row>
    <row r="952" spans="10:23" s="1011" customFormat="1" x14ac:dyDescent="0.2">
      <c r="J952" s="1030"/>
      <c r="K952" s="1030"/>
      <c r="L952" s="1030"/>
      <c r="M952" s="1030"/>
      <c r="N952" s="1030"/>
      <c r="O952" s="1030"/>
      <c r="P952" s="1030"/>
      <c r="Q952" s="1030"/>
      <c r="R952" s="1030"/>
      <c r="S952" s="1031"/>
      <c r="T952" s="952"/>
      <c r="U952" s="941"/>
      <c r="V952" s="941"/>
      <c r="W952" s="941"/>
    </row>
    <row r="953" spans="10:23" s="1011" customFormat="1" x14ac:dyDescent="0.2">
      <c r="J953" s="1030"/>
      <c r="K953" s="1030"/>
      <c r="L953" s="1030"/>
      <c r="M953" s="1030"/>
      <c r="N953" s="1030"/>
      <c r="O953" s="1030"/>
      <c r="P953" s="1030"/>
      <c r="Q953" s="1030"/>
      <c r="R953" s="1030"/>
      <c r="S953" s="1031"/>
      <c r="T953" s="952"/>
      <c r="U953" s="941"/>
      <c r="V953" s="941"/>
      <c r="W953" s="941"/>
    </row>
    <row r="954" spans="10:23" s="1011" customFormat="1" x14ac:dyDescent="0.2">
      <c r="J954" s="1030"/>
      <c r="K954" s="1030"/>
      <c r="L954" s="1030"/>
      <c r="M954" s="1030"/>
      <c r="N954" s="1030"/>
      <c r="O954" s="1030"/>
      <c r="P954" s="1030"/>
      <c r="Q954" s="1030"/>
      <c r="R954" s="1030"/>
      <c r="S954" s="1031"/>
      <c r="T954" s="952"/>
      <c r="U954" s="941"/>
      <c r="V954" s="941"/>
      <c r="W954" s="941"/>
    </row>
    <row r="955" spans="10:23" s="1011" customFormat="1" x14ac:dyDescent="0.2">
      <c r="J955" s="1030"/>
      <c r="K955" s="1030"/>
      <c r="L955" s="1030"/>
      <c r="M955" s="1030"/>
      <c r="N955" s="1030"/>
      <c r="O955" s="1030"/>
      <c r="P955" s="1030"/>
      <c r="Q955" s="1030"/>
      <c r="R955" s="1030"/>
      <c r="S955" s="1031"/>
      <c r="T955" s="952"/>
      <c r="U955" s="941"/>
      <c r="V955" s="941"/>
      <c r="W955" s="941"/>
    </row>
    <row r="956" spans="10:23" s="1011" customFormat="1" x14ac:dyDescent="0.2">
      <c r="J956" s="1030"/>
      <c r="K956" s="1030"/>
      <c r="L956" s="1030"/>
      <c r="M956" s="1030"/>
      <c r="N956" s="1030"/>
      <c r="O956" s="1030"/>
      <c r="P956" s="1030"/>
      <c r="Q956" s="1030"/>
      <c r="R956" s="1030"/>
      <c r="S956" s="1031"/>
      <c r="T956" s="952"/>
      <c r="U956" s="941"/>
      <c r="V956" s="941"/>
      <c r="W956" s="941"/>
    </row>
    <row r="957" spans="10:23" s="1011" customFormat="1" x14ac:dyDescent="0.2">
      <c r="J957" s="1030"/>
      <c r="K957" s="1030"/>
      <c r="L957" s="1030"/>
      <c r="M957" s="1030"/>
      <c r="N957" s="1030"/>
      <c r="O957" s="1030"/>
      <c r="P957" s="1030"/>
      <c r="Q957" s="1030"/>
      <c r="R957" s="1030"/>
      <c r="S957" s="1031"/>
      <c r="T957" s="952"/>
      <c r="U957" s="941"/>
      <c r="V957" s="941"/>
      <c r="W957" s="941"/>
    </row>
    <row r="958" spans="10:23" s="1011" customFormat="1" x14ac:dyDescent="0.2">
      <c r="J958" s="1030"/>
      <c r="K958" s="1030"/>
      <c r="L958" s="1030"/>
      <c r="M958" s="1030"/>
      <c r="N958" s="1030"/>
      <c r="O958" s="1030"/>
      <c r="P958" s="1030"/>
      <c r="Q958" s="1030"/>
      <c r="R958" s="1030"/>
      <c r="S958" s="1031"/>
      <c r="T958" s="952"/>
      <c r="U958" s="941"/>
      <c r="V958" s="941"/>
      <c r="W958" s="941"/>
    </row>
    <row r="959" spans="10:23" s="1011" customFormat="1" x14ac:dyDescent="0.2">
      <c r="J959" s="1030"/>
      <c r="K959" s="1030"/>
      <c r="L959" s="1030"/>
      <c r="M959" s="1030"/>
      <c r="N959" s="1030"/>
      <c r="O959" s="1030"/>
      <c r="P959" s="1030"/>
      <c r="Q959" s="1030"/>
      <c r="R959" s="1030"/>
      <c r="S959" s="1031"/>
      <c r="T959" s="952"/>
      <c r="U959" s="941"/>
      <c r="V959" s="941"/>
      <c r="W959" s="941"/>
    </row>
    <row r="960" spans="10:23" s="1011" customFormat="1" x14ac:dyDescent="0.2">
      <c r="J960" s="1030"/>
      <c r="K960" s="1030"/>
      <c r="L960" s="1030"/>
      <c r="M960" s="1030"/>
      <c r="N960" s="1030"/>
      <c r="O960" s="1030"/>
      <c r="P960" s="1030"/>
      <c r="Q960" s="1030"/>
      <c r="R960" s="1030"/>
      <c r="S960" s="1031"/>
      <c r="T960" s="952"/>
      <c r="U960" s="941"/>
      <c r="V960" s="941"/>
      <c r="W960" s="941"/>
    </row>
    <row r="961" spans="10:23" s="1011" customFormat="1" x14ac:dyDescent="0.2">
      <c r="J961" s="1030"/>
      <c r="K961" s="1030"/>
      <c r="L961" s="1030"/>
      <c r="M961" s="1030"/>
      <c r="N961" s="1030"/>
      <c r="O961" s="1030"/>
      <c r="P961" s="1030"/>
      <c r="Q961" s="1030"/>
      <c r="R961" s="1030"/>
      <c r="S961" s="1031"/>
      <c r="T961" s="952"/>
      <c r="U961" s="941"/>
      <c r="V961" s="941"/>
      <c r="W961" s="941"/>
    </row>
    <row r="962" spans="10:23" s="1011" customFormat="1" x14ac:dyDescent="0.2">
      <c r="J962" s="1030"/>
      <c r="K962" s="1030"/>
      <c r="L962" s="1030"/>
      <c r="M962" s="1030"/>
      <c r="N962" s="1030"/>
      <c r="O962" s="1030"/>
      <c r="P962" s="1030"/>
      <c r="Q962" s="1030"/>
      <c r="R962" s="1030"/>
      <c r="S962" s="1031"/>
      <c r="T962" s="952"/>
      <c r="U962" s="941"/>
      <c r="V962" s="941"/>
      <c r="W962" s="941"/>
    </row>
    <row r="963" spans="10:23" s="1011" customFormat="1" x14ac:dyDescent="0.2">
      <c r="J963" s="1030"/>
      <c r="K963" s="1030"/>
      <c r="L963" s="1030"/>
      <c r="M963" s="1030"/>
      <c r="N963" s="1030"/>
      <c r="O963" s="1030"/>
      <c r="P963" s="1030"/>
      <c r="Q963" s="1030"/>
      <c r="R963" s="1030"/>
      <c r="S963" s="1031"/>
      <c r="T963" s="952"/>
      <c r="U963" s="941"/>
      <c r="V963" s="941"/>
      <c r="W963" s="941"/>
    </row>
    <row r="964" spans="10:23" s="1011" customFormat="1" x14ac:dyDescent="0.2">
      <c r="J964" s="1030"/>
      <c r="K964" s="1030"/>
      <c r="L964" s="1030"/>
      <c r="M964" s="1030"/>
      <c r="N964" s="1030"/>
      <c r="O964" s="1030"/>
      <c r="P964" s="1030"/>
      <c r="Q964" s="1030"/>
      <c r="R964" s="1030"/>
      <c r="S964" s="1031"/>
      <c r="T964" s="952"/>
      <c r="U964" s="941"/>
      <c r="V964" s="941"/>
      <c r="W964" s="941"/>
    </row>
    <row r="965" spans="10:23" s="1011" customFormat="1" x14ac:dyDescent="0.2">
      <c r="J965" s="1030"/>
      <c r="K965" s="1030"/>
      <c r="L965" s="1030"/>
      <c r="M965" s="1030"/>
      <c r="N965" s="1030"/>
      <c r="O965" s="1030"/>
      <c r="P965" s="1030"/>
      <c r="Q965" s="1030"/>
      <c r="R965" s="1030"/>
      <c r="S965" s="1031"/>
      <c r="T965" s="952"/>
      <c r="U965" s="941"/>
      <c r="V965" s="941"/>
      <c r="W965" s="941"/>
    </row>
    <row r="966" spans="10:23" s="1011" customFormat="1" x14ac:dyDescent="0.2">
      <c r="J966" s="1030"/>
      <c r="K966" s="1030"/>
      <c r="L966" s="1030"/>
      <c r="M966" s="1030"/>
      <c r="N966" s="1030"/>
      <c r="O966" s="1030"/>
      <c r="P966" s="1030"/>
      <c r="Q966" s="1030"/>
      <c r="R966" s="1030"/>
      <c r="S966" s="1031"/>
      <c r="T966" s="952"/>
      <c r="U966" s="941"/>
      <c r="V966" s="941"/>
      <c r="W966" s="941"/>
    </row>
    <row r="967" spans="10:23" s="1011" customFormat="1" x14ac:dyDescent="0.2">
      <c r="J967" s="1030"/>
      <c r="K967" s="1030"/>
      <c r="L967" s="1030"/>
      <c r="M967" s="1030"/>
      <c r="N967" s="1030"/>
      <c r="O967" s="1030"/>
      <c r="P967" s="1030"/>
      <c r="Q967" s="1030"/>
      <c r="R967" s="1030"/>
      <c r="S967" s="1031"/>
      <c r="T967" s="952"/>
      <c r="U967" s="941"/>
      <c r="V967" s="941"/>
      <c r="W967" s="941"/>
    </row>
    <row r="968" spans="10:23" s="1011" customFormat="1" x14ac:dyDescent="0.2">
      <c r="J968" s="1030"/>
      <c r="K968" s="1030"/>
      <c r="L968" s="1030"/>
      <c r="M968" s="1030"/>
      <c r="N968" s="1030"/>
      <c r="O968" s="1030"/>
      <c r="P968" s="1030"/>
      <c r="Q968" s="1030"/>
      <c r="R968" s="1030"/>
      <c r="S968" s="1031"/>
      <c r="T968" s="952"/>
      <c r="U968" s="941"/>
      <c r="V968" s="941"/>
      <c r="W968" s="941"/>
    </row>
    <row r="969" spans="10:23" s="1011" customFormat="1" x14ac:dyDescent="0.2">
      <c r="J969" s="1030"/>
      <c r="K969" s="1030"/>
      <c r="L969" s="1030"/>
      <c r="M969" s="1030"/>
      <c r="N969" s="1030"/>
      <c r="O969" s="1030"/>
      <c r="P969" s="1030"/>
      <c r="Q969" s="1030"/>
      <c r="R969" s="1030"/>
      <c r="S969" s="1031"/>
      <c r="T969" s="952"/>
      <c r="U969" s="941"/>
      <c r="V969" s="941"/>
      <c r="W969" s="941"/>
    </row>
    <row r="970" spans="10:23" s="1011" customFormat="1" x14ac:dyDescent="0.2">
      <c r="J970" s="1030"/>
      <c r="K970" s="1030"/>
      <c r="L970" s="1030"/>
      <c r="M970" s="1030"/>
      <c r="N970" s="1030"/>
      <c r="O970" s="1030"/>
      <c r="P970" s="1030"/>
      <c r="Q970" s="1030"/>
      <c r="R970" s="1030"/>
      <c r="S970" s="1031"/>
      <c r="T970" s="952"/>
      <c r="U970" s="941"/>
      <c r="V970" s="941"/>
      <c r="W970" s="941"/>
    </row>
    <row r="971" spans="10:23" s="1011" customFormat="1" x14ac:dyDescent="0.2">
      <c r="J971" s="1030"/>
      <c r="K971" s="1030"/>
      <c r="L971" s="1030"/>
      <c r="M971" s="1030"/>
      <c r="N971" s="1030"/>
      <c r="O971" s="1030"/>
      <c r="P971" s="1030"/>
      <c r="Q971" s="1030"/>
      <c r="R971" s="1030"/>
      <c r="S971" s="1031"/>
      <c r="T971" s="952"/>
      <c r="U971" s="941"/>
      <c r="V971" s="941"/>
      <c r="W971" s="941"/>
    </row>
    <row r="972" spans="10:23" s="1011" customFormat="1" x14ac:dyDescent="0.2">
      <c r="J972" s="1030"/>
      <c r="K972" s="1030"/>
      <c r="L972" s="1030"/>
      <c r="M972" s="1030"/>
      <c r="N972" s="1030"/>
      <c r="O972" s="1030"/>
      <c r="P972" s="1030"/>
      <c r="Q972" s="1030"/>
      <c r="R972" s="1030"/>
      <c r="S972" s="1031"/>
      <c r="T972" s="952"/>
      <c r="U972" s="941"/>
      <c r="V972" s="941"/>
      <c r="W972" s="941"/>
    </row>
    <row r="973" spans="10:23" s="1011" customFormat="1" x14ac:dyDescent="0.2">
      <c r="J973" s="1030"/>
      <c r="K973" s="1030"/>
      <c r="L973" s="1030"/>
      <c r="M973" s="1030"/>
      <c r="N973" s="1030"/>
      <c r="O973" s="1030"/>
      <c r="P973" s="1030"/>
      <c r="Q973" s="1030"/>
      <c r="R973" s="1030"/>
      <c r="S973" s="1031"/>
      <c r="T973" s="952"/>
      <c r="U973" s="941"/>
      <c r="V973" s="941"/>
      <c r="W973" s="941"/>
    </row>
    <row r="974" spans="10:23" s="1011" customFormat="1" x14ac:dyDescent="0.2">
      <c r="J974" s="1030"/>
      <c r="K974" s="1030"/>
      <c r="L974" s="1030"/>
      <c r="M974" s="1030"/>
      <c r="N974" s="1030"/>
      <c r="O974" s="1030"/>
      <c r="P974" s="1030"/>
      <c r="Q974" s="1030"/>
      <c r="R974" s="1030"/>
      <c r="S974" s="1031"/>
      <c r="T974" s="952"/>
      <c r="U974" s="941"/>
      <c r="V974" s="941"/>
      <c r="W974" s="941"/>
    </row>
    <row r="975" spans="10:23" s="1011" customFormat="1" x14ac:dyDescent="0.2">
      <c r="J975" s="1030"/>
      <c r="K975" s="1030"/>
      <c r="L975" s="1030"/>
      <c r="M975" s="1030"/>
      <c r="N975" s="1030"/>
      <c r="O975" s="1030"/>
      <c r="P975" s="1030"/>
      <c r="Q975" s="1030"/>
      <c r="R975" s="1030"/>
      <c r="S975" s="1031"/>
      <c r="T975" s="952"/>
      <c r="U975" s="941"/>
      <c r="V975" s="941"/>
      <c r="W975" s="941"/>
    </row>
    <row r="976" spans="10:23" s="1011" customFormat="1" x14ac:dyDescent="0.2">
      <c r="J976" s="1030"/>
      <c r="K976" s="1030"/>
      <c r="L976" s="1030"/>
      <c r="M976" s="1030"/>
      <c r="N976" s="1030"/>
      <c r="O976" s="1030"/>
      <c r="P976" s="1030"/>
      <c r="Q976" s="1030"/>
      <c r="R976" s="1030"/>
      <c r="S976" s="1031"/>
      <c r="T976" s="952"/>
      <c r="U976" s="941"/>
      <c r="V976" s="941"/>
      <c r="W976" s="941"/>
    </row>
    <row r="977" spans="10:23" s="1011" customFormat="1" x14ac:dyDescent="0.2">
      <c r="J977" s="1030"/>
      <c r="K977" s="1030"/>
      <c r="L977" s="1030"/>
      <c r="M977" s="1030"/>
      <c r="N977" s="1030"/>
      <c r="O977" s="1030"/>
      <c r="P977" s="1030"/>
      <c r="Q977" s="1030"/>
      <c r="R977" s="1030"/>
      <c r="S977" s="1031"/>
      <c r="T977" s="952"/>
      <c r="U977" s="941"/>
      <c r="V977" s="941"/>
      <c r="W977" s="941"/>
    </row>
    <row r="978" spans="10:23" s="1011" customFormat="1" x14ac:dyDescent="0.2">
      <c r="J978" s="1030"/>
      <c r="K978" s="1030"/>
      <c r="L978" s="1030"/>
      <c r="M978" s="1030"/>
      <c r="N978" s="1030"/>
      <c r="O978" s="1030"/>
      <c r="P978" s="1030"/>
      <c r="Q978" s="1030"/>
      <c r="R978" s="1030"/>
      <c r="S978" s="1031"/>
      <c r="T978" s="952"/>
      <c r="U978" s="941"/>
      <c r="V978" s="941"/>
      <c r="W978" s="941"/>
    </row>
    <row r="979" spans="10:23" s="1011" customFormat="1" x14ac:dyDescent="0.2">
      <c r="J979" s="1030"/>
      <c r="K979" s="1030"/>
      <c r="L979" s="1030"/>
      <c r="M979" s="1030"/>
      <c r="N979" s="1030"/>
      <c r="O979" s="1030"/>
      <c r="P979" s="1030"/>
      <c r="Q979" s="1030"/>
      <c r="R979" s="1030"/>
      <c r="S979" s="1031"/>
      <c r="T979" s="952"/>
      <c r="U979" s="941"/>
      <c r="V979" s="941"/>
      <c r="W979" s="941"/>
    </row>
    <row r="980" spans="10:23" s="1011" customFormat="1" x14ac:dyDescent="0.2">
      <c r="J980" s="1030"/>
      <c r="K980" s="1030"/>
      <c r="L980" s="1030"/>
      <c r="M980" s="1030"/>
      <c r="N980" s="1030"/>
      <c r="O980" s="1030"/>
      <c r="P980" s="1030"/>
      <c r="Q980" s="1030"/>
      <c r="R980" s="1030"/>
      <c r="S980" s="1031"/>
      <c r="T980" s="952"/>
      <c r="U980" s="941"/>
      <c r="V980" s="941"/>
      <c r="W980" s="941"/>
    </row>
    <row r="981" spans="10:23" s="1011" customFormat="1" x14ac:dyDescent="0.2">
      <c r="J981" s="1030"/>
      <c r="K981" s="1030"/>
      <c r="L981" s="1030"/>
      <c r="M981" s="1030"/>
      <c r="N981" s="1030"/>
      <c r="O981" s="1030"/>
      <c r="P981" s="1030"/>
      <c r="Q981" s="1030"/>
      <c r="R981" s="1030"/>
      <c r="S981" s="1031"/>
      <c r="T981" s="952"/>
      <c r="U981" s="941"/>
      <c r="V981" s="941"/>
      <c r="W981" s="941"/>
    </row>
    <row r="982" spans="10:23" s="1011" customFormat="1" x14ac:dyDescent="0.2">
      <c r="J982" s="1030"/>
      <c r="K982" s="1030"/>
      <c r="L982" s="1030"/>
      <c r="M982" s="1030"/>
      <c r="N982" s="1030"/>
      <c r="O982" s="1030"/>
      <c r="P982" s="1030"/>
      <c r="Q982" s="1030"/>
      <c r="R982" s="1030"/>
      <c r="S982" s="1031"/>
      <c r="T982" s="952"/>
      <c r="U982" s="941"/>
      <c r="V982" s="941"/>
      <c r="W982" s="941"/>
    </row>
    <row r="983" spans="10:23" s="1011" customFormat="1" x14ac:dyDescent="0.2">
      <c r="J983" s="1030"/>
      <c r="K983" s="1030"/>
      <c r="L983" s="1030"/>
      <c r="M983" s="1030"/>
      <c r="N983" s="1030"/>
      <c r="O983" s="1030"/>
      <c r="P983" s="1030"/>
      <c r="Q983" s="1030"/>
      <c r="R983" s="1030"/>
      <c r="S983" s="1031"/>
      <c r="T983" s="952"/>
      <c r="U983" s="941"/>
      <c r="V983" s="941"/>
      <c r="W983" s="941"/>
    </row>
    <row r="984" spans="10:23" s="1011" customFormat="1" x14ac:dyDescent="0.2">
      <c r="J984" s="1030"/>
      <c r="K984" s="1030"/>
      <c r="L984" s="1030"/>
      <c r="M984" s="1030"/>
      <c r="N984" s="1030"/>
      <c r="O984" s="1030"/>
      <c r="P984" s="1030"/>
      <c r="Q984" s="1030"/>
      <c r="R984" s="1030"/>
      <c r="S984" s="1031"/>
      <c r="T984" s="952"/>
      <c r="U984" s="941"/>
      <c r="V984" s="941"/>
      <c r="W984" s="941"/>
    </row>
    <row r="985" spans="10:23" s="1011" customFormat="1" x14ac:dyDescent="0.2">
      <c r="J985" s="1030"/>
      <c r="K985" s="1030"/>
      <c r="L985" s="1030"/>
      <c r="M985" s="1030"/>
      <c r="N985" s="1030"/>
      <c r="O985" s="1030"/>
      <c r="P985" s="1030"/>
      <c r="Q985" s="1030"/>
      <c r="R985" s="1030"/>
      <c r="S985" s="1031"/>
      <c r="T985" s="952"/>
      <c r="U985" s="941"/>
      <c r="V985" s="941"/>
      <c r="W985" s="941"/>
    </row>
    <row r="986" spans="10:23" s="1011" customFormat="1" x14ac:dyDescent="0.2">
      <c r="J986" s="1030"/>
      <c r="K986" s="1030"/>
      <c r="L986" s="1030"/>
      <c r="M986" s="1030"/>
      <c r="N986" s="1030"/>
      <c r="O986" s="1030"/>
      <c r="P986" s="1030"/>
      <c r="Q986" s="1030"/>
      <c r="R986" s="1030"/>
      <c r="S986" s="1031"/>
      <c r="T986" s="952"/>
      <c r="U986" s="941"/>
      <c r="V986" s="941"/>
      <c r="W986" s="941"/>
    </row>
    <row r="987" spans="10:23" s="1011" customFormat="1" x14ac:dyDescent="0.2">
      <c r="J987" s="1030"/>
      <c r="K987" s="1030"/>
      <c r="L987" s="1030"/>
      <c r="M987" s="1030"/>
      <c r="N987" s="1030"/>
      <c r="O987" s="1030"/>
      <c r="P987" s="1030"/>
      <c r="Q987" s="1030"/>
      <c r="R987" s="1030"/>
      <c r="S987" s="1031"/>
      <c r="T987" s="952"/>
      <c r="U987" s="941"/>
      <c r="V987" s="941"/>
      <c r="W987" s="941"/>
    </row>
    <row r="988" spans="10:23" s="1011" customFormat="1" x14ac:dyDescent="0.2">
      <c r="J988" s="1030"/>
      <c r="K988" s="1030"/>
      <c r="L988" s="1030"/>
      <c r="M988" s="1030"/>
      <c r="N988" s="1030"/>
      <c r="O988" s="1030"/>
      <c r="P988" s="1030"/>
      <c r="Q988" s="1030"/>
      <c r="R988" s="1030"/>
      <c r="S988" s="1031"/>
      <c r="T988" s="952"/>
      <c r="U988" s="941"/>
      <c r="V988" s="941"/>
      <c r="W988" s="941"/>
    </row>
    <row r="989" spans="10:23" s="1011" customFormat="1" x14ac:dyDescent="0.2">
      <c r="J989" s="1030"/>
      <c r="K989" s="1030"/>
      <c r="L989" s="1030"/>
      <c r="M989" s="1030"/>
      <c r="N989" s="1030"/>
      <c r="O989" s="1030"/>
      <c r="P989" s="1030"/>
      <c r="Q989" s="1030"/>
      <c r="R989" s="1030"/>
      <c r="S989" s="1031"/>
      <c r="T989" s="952"/>
      <c r="U989" s="941"/>
      <c r="V989" s="941"/>
      <c r="W989" s="941"/>
    </row>
    <row r="990" spans="10:23" s="1011" customFormat="1" x14ac:dyDescent="0.2">
      <c r="J990" s="1030"/>
      <c r="K990" s="1030"/>
      <c r="L990" s="1030"/>
      <c r="M990" s="1030"/>
      <c r="N990" s="1030"/>
      <c r="O990" s="1030"/>
      <c r="P990" s="1030"/>
      <c r="Q990" s="1030"/>
      <c r="R990" s="1030"/>
      <c r="S990" s="1031"/>
      <c r="T990" s="952"/>
      <c r="U990" s="941"/>
      <c r="V990" s="941"/>
      <c r="W990" s="941"/>
    </row>
    <row r="991" spans="10:23" s="1011" customFormat="1" x14ac:dyDescent="0.2">
      <c r="J991" s="1030"/>
      <c r="K991" s="1030"/>
      <c r="L991" s="1030"/>
      <c r="M991" s="1030"/>
      <c r="N991" s="1030"/>
      <c r="O991" s="1030"/>
      <c r="P991" s="1030"/>
      <c r="Q991" s="1030"/>
      <c r="R991" s="1030"/>
      <c r="S991" s="1031"/>
      <c r="T991" s="952"/>
      <c r="U991" s="941"/>
      <c r="V991" s="941"/>
      <c r="W991" s="941"/>
    </row>
    <row r="992" spans="10:23" s="1011" customFormat="1" x14ac:dyDescent="0.2">
      <c r="J992" s="1030"/>
      <c r="K992" s="1030"/>
      <c r="L992" s="1030"/>
      <c r="M992" s="1030"/>
      <c r="N992" s="1030"/>
      <c r="O992" s="1030"/>
      <c r="P992" s="1030"/>
      <c r="Q992" s="1030"/>
      <c r="R992" s="1030"/>
      <c r="S992" s="1031"/>
      <c r="T992" s="952"/>
      <c r="U992" s="941"/>
      <c r="V992" s="941"/>
      <c r="W992" s="941"/>
    </row>
    <row r="993" spans="10:23" s="1011" customFormat="1" x14ac:dyDescent="0.2">
      <c r="J993" s="1030"/>
      <c r="K993" s="1030"/>
      <c r="L993" s="1030"/>
      <c r="M993" s="1030"/>
      <c r="N993" s="1030"/>
      <c r="O993" s="1030"/>
      <c r="P993" s="1030"/>
      <c r="Q993" s="1030"/>
      <c r="R993" s="1030"/>
      <c r="S993" s="1031"/>
      <c r="T993" s="952"/>
      <c r="U993" s="941"/>
      <c r="V993" s="941"/>
      <c r="W993" s="941"/>
    </row>
    <row r="994" spans="10:23" s="1011" customFormat="1" x14ac:dyDescent="0.2">
      <c r="J994" s="1030"/>
      <c r="K994" s="1030"/>
      <c r="L994" s="1030"/>
      <c r="M994" s="1030"/>
      <c r="N994" s="1030"/>
      <c r="O994" s="1030"/>
      <c r="P994" s="1030"/>
      <c r="Q994" s="1030"/>
      <c r="R994" s="1030"/>
      <c r="S994" s="1031"/>
      <c r="T994" s="952"/>
      <c r="U994" s="941"/>
      <c r="V994" s="941"/>
      <c r="W994" s="941"/>
    </row>
    <row r="995" spans="10:23" s="1011" customFormat="1" x14ac:dyDescent="0.2">
      <c r="J995" s="1030"/>
      <c r="K995" s="1030"/>
      <c r="L995" s="1030"/>
      <c r="M995" s="1030"/>
      <c r="N995" s="1030"/>
      <c r="O995" s="1030"/>
      <c r="P995" s="1030"/>
      <c r="Q995" s="1030"/>
      <c r="R995" s="1030"/>
      <c r="S995" s="1031"/>
      <c r="T995" s="952"/>
      <c r="U995" s="941"/>
      <c r="V995" s="941"/>
      <c r="W995" s="941"/>
    </row>
    <row r="996" spans="10:23" s="1011" customFormat="1" x14ac:dyDescent="0.2">
      <c r="J996" s="1030"/>
      <c r="K996" s="1030"/>
      <c r="L996" s="1030"/>
      <c r="M996" s="1030"/>
      <c r="N996" s="1030"/>
      <c r="O996" s="1030"/>
      <c r="P996" s="1030"/>
      <c r="Q996" s="1030"/>
      <c r="R996" s="1030"/>
      <c r="S996" s="1031"/>
      <c r="T996" s="952"/>
      <c r="U996" s="941"/>
      <c r="V996" s="941"/>
      <c r="W996" s="941"/>
    </row>
    <row r="997" spans="10:23" s="1011" customFormat="1" x14ac:dyDescent="0.2">
      <c r="J997" s="1030"/>
      <c r="K997" s="1030"/>
      <c r="L997" s="1030"/>
      <c r="M997" s="1030"/>
      <c r="N997" s="1030"/>
      <c r="O997" s="1030"/>
      <c r="P997" s="1030"/>
      <c r="Q997" s="1030"/>
      <c r="R997" s="1030"/>
      <c r="S997" s="1031"/>
      <c r="T997" s="952"/>
      <c r="U997" s="941"/>
      <c r="V997" s="941"/>
      <c r="W997" s="941"/>
    </row>
    <row r="998" spans="10:23" s="1011" customFormat="1" x14ac:dyDescent="0.2">
      <c r="J998" s="1030"/>
      <c r="K998" s="1030"/>
      <c r="L998" s="1030"/>
      <c r="M998" s="1030"/>
      <c r="N998" s="1030"/>
      <c r="O998" s="1030"/>
      <c r="P998" s="1030"/>
      <c r="Q998" s="1030"/>
      <c r="R998" s="1030"/>
      <c r="S998" s="1031"/>
      <c r="T998" s="952"/>
      <c r="U998" s="941"/>
      <c r="V998" s="941"/>
      <c r="W998" s="941"/>
    </row>
    <row r="999" spans="10:23" s="1011" customFormat="1" x14ac:dyDescent="0.2">
      <c r="J999" s="1030"/>
      <c r="K999" s="1030"/>
      <c r="L999" s="1030"/>
      <c r="M999" s="1030"/>
      <c r="N999" s="1030"/>
      <c r="O999" s="1030"/>
      <c r="P999" s="1030"/>
      <c r="Q999" s="1030"/>
      <c r="R999" s="1030"/>
      <c r="S999" s="1031"/>
      <c r="T999" s="952"/>
      <c r="U999" s="941"/>
      <c r="V999" s="941"/>
      <c r="W999" s="941"/>
    </row>
    <row r="1000" spans="10:23" s="1011" customFormat="1" x14ac:dyDescent="0.2">
      <c r="J1000" s="1030"/>
      <c r="K1000" s="1030"/>
      <c r="L1000" s="1030"/>
      <c r="M1000" s="1030"/>
      <c r="N1000" s="1030"/>
      <c r="O1000" s="1030"/>
      <c r="P1000" s="1030"/>
      <c r="Q1000" s="1030"/>
      <c r="R1000" s="1030"/>
      <c r="S1000" s="1031"/>
      <c r="T1000" s="952"/>
      <c r="U1000" s="941"/>
      <c r="V1000" s="941"/>
      <c r="W1000" s="941"/>
    </row>
    <row r="1001" spans="10:23" s="1011" customFormat="1" x14ac:dyDescent="0.2">
      <c r="J1001" s="1030"/>
      <c r="K1001" s="1030"/>
      <c r="L1001" s="1030"/>
      <c r="M1001" s="1030"/>
      <c r="N1001" s="1030"/>
      <c r="O1001" s="1030"/>
      <c r="P1001" s="1030"/>
      <c r="Q1001" s="1030"/>
      <c r="R1001" s="1030"/>
      <c r="S1001" s="1031"/>
      <c r="T1001" s="952"/>
      <c r="U1001" s="941"/>
      <c r="V1001" s="941"/>
      <c r="W1001" s="941"/>
    </row>
    <row r="1002" spans="10:23" s="1011" customFormat="1" x14ac:dyDescent="0.2">
      <c r="J1002" s="1030"/>
      <c r="K1002" s="1030"/>
      <c r="L1002" s="1030"/>
      <c r="M1002" s="1030"/>
      <c r="N1002" s="1030"/>
      <c r="O1002" s="1030"/>
      <c r="P1002" s="1030"/>
      <c r="Q1002" s="1030"/>
      <c r="R1002" s="1030"/>
      <c r="S1002" s="1031"/>
      <c r="T1002" s="952"/>
      <c r="U1002" s="941"/>
      <c r="V1002" s="941"/>
      <c r="W1002" s="941"/>
    </row>
    <row r="1003" spans="10:23" s="1011" customFormat="1" x14ac:dyDescent="0.2">
      <c r="J1003" s="1030"/>
      <c r="K1003" s="1030"/>
      <c r="L1003" s="1030"/>
      <c r="M1003" s="1030"/>
      <c r="N1003" s="1030"/>
      <c r="O1003" s="1030"/>
      <c r="P1003" s="1030"/>
      <c r="Q1003" s="1030"/>
      <c r="R1003" s="1030"/>
      <c r="S1003" s="1031"/>
      <c r="T1003" s="952"/>
      <c r="U1003" s="941"/>
      <c r="V1003" s="941"/>
      <c r="W1003" s="941"/>
    </row>
    <row r="1004" spans="10:23" s="1011" customFormat="1" x14ac:dyDescent="0.2">
      <c r="J1004" s="1030"/>
      <c r="K1004" s="1030"/>
      <c r="L1004" s="1030"/>
      <c r="M1004" s="1030"/>
      <c r="N1004" s="1030"/>
      <c r="O1004" s="1030"/>
      <c r="P1004" s="1030"/>
      <c r="Q1004" s="1030"/>
      <c r="R1004" s="1030"/>
      <c r="S1004" s="1031"/>
      <c r="T1004" s="952"/>
      <c r="U1004" s="941"/>
      <c r="V1004" s="941"/>
      <c r="W1004" s="941"/>
    </row>
    <row r="1005" spans="10:23" s="1011" customFormat="1" x14ac:dyDescent="0.2">
      <c r="J1005" s="1030"/>
      <c r="K1005" s="1030"/>
      <c r="L1005" s="1030"/>
      <c r="M1005" s="1030"/>
      <c r="N1005" s="1030"/>
      <c r="O1005" s="1030"/>
      <c r="P1005" s="1030"/>
      <c r="Q1005" s="1030"/>
      <c r="R1005" s="1030"/>
      <c r="S1005" s="1031"/>
      <c r="T1005" s="952"/>
      <c r="U1005" s="941"/>
      <c r="V1005" s="941"/>
      <c r="W1005" s="941"/>
    </row>
    <row r="1006" spans="10:23" s="1011" customFormat="1" x14ac:dyDescent="0.2">
      <c r="J1006" s="1030"/>
      <c r="K1006" s="1030"/>
      <c r="L1006" s="1030"/>
      <c r="M1006" s="1030"/>
      <c r="N1006" s="1030"/>
      <c r="O1006" s="1030"/>
      <c r="P1006" s="1030"/>
      <c r="Q1006" s="1030"/>
      <c r="R1006" s="1030"/>
      <c r="S1006" s="1031"/>
      <c r="T1006" s="952"/>
      <c r="U1006" s="941"/>
      <c r="V1006" s="941"/>
      <c r="W1006" s="941"/>
    </row>
    <row r="1007" spans="10:23" s="1011" customFormat="1" x14ac:dyDescent="0.2">
      <c r="J1007" s="1030"/>
      <c r="K1007" s="1030"/>
      <c r="L1007" s="1030"/>
      <c r="M1007" s="1030"/>
      <c r="N1007" s="1030"/>
      <c r="O1007" s="1030"/>
      <c r="P1007" s="1030"/>
      <c r="Q1007" s="1030"/>
      <c r="R1007" s="1030"/>
      <c r="S1007" s="1031"/>
      <c r="T1007" s="952"/>
      <c r="U1007" s="941"/>
      <c r="V1007" s="941"/>
      <c r="W1007" s="941"/>
    </row>
    <row r="1008" spans="10:23" s="1011" customFormat="1" x14ac:dyDescent="0.2">
      <c r="J1008" s="1030"/>
      <c r="K1008" s="1030"/>
      <c r="L1008" s="1030"/>
      <c r="M1008" s="1030"/>
      <c r="N1008" s="1030"/>
      <c r="O1008" s="1030"/>
      <c r="P1008" s="1030"/>
      <c r="Q1008" s="1030"/>
      <c r="R1008" s="1030"/>
      <c r="S1008" s="1031"/>
      <c r="T1008" s="952"/>
      <c r="U1008" s="941"/>
      <c r="V1008" s="941"/>
      <c r="W1008" s="941"/>
    </row>
    <row r="1009" spans="10:23" s="1011" customFormat="1" x14ac:dyDescent="0.2">
      <c r="J1009" s="1030"/>
      <c r="K1009" s="1030"/>
      <c r="L1009" s="1030"/>
      <c r="M1009" s="1030"/>
      <c r="N1009" s="1030"/>
      <c r="O1009" s="1030"/>
      <c r="P1009" s="1030"/>
      <c r="Q1009" s="1030"/>
      <c r="R1009" s="1030"/>
      <c r="S1009" s="1031"/>
      <c r="T1009" s="952"/>
      <c r="U1009" s="941"/>
      <c r="V1009" s="941"/>
      <c r="W1009" s="941"/>
    </row>
    <row r="1010" spans="10:23" s="1011" customFormat="1" x14ac:dyDescent="0.2">
      <c r="J1010" s="1030"/>
      <c r="K1010" s="1030"/>
      <c r="L1010" s="1030"/>
      <c r="M1010" s="1030"/>
      <c r="N1010" s="1030"/>
      <c r="O1010" s="1030"/>
      <c r="P1010" s="1030"/>
      <c r="Q1010" s="1030"/>
      <c r="R1010" s="1030"/>
      <c r="S1010" s="1031"/>
      <c r="T1010" s="952"/>
      <c r="U1010" s="941"/>
      <c r="V1010" s="941"/>
      <c r="W1010" s="941"/>
    </row>
    <row r="1011" spans="10:23" s="1011" customFormat="1" x14ac:dyDescent="0.2">
      <c r="J1011" s="1030"/>
      <c r="K1011" s="1030"/>
      <c r="L1011" s="1030"/>
      <c r="M1011" s="1030"/>
      <c r="N1011" s="1030"/>
      <c r="O1011" s="1030"/>
      <c r="P1011" s="1030"/>
      <c r="Q1011" s="1030"/>
      <c r="R1011" s="1030"/>
      <c r="S1011" s="1031"/>
      <c r="T1011" s="952"/>
      <c r="U1011" s="941"/>
      <c r="V1011" s="941"/>
      <c r="W1011" s="941"/>
    </row>
    <row r="1012" spans="10:23" s="1011" customFormat="1" x14ac:dyDescent="0.2">
      <c r="J1012" s="1030"/>
      <c r="K1012" s="1030"/>
      <c r="L1012" s="1030"/>
      <c r="M1012" s="1030"/>
      <c r="N1012" s="1030"/>
      <c r="O1012" s="1030"/>
      <c r="P1012" s="1030"/>
      <c r="Q1012" s="1030"/>
      <c r="R1012" s="1030"/>
      <c r="S1012" s="1031"/>
      <c r="T1012" s="952"/>
      <c r="U1012" s="941"/>
      <c r="V1012" s="941"/>
      <c r="W1012" s="941"/>
    </row>
    <row r="1013" spans="10:23" s="1011" customFormat="1" x14ac:dyDescent="0.2">
      <c r="J1013" s="1030"/>
      <c r="K1013" s="1030"/>
      <c r="L1013" s="1030"/>
      <c r="M1013" s="1030"/>
      <c r="N1013" s="1030"/>
      <c r="O1013" s="1030"/>
      <c r="P1013" s="1030"/>
      <c r="Q1013" s="1030"/>
      <c r="R1013" s="1030"/>
      <c r="S1013" s="1031"/>
      <c r="T1013" s="952"/>
      <c r="U1013" s="941"/>
      <c r="V1013" s="941"/>
      <c r="W1013" s="941"/>
    </row>
    <row r="1014" spans="10:23" s="1011" customFormat="1" x14ac:dyDescent="0.2">
      <c r="J1014" s="1030"/>
      <c r="K1014" s="1030"/>
      <c r="L1014" s="1030"/>
      <c r="M1014" s="1030"/>
      <c r="N1014" s="1030"/>
      <c r="O1014" s="1030"/>
      <c r="P1014" s="1030"/>
      <c r="Q1014" s="1030"/>
      <c r="R1014" s="1030"/>
      <c r="S1014" s="1031"/>
      <c r="T1014" s="952"/>
      <c r="U1014" s="941"/>
      <c r="V1014" s="941"/>
      <c r="W1014" s="941"/>
    </row>
    <row r="1015" spans="10:23" s="1011" customFormat="1" x14ac:dyDescent="0.2">
      <c r="J1015" s="1030"/>
      <c r="K1015" s="1030"/>
      <c r="L1015" s="1030"/>
      <c r="M1015" s="1030"/>
      <c r="N1015" s="1030"/>
      <c r="O1015" s="1030"/>
      <c r="P1015" s="1030"/>
      <c r="Q1015" s="1030"/>
      <c r="R1015" s="1030"/>
      <c r="S1015" s="1031"/>
      <c r="T1015" s="952"/>
      <c r="U1015" s="941"/>
      <c r="V1015" s="941"/>
      <c r="W1015" s="941"/>
    </row>
    <row r="1016" spans="10:23" s="1011" customFormat="1" x14ac:dyDescent="0.2">
      <c r="J1016" s="1030"/>
      <c r="K1016" s="1030"/>
      <c r="L1016" s="1030"/>
      <c r="M1016" s="1030"/>
      <c r="N1016" s="1030"/>
      <c r="O1016" s="1030"/>
      <c r="P1016" s="1030"/>
      <c r="Q1016" s="1030"/>
      <c r="R1016" s="1030"/>
      <c r="S1016" s="1031"/>
      <c r="T1016" s="952"/>
      <c r="U1016" s="941"/>
      <c r="V1016" s="941"/>
      <c r="W1016" s="941"/>
    </row>
    <row r="1017" spans="10:23" s="1011" customFormat="1" x14ac:dyDescent="0.2">
      <c r="J1017" s="1030"/>
      <c r="K1017" s="1030"/>
      <c r="L1017" s="1030"/>
      <c r="M1017" s="1030"/>
      <c r="N1017" s="1030"/>
      <c r="O1017" s="1030"/>
      <c r="P1017" s="1030"/>
      <c r="Q1017" s="1030"/>
      <c r="R1017" s="1030"/>
      <c r="S1017" s="1031"/>
      <c r="T1017" s="952"/>
      <c r="U1017" s="941"/>
      <c r="V1017" s="941"/>
      <c r="W1017" s="941"/>
    </row>
    <row r="1018" spans="10:23" s="1011" customFormat="1" x14ac:dyDescent="0.2">
      <c r="J1018" s="1030"/>
      <c r="K1018" s="1030"/>
      <c r="L1018" s="1030"/>
      <c r="M1018" s="1030"/>
      <c r="N1018" s="1030"/>
      <c r="O1018" s="1030"/>
      <c r="P1018" s="1030"/>
      <c r="Q1018" s="1030"/>
      <c r="R1018" s="1030"/>
      <c r="S1018" s="1031"/>
      <c r="T1018" s="952"/>
      <c r="U1018" s="941"/>
      <c r="V1018" s="941"/>
      <c r="W1018" s="941"/>
    </row>
    <row r="1019" spans="10:23" s="1011" customFormat="1" x14ac:dyDescent="0.2">
      <c r="J1019" s="1030"/>
      <c r="K1019" s="1030"/>
      <c r="L1019" s="1030"/>
      <c r="M1019" s="1030"/>
      <c r="N1019" s="1030"/>
      <c r="O1019" s="1030"/>
      <c r="P1019" s="1030"/>
      <c r="Q1019" s="1030"/>
      <c r="R1019" s="1030"/>
      <c r="S1019" s="1031"/>
      <c r="T1019" s="952"/>
      <c r="U1019" s="941"/>
      <c r="V1019" s="941"/>
      <c r="W1019" s="941"/>
    </row>
    <row r="1020" spans="10:23" s="1011" customFormat="1" x14ac:dyDescent="0.2">
      <c r="J1020" s="1030"/>
      <c r="K1020" s="1030"/>
      <c r="L1020" s="1030"/>
      <c r="M1020" s="1030"/>
      <c r="N1020" s="1030"/>
      <c r="O1020" s="1030"/>
      <c r="P1020" s="1030"/>
      <c r="Q1020" s="1030"/>
      <c r="R1020" s="1030"/>
      <c r="S1020" s="1031"/>
      <c r="T1020" s="952"/>
      <c r="U1020" s="941"/>
      <c r="V1020" s="941"/>
      <c r="W1020" s="941"/>
    </row>
    <row r="1021" spans="10:23" s="1011" customFormat="1" x14ac:dyDescent="0.2">
      <c r="J1021" s="1030"/>
      <c r="K1021" s="1030"/>
      <c r="L1021" s="1030"/>
      <c r="M1021" s="1030"/>
      <c r="N1021" s="1030"/>
      <c r="O1021" s="1030"/>
      <c r="P1021" s="1030"/>
      <c r="Q1021" s="1030"/>
      <c r="R1021" s="1030"/>
      <c r="S1021" s="1031"/>
      <c r="T1021" s="952"/>
      <c r="U1021" s="941"/>
      <c r="V1021" s="941"/>
      <c r="W1021" s="941"/>
    </row>
    <row r="1022" spans="10:23" s="1011" customFormat="1" x14ac:dyDescent="0.2">
      <c r="J1022" s="1030"/>
      <c r="K1022" s="1030"/>
      <c r="L1022" s="1030"/>
      <c r="M1022" s="1030"/>
      <c r="N1022" s="1030"/>
      <c r="O1022" s="1030"/>
      <c r="P1022" s="1030"/>
      <c r="Q1022" s="1030"/>
      <c r="R1022" s="1030"/>
      <c r="S1022" s="1031"/>
      <c r="T1022" s="952"/>
      <c r="U1022" s="941"/>
      <c r="V1022" s="941"/>
      <c r="W1022" s="941"/>
    </row>
    <row r="1023" spans="10:23" s="1011" customFormat="1" x14ac:dyDescent="0.2">
      <c r="J1023" s="1030"/>
      <c r="K1023" s="1030"/>
      <c r="L1023" s="1030"/>
      <c r="M1023" s="1030"/>
      <c r="N1023" s="1030"/>
      <c r="O1023" s="1030"/>
      <c r="P1023" s="1030"/>
      <c r="Q1023" s="1030"/>
      <c r="R1023" s="1030"/>
      <c r="S1023" s="1031"/>
      <c r="T1023" s="952"/>
      <c r="U1023" s="941"/>
      <c r="V1023" s="941"/>
      <c r="W1023" s="941"/>
    </row>
    <row r="1024" spans="10:23" s="1011" customFormat="1" x14ac:dyDescent="0.2">
      <c r="J1024" s="1030"/>
      <c r="K1024" s="1030"/>
      <c r="L1024" s="1030"/>
      <c r="M1024" s="1030"/>
      <c r="N1024" s="1030"/>
      <c r="O1024" s="1030"/>
      <c r="P1024" s="1030"/>
      <c r="Q1024" s="1030"/>
      <c r="R1024" s="1030"/>
      <c r="S1024" s="1031"/>
      <c r="T1024" s="952"/>
      <c r="U1024" s="941"/>
      <c r="V1024" s="941"/>
      <c r="W1024" s="941"/>
    </row>
    <row r="1025" spans="10:23" s="1011" customFormat="1" x14ac:dyDescent="0.2">
      <c r="J1025" s="1030"/>
      <c r="K1025" s="1030"/>
      <c r="L1025" s="1030"/>
      <c r="M1025" s="1030"/>
      <c r="N1025" s="1030"/>
      <c r="O1025" s="1030"/>
      <c r="P1025" s="1030"/>
      <c r="Q1025" s="1030"/>
      <c r="R1025" s="1030"/>
      <c r="S1025" s="1031"/>
      <c r="T1025" s="952"/>
      <c r="U1025" s="941"/>
      <c r="V1025" s="941"/>
      <c r="W1025" s="941"/>
    </row>
    <row r="1026" spans="10:23" s="1011" customFormat="1" x14ac:dyDescent="0.2">
      <c r="J1026" s="1030"/>
      <c r="K1026" s="1030"/>
      <c r="L1026" s="1030"/>
      <c r="M1026" s="1030"/>
      <c r="N1026" s="1030"/>
      <c r="O1026" s="1030"/>
      <c r="P1026" s="1030"/>
      <c r="Q1026" s="1030"/>
      <c r="R1026" s="1030"/>
      <c r="S1026" s="1031"/>
      <c r="T1026" s="952"/>
      <c r="U1026" s="941"/>
      <c r="V1026" s="941"/>
      <c r="W1026" s="941"/>
    </row>
    <row r="1027" spans="10:23" s="1011" customFormat="1" x14ac:dyDescent="0.2">
      <c r="J1027" s="1030"/>
      <c r="K1027" s="1030"/>
      <c r="L1027" s="1030"/>
      <c r="M1027" s="1030"/>
      <c r="N1027" s="1030"/>
      <c r="O1027" s="1030"/>
      <c r="P1027" s="1030"/>
      <c r="Q1027" s="1030"/>
      <c r="R1027" s="1030"/>
      <c r="S1027" s="1031"/>
      <c r="T1027" s="952"/>
      <c r="U1027" s="941"/>
      <c r="V1027" s="941"/>
      <c r="W1027" s="941"/>
    </row>
    <row r="1028" spans="10:23" s="1011" customFormat="1" x14ac:dyDescent="0.2">
      <c r="J1028" s="1030"/>
      <c r="K1028" s="1030"/>
      <c r="L1028" s="1030"/>
      <c r="M1028" s="1030"/>
      <c r="N1028" s="1030"/>
      <c r="O1028" s="1030"/>
      <c r="P1028" s="1030"/>
      <c r="Q1028" s="1030"/>
      <c r="R1028" s="1030"/>
      <c r="S1028" s="1031"/>
      <c r="T1028" s="952"/>
      <c r="U1028" s="941"/>
      <c r="V1028" s="941"/>
      <c r="W1028" s="941"/>
    </row>
    <row r="1029" spans="10:23" s="1011" customFormat="1" x14ac:dyDescent="0.2">
      <c r="J1029" s="1030"/>
      <c r="K1029" s="1030"/>
      <c r="L1029" s="1030"/>
      <c r="M1029" s="1030"/>
      <c r="N1029" s="1030"/>
      <c r="O1029" s="1030"/>
      <c r="P1029" s="1030"/>
      <c r="Q1029" s="1030"/>
      <c r="R1029" s="1030"/>
      <c r="S1029" s="1031"/>
      <c r="T1029" s="952"/>
      <c r="U1029" s="941"/>
      <c r="V1029" s="941"/>
      <c r="W1029" s="941"/>
    </row>
    <row r="1030" spans="10:23" s="1011" customFormat="1" x14ac:dyDescent="0.2">
      <c r="J1030" s="1030"/>
      <c r="K1030" s="1030"/>
      <c r="L1030" s="1030"/>
      <c r="M1030" s="1030"/>
      <c r="N1030" s="1030"/>
      <c r="O1030" s="1030"/>
      <c r="P1030" s="1030"/>
      <c r="Q1030" s="1030"/>
      <c r="R1030" s="1030"/>
      <c r="S1030" s="1031"/>
      <c r="T1030" s="952"/>
      <c r="U1030" s="941"/>
      <c r="V1030" s="941"/>
      <c r="W1030" s="941"/>
    </row>
    <row r="1031" spans="10:23" s="1011" customFormat="1" x14ac:dyDescent="0.2">
      <c r="J1031" s="1030"/>
      <c r="K1031" s="1030"/>
      <c r="L1031" s="1030"/>
      <c r="M1031" s="1030"/>
      <c r="N1031" s="1030"/>
      <c r="O1031" s="1030"/>
      <c r="P1031" s="1030"/>
      <c r="Q1031" s="1030"/>
      <c r="R1031" s="1030"/>
      <c r="S1031" s="1031"/>
      <c r="T1031" s="952"/>
      <c r="U1031" s="941"/>
      <c r="V1031" s="941"/>
      <c r="W1031" s="941"/>
    </row>
    <row r="1032" spans="10:23" s="1011" customFormat="1" x14ac:dyDescent="0.2">
      <c r="J1032" s="1030"/>
      <c r="K1032" s="1030"/>
      <c r="L1032" s="1030"/>
      <c r="M1032" s="1030"/>
      <c r="N1032" s="1030"/>
      <c r="O1032" s="1030"/>
      <c r="P1032" s="1030"/>
      <c r="Q1032" s="1030"/>
      <c r="R1032" s="1030"/>
      <c r="S1032" s="1031"/>
      <c r="T1032" s="952"/>
      <c r="U1032" s="941"/>
      <c r="V1032" s="941"/>
      <c r="W1032" s="941"/>
    </row>
    <row r="1033" spans="10:23" s="1011" customFormat="1" x14ac:dyDescent="0.2">
      <c r="J1033" s="1030"/>
      <c r="K1033" s="1030"/>
      <c r="L1033" s="1030"/>
      <c r="M1033" s="1030"/>
      <c r="N1033" s="1030"/>
      <c r="O1033" s="1030"/>
      <c r="P1033" s="1030"/>
      <c r="Q1033" s="1030"/>
      <c r="R1033" s="1030"/>
      <c r="S1033" s="1031"/>
      <c r="T1033" s="952"/>
      <c r="U1033" s="941"/>
      <c r="V1033" s="941"/>
      <c r="W1033" s="941"/>
    </row>
    <row r="1034" spans="10:23" s="1011" customFormat="1" x14ac:dyDescent="0.2">
      <c r="J1034" s="1030"/>
      <c r="K1034" s="1030"/>
      <c r="L1034" s="1030"/>
      <c r="M1034" s="1030"/>
      <c r="N1034" s="1030"/>
      <c r="O1034" s="1030"/>
      <c r="P1034" s="1030"/>
      <c r="Q1034" s="1030"/>
      <c r="R1034" s="1030"/>
      <c r="S1034" s="1031"/>
      <c r="T1034" s="952"/>
      <c r="U1034" s="941"/>
      <c r="V1034" s="941"/>
      <c r="W1034" s="941"/>
    </row>
    <row r="1035" spans="10:23" s="1011" customFormat="1" x14ac:dyDescent="0.2">
      <c r="J1035" s="1030"/>
      <c r="K1035" s="1030"/>
      <c r="L1035" s="1030"/>
      <c r="M1035" s="1030"/>
      <c r="N1035" s="1030"/>
      <c r="O1035" s="1030"/>
      <c r="P1035" s="1030"/>
      <c r="Q1035" s="1030"/>
      <c r="R1035" s="1030"/>
      <c r="S1035" s="1031"/>
      <c r="T1035" s="952"/>
      <c r="U1035" s="941"/>
      <c r="V1035" s="941"/>
      <c r="W1035" s="941"/>
    </row>
    <row r="1036" spans="10:23" s="1011" customFormat="1" x14ac:dyDescent="0.2">
      <c r="J1036" s="1030"/>
      <c r="K1036" s="1030"/>
      <c r="L1036" s="1030"/>
      <c r="M1036" s="1030"/>
      <c r="N1036" s="1030"/>
      <c r="O1036" s="1030"/>
      <c r="P1036" s="1030"/>
      <c r="Q1036" s="1030"/>
      <c r="R1036" s="1030"/>
      <c r="S1036" s="1031"/>
      <c r="T1036" s="952"/>
      <c r="U1036" s="941"/>
      <c r="V1036" s="941"/>
      <c r="W1036" s="941"/>
    </row>
    <row r="1037" spans="10:23" s="1011" customFormat="1" x14ac:dyDescent="0.2">
      <c r="J1037" s="1030"/>
      <c r="K1037" s="1030"/>
      <c r="L1037" s="1030"/>
      <c r="M1037" s="1030"/>
      <c r="N1037" s="1030"/>
      <c r="O1037" s="1030"/>
      <c r="P1037" s="1030"/>
      <c r="Q1037" s="1030"/>
      <c r="R1037" s="1030"/>
      <c r="S1037" s="1031"/>
      <c r="T1037" s="952"/>
      <c r="U1037" s="941"/>
      <c r="V1037" s="941"/>
      <c r="W1037" s="941"/>
    </row>
    <row r="1038" spans="10:23" s="1011" customFormat="1" x14ac:dyDescent="0.2">
      <c r="J1038" s="1030"/>
      <c r="K1038" s="1030"/>
      <c r="L1038" s="1030"/>
      <c r="M1038" s="1030"/>
      <c r="N1038" s="1030"/>
      <c r="O1038" s="1030"/>
      <c r="P1038" s="1030"/>
      <c r="Q1038" s="1030"/>
      <c r="R1038" s="1030"/>
      <c r="S1038" s="1031"/>
      <c r="T1038" s="952"/>
      <c r="U1038" s="941"/>
      <c r="V1038" s="941"/>
      <c r="W1038" s="941"/>
    </row>
    <row r="1039" spans="10:23" s="1011" customFormat="1" x14ac:dyDescent="0.2">
      <c r="J1039" s="1030"/>
      <c r="K1039" s="1030"/>
      <c r="L1039" s="1030"/>
      <c r="M1039" s="1030"/>
      <c r="N1039" s="1030"/>
      <c r="O1039" s="1030"/>
      <c r="P1039" s="1030"/>
      <c r="Q1039" s="1030"/>
      <c r="R1039" s="1030"/>
      <c r="S1039" s="1031"/>
      <c r="T1039" s="952"/>
      <c r="U1039" s="941"/>
      <c r="V1039" s="941"/>
      <c r="W1039" s="941"/>
    </row>
    <row r="1040" spans="10:23" s="1011" customFormat="1" x14ac:dyDescent="0.2">
      <c r="J1040" s="1030"/>
      <c r="K1040" s="1030"/>
      <c r="L1040" s="1030"/>
      <c r="M1040" s="1030"/>
      <c r="N1040" s="1030"/>
      <c r="O1040" s="1030"/>
      <c r="P1040" s="1030"/>
      <c r="Q1040" s="1030"/>
      <c r="R1040" s="1030"/>
      <c r="S1040" s="1031"/>
      <c r="T1040" s="952"/>
      <c r="U1040" s="941"/>
      <c r="V1040" s="941"/>
      <c r="W1040" s="941"/>
    </row>
    <row r="1041" spans="10:23" s="1011" customFormat="1" x14ac:dyDescent="0.2">
      <c r="J1041" s="1030"/>
      <c r="K1041" s="1030"/>
      <c r="L1041" s="1030"/>
      <c r="M1041" s="1030"/>
      <c r="N1041" s="1030"/>
      <c r="O1041" s="1030"/>
      <c r="P1041" s="1030"/>
      <c r="Q1041" s="1030"/>
      <c r="R1041" s="1030"/>
      <c r="S1041" s="1031"/>
      <c r="T1041" s="952"/>
      <c r="U1041" s="941"/>
      <c r="V1041" s="941"/>
      <c r="W1041" s="941"/>
    </row>
    <row r="1042" spans="10:23" s="1011" customFormat="1" x14ac:dyDescent="0.2">
      <c r="J1042" s="1030"/>
      <c r="K1042" s="1030"/>
      <c r="L1042" s="1030"/>
      <c r="M1042" s="1030"/>
      <c r="N1042" s="1030"/>
      <c r="O1042" s="1030"/>
      <c r="P1042" s="1030"/>
      <c r="Q1042" s="1030"/>
      <c r="R1042" s="1030"/>
      <c r="S1042" s="1031"/>
      <c r="T1042" s="952"/>
      <c r="U1042" s="941"/>
      <c r="V1042" s="941"/>
      <c r="W1042" s="941"/>
    </row>
    <row r="1043" spans="10:23" s="1011" customFormat="1" x14ac:dyDescent="0.2">
      <c r="J1043" s="1030"/>
      <c r="K1043" s="1030"/>
      <c r="L1043" s="1030"/>
      <c r="M1043" s="1030"/>
      <c r="N1043" s="1030"/>
      <c r="O1043" s="1030"/>
      <c r="P1043" s="1030"/>
      <c r="Q1043" s="1030"/>
      <c r="R1043" s="1030"/>
      <c r="S1043" s="1031"/>
      <c r="T1043" s="952"/>
      <c r="U1043" s="941"/>
      <c r="V1043" s="941"/>
      <c r="W1043" s="941"/>
    </row>
    <row r="1044" spans="10:23" s="1011" customFormat="1" x14ac:dyDescent="0.2">
      <c r="J1044" s="1030"/>
      <c r="K1044" s="1030"/>
      <c r="L1044" s="1030"/>
      <c r="M1044" s="1030"/>
      <c r="N1044" s="1030"/>
      <c r="O1044" s="1030"/>
      <c r="P1044" s="1030"/>
      <c r="Q1044" s="1030"/>
      <c r="R1044" s="1030"/>
      <c r="S1044" s="1031"/>
      <c r="T1044" s="952"/>
      <c r="U1044" s="941"/>
      <c r="V1044" s="941"/>
      <c r="W1044" s="941"/>
    </row>
    <row r="1045" spans="10:23" s="1011" customFormat="1" x14ac:dyDescent="0.2">
      <c r="J1045" s="1030"/>
      <c r="K1045" s="1030"/>
      <c r="L1045" s="1030"/>
      <c r="M1045" s="1030"/>
      <c r="N1045" s="1030"/>
      <c r="O1045" s="1030"/>
      <c r="P1045" s="1030"/>
      <c r="Q1045" s="1030"/>
      <c r="R1045" s="1030"/>
      <c r="S1045" s="1031"/>
      <c r="T1045" s="952"/>
      <c r="U1045" s="941"/>
      <c r="V1045" s="941"/>
      <c r="W1045" s="941"/>
    </row>
    <row r="1046" spans="10:23" s="1011" customFormat="1" x14ac:dyDescent="0.2">
      <c r="J1046" s="1030"/>
      <c r="K1046" s="1030"/>
      <c r="L1046" s="1030"/>
      <c r="M1046" s="1030"/>
      <c r="N1046" s="1030"/>
      <c r="O1046" s="1030"/>
      <c r="P1046" s="1030"/>
      <c r="Q1046" s="1030"/>
      <c r="R1046" s="1030"/>
      <c r="S1046" s="1031"/>
      <c r="T1046" s="952"/>
      <c r="U1046" s="941"/>
      <c r="V1046" s="941"/>
      <c r="W1046" s="941"/>
    </row>
    <row r="1047" spans="10:23" s="1011" customFormat="1" x14ac:dyDescent="0.2">
      <c r="J1047" s="1030"/>
      <c r="K1047" s="1030"/>
      <c r="L1047" s="1030"/>
      <c r="M1047" s="1030"/>
      <c r="N1047" s="1030"/>
      <c r="O1047" s="1030"/>
      <c r="P1047" s="1030"/>
      <c r="Q1047" s="1030"/>
      <c r="R1047" s="1030"/>
      <c r="S1047" s="1031"/>
      <c r="T1047" s="952"/>
      <c r="U1047" s="941"/>
      <c r="V1047" s="941"/>
      <c r="W1047" s="941"/>
    </row>
    <row r="1048" spans="10:23" s="1011" customFormat="1" x14ac:dyDescent="0.2">
      <c r="J1048" s="1030"/>
      <c r="K1048" s="1030"/>
      <c r="L1048" s="1030"/>
      <c r="M1048" s="1030"/>
      <c r="N1048" s="1030"/>
      <c r="O1048" s="1030"/>
      <c r="P1048" s="1030"/>
      <c r="Q1048" s="1030"/>
      <c r="R1048" s="1030"/>
      <c r="S1048" s="1031"/>
      <c r="T1048" s="952"/>
      <c r="U1048" s="941"/>
      <c r="V1048" s="941"/>
      <c r="W1048" s="941"/>
    </row>
    <row r="1049" spans="10:23" s="1011" customFormat="1" x14ac:dyDescent="0.2">
      <c r="J1049" s="1030"/>
      <c r="K1049" s="1030"/>
      <c r="L1049" s="1030"/>
      <c r="M1049" s="1030"/>
      <c r="N1049" s="1030"/>
      <c r="O1049" s="1030"/>
      <c r="P1049" s="1030"/>
      <c r="Q1049" s="1030"/>
      <c r="R1049" s="1030"/>
      <c r="S1049" s="1031"/>
      <c r="T1049" s="952"/>
      <c r="U1049" s="941"/>
      <c r="V1049" s="941"/>
      <c r="W1049" s="941"/>
    </row>
    <row r="1050" spans="10:23" s="1011" customFormat="1" x14ac:dyDescent="0.2">
      <c r="J1050" s="1030"/>
      <c r="K1050" s="1030"/>
      <c r="L1050" s="1030"/>
      <c r="M1050" s="1030"/>
      <c r="N1050" s="1030"/>
      <c r="O1050" s="1030"/>
      <c r="P1050" s="1030"/>
      <c r="Q1050" s="1030"/>
      <c r="R1050" s="1030"/>
      <c r="S1050" s="1031"/>
      <c r="T1050" s="952"/>
      <c r="U1050" s="941"/>
      <c r="V1050" s="941"/>
      <c r="W1050" s="941"/>
    </row>
    <row r="1051" spans="10:23" s="1011" customFormat="1" x14ac:dyDescent="0.2">
      <c r="J1051" s="1030"/>
      <c r="K1051" s="1030"/>
      <c r="L1051" s="1030"/>
      <c r="M1051" s="1030"/>
      <c r="N1051" s="1030"/>
      <c r="O1051" s="1030"/>
      <c r="P1051" s="1030"/>
      <c r="Q1051" s="1030"/>
      <c r="R1051" s="1030"/>
      <c r="S1051" s="1031"/>
      <c r="T1051" s="952"/>
      <c r="U1051" s="941"/>
      <c r="V1051" s="941"/>
      <c r="W1051" s="941"/>
    </row>
    <row r="1052" spans="10:23" s="1011" customFormat="1" x14ac:dyDescent="0.2">
      <c r="J1052" s="1030"/>
      <c r="K1052" s="1030"/>
      <c r="L1052" s="1030"/>
      <c r="M1052" s="1030"/>
      <c r="N1052" s="1030"/>
      <c r="O1052" s="1030"/>
      <c r="P1052" s="1030"/>
      <c r="Q1052" s="1030"/>
      <c r="R1052" s="1030"/>
      <c r="S1052" s="1031"/>
      <c r="T1052" s="952"/>
      <c r="U1052" s="941"/>
      <c r="V1052" s="941"/>
      <c r="W1052" s="941"/>
    </row>
    <row r="1053" spans="10:23" s="1011" customFormat="1" x14ac:dyDescent="0.2">
      <c r="J1053" s="1030"/>
      <c r="K1053" s="1030"/>
      <c r="L1053" s="1030"/>
      <c r="M1053" s="1030"/>
      <c r="N1053" s="1030"/>
      <c r="O1053" s="1030"/>
      <c r="P1053" s="1030"/>
      <c r="Q1053" s="1030"/>
      <c r="R1053" s="1030"/>
      <c r="S1053" s="1031"/>
      <c r="T1053" s="952"/>
      <c r="U1053" s="941"/>
      <c r="V1053" s="941"/>
      <c r="W1053" s="941"/>
    </row>
    <row r="1054" spans="10:23" s="1011" customFormat="1" x14ac:dyDescent="0.2">
      <c r="J1054" s="1030"/>
      <c r="K1054" s="1030"/>
      <c r="L1054" s="1030"/>
      <c r="M1054" s="1030"/>
      <c r="N1054" s="1030"/>
      <c r="O1054" s="1030"/>
      <c r="P1054" s="1030"/>
      <c r="Q1054" s="1030"/>
      <c r="R1054" s="1030"/>
      <c r="S1054" s="1031"/>
      <c r="T1054" s="952"/>
      <c r="U1054" s="941"/>
      <c r="V1054" s="941"/>
      <c r="W1054" s="941"/>
    </row>
    <row r="1055" spans="10:23" s="1011" customFormat="1" x14ac:dyDescent="0.2">
      <c r="J1055" s="1030"/>
      <c r="K1055" s="1030"/>
      <c r="L1055" s="1030"/>
      <c r="M1055" s="1030"/>
      <c r="N1055" s="1030"/>
      <c r="O1055" s="1030"/>
      <c r="P1055" s="1030"/>
      <c r="Q1055" s="1030"/>
      <c r="R1055" s="1030"/>
      <c r="S1055" s="1031"/>
      <c r="T1055" s="952"/>
      <c r="U1055" s="941"/>
      <c r="V1055" s="941"/>
      <c r="W1055" s="941"/>
    </row>
    <row r="1056" spans="10:23" s="1011" customFormat="1" x14ac:dyDescent="0.2">
      <c r="J1056" s="1030"/>
      <c r="K1056" s="1030"/>
      <c r="L1056" s="1030"/>
      <c r="M1056" s="1030"/>
      <c r="N1056" s="1030"/>
      <c r="O1056" s="1030"/>
      <c r="P1056" s="1030"/>
      <c r="Q1056" s="1030"/>
      <c r="R1056" s="1030"/>
      <c r="S1056" s="1031"/>
      <c r="T1056" s="952"/>
      <c r="U1056" s="941"/>
      <c r="V1056" s="941"/>
      <c r="W1056" s="941"/>
    </row>
    <row r="1057" spans="10:23" s="1011" customFormat="1" x14ac:dyDescent="0.2">
      <c r="J1057" s="1030"/>
      <c r="K1057" s="1030"/>
      <c r="L1057" s="1030"/>
      <c r="M1057" s="1030"/>
      <c r="N1057" s="1030"/>
      <c r="O1057" s="1030"/>
      <c r="P1057" s="1030"/>
      <c r="Q1057" s="1030"/>
      <c r="R1057" s="1030"/>
      <c r="S1057" s="1031"/>
      <c r="T1057" s="952"/>
      <c r="U1057" s="941"/>
      <c r="V1057" s="941"/>
      <c r="W1057" s="941"/>
    </row>
    <row r="1058" spans="10:23" s="1011" customFormat="1" x14ac:dyDescent="0.2">
      <c r="J1058" s="1030"/>
      <c r="K1058" s="1030"/>
      <c r="L1058" s="1030"/>
      <c r="M1058" s="1030"/>
      <c r="N1058" s="1030"/>
      <c r="O1058" s="1030"/>
      <c r="P1058" s="1030"/>
      <c r="Q1058" s="1030"/>
      <c r="R1058" s="1030"/>
      <c r="S1058" s="1031"/>
      <c r="T1058" s="952"/>
      <c r="U1058" s="941"/>
      <c r="V1058" s="941"/>
      <c r="W1058" s="941"/>
    </row>
    <row r="1059" spans="10:23" s="1011" customFormat="1" x14ac:dyDescent="0.2">
      <c r="J1059" s="1030"/>
      <c r="K1059" s="1030"/>
      <c r="L1059" s="1030"/>
      <c r="M1059" s="1030"/>
      <c r="N1059" s="1030"/>
      <c r="O1059" s="1030"/>
      <c r="P1059" s="1030"/>
      <c r="Q1059" s="1030"/>
      <c r="R1059" s="1030"/>
      <c r="S1059" s="1031"/>
      <c r="T1059" s="952"/>
      <c r="U1059" s="941"/>
      <c r="V1059" s="941"/>
      <c r="W1059" s="941"/>
    </row>
    <row r="1060" spans="10:23" s="1011" customFormat="1" x14ac:dyDescent="0.2">
      <c r="J1060" s="1030"/>
      <c r="K1060" s="1030"/>
      <c r="L1060" s="1030"/>
      <c r="M1060" s="1030"/>
      <c r="N1060" s="1030"/>
      <c r="O1060" s="1030"/>
      <c r="P1060" s="1030"/>
      <c r="Q1060" s="1030"/>
      <c r="R1060" s="1030"/>
      <c r="S1060" s="1031"/>
      <c r="T1060" s="952"/>
      <c r="U1060" s="941"/>
      <c r="V1060" s="941"/>
      <c r="W1060" s="941"/>
    </row>
    <row r="1061" spans="10:23" s="1011" customFormat="1" x14ac:dyDescent="0.2">
      <c r="J1061" s="1030"/>
      <c r="K1061" s="1030"/>
      <c r="L1061" s="1030"/>
      <c r="M1061" s="1030"/>
      <c r="N1061" s="1030"/>
      <c r="O1061" s="1030"/>
      <c r="P1061" s="1030"/>
      <c r="Q1061" s="1030"/>
      <c r="R1061" s="1030"/>
      <c r="S1061" s="1031"/>
      <c r="T1061" s="952"/>
      <c r="U1061" s="941"/>
      <c r="V1061" s="941"/>
      <c r="W1061" s="941"/>
    </row>
    <row r="1062" spans="10:23" s="1011" customFormat="1" x14ac:dyDescent="0.2">
      <c r="J1062" s="1030"/>
      <c r="K1062" s="1030"/>
      <c r="L1062" s="1030"/>
      <c r="M1062" s="1030"/>
      <c r="N1062" s="1030"/>
      <c r="O1062" s="1030"/>
      <c r="P1062" s="1030"/>
      <c r="Q1062" s="1030"/>
      <c r="R1062" s="1030"/>
      <c r="S1062" s="1031"/>
      <c r="T1062" s="952"/>
      <c r="U1062" s="941"/>
      <c r="V1062" s="941"/>
      <c r="W1062" s="941"/>
    </row>
    <row r="1063" spans="10:23" s="1011" customFormat="1" x14ac:dyDescent="0.2">
      <c r="J1063" s="1030"/>
      <c r="K1063" s="1030"/>
      <c r="L1063" s="1030"/>
      <c r="M1063" s="1030"/>
      <c r="N1063" s="1030"/>
      <c r="O1063" s="1030"/>
      <c r="P1063" s="1030"/>
      <c r="Q1063" s="1030"/>
      <c r="R1063" s="1030"/>
      <c r="S1063" s="1031"/>
      <c r="T1063" s="952"/>
      <c r="U1063" s="941"/>
      <c r="V1063" s="941"/>
      <c r="W1063" s="941"/>
    </row>
    <row r="1064" spans="10:23" s="1011" customFormat="1" x14ac:dyDescent="0.2">
      <c r="J1064" s="1030"/>
      <c r="K1064" s="1030"/>
      <c r="L1064" s="1030"/>
      <c r="M1064" s="1030"/>
      <c r="N1064" s="1030"/>
      <c r="O1064" s="1030"/>
      <c r="P1064" s="1030"/>
      <c r="Q1064" s="1030"/>
      <c r="R1064" s="1030"/>
      <c r="S1064" s="1031"/>
      <c r="T1064" s="952"/>
      <c r="U1064" s="941"/>
      <c r="V1064" s="941"/>
      <c r="W1064" s="941"/>
    </row>
    <row r="1065" spans="10:23" s="1011" customFormat="1" x14ac:dyDescent="0.2">
      <c r="J1065" s="1030"/>
      <c r="K1065" s="1030"/>
      <c r="L1065" s="1030"/>
      <c r="M1065" s="1030"/>
      <c r="N1065" s="1030"/>
      <c r="O1065" s="1030"/>
      <c r="P1065" s="1030"/>
      <c r="Q1065" s="1030"/>
      <c r="R1065" s="1030"/>
      <c r="S1065" s="1031"/>
      <c r="T1065" s="952"/>
      <c r="U1065" s="941"/>
      <c r="V1065" s="941"/>
      <c r="W1065" s="941"/>
    </row>
    <row r="1066" spans="10:23" s="1011" customFormat="1" x14ac:dyDescent="0.2">
      <c r="J1066" s="1030"/>
      <c r="K1066" s="1030"/>
      <c r="L1066" s="1030"/>
      <c r="M1066" s="1030"/>
      <c r="N1066" s="1030"/>
      <c r="O1066" s="1030"/>
      <c r="P1066" s="1030"/>
      <c r="Q1066" s="1030"/>
      <c r="R1066" s="1030"/>
      <c r="S1066" s="1031"/>
      <c r="T1066" s="952"/>
      <c r="U1066" s="941"/>
      <c r="V1066" s="941"/>
      <c r="W1066" s="941"/>
    </row>
    <row r="1067" spans="10:23" s="1011" customFormat="1" x14ac:dyDescent="0.2">
      <c r="J1067" s="1030"/>
      <c r="K1067" s="1030"/>
      <c r="L1067" s="1030"/>
      <c r="M1067" s="1030"/>
      <c r="N1067" s="1030"/>
      <c r="O1067" s="1030"/>
      <c r="P1067" s="1030"/>
      <c r="Q1067" s="1030"/>
      <c r="R1067" s="1030"/>
      <c r="S1067" s="1031"/>
      <c r="T1067" s="952"/>
      <c r="U1067" s="941"/>
      <c r="V1067" s="941"/>
      <c r="W1067" s="941"/>
    </row>
    <row r="1068" spans="10:23" s="1011" customFormat="1" x14ac:dyDescent="0.2">
      <c r="J1068" s="1030"/>
      <c r="K1068" s="1030"/>
      <c r="L1068" s="1030"/>
      <c r="M1068" s="1030"/>
      <c r="N1068" s="1030"/>
      <c r="O1068" s="1030"/>
      <c r="P1068" s="1030"/>
      <c r="Q1068" s="1030"/>
      <c r="R1068" s="1030"/>
      <c r="S1068" s="1031"/>
      <c r="T1068" s="952"/>
      <c r="U1068" s="941"/>
      <c r="V1068" s="941"/>
      <c r="W1068" s="941"/>
    </row>
    <row r="1069" spans="10:23" s="1011" customFormat="1" x14ac:dyDescent="0.2">
      <c r="J1069" s="1030"/>
      <c r="K1069" s="1030"/>
      <c r="L1069" s="1030"/>
      <c r="M1069" s="1030"/>
      <c r="N1069" s="1030"/>
      <c r="O1069" s="1030"/>
      <c r="P1069" s="1030"/>
      <c r="Q1069" s="1030"/>
      <c r="R1069" s="1030"/>
      <c r="S1069" s="1031"/>
      <c r="T1069" s="952"/>
      <c r="U1069" s="941"/>
      <c r="V1069" s="941"/>
      <c r="W1069" s="941"/>
    </row>
    <row r="1070" spans="10:23" s="1011" customFormat="1" x14ac:dyDescent="0.2">
      <c r="J1070" s="1030"/>
      <c r="K1070" s="1030"/>
      <c r="L1070" s="1030"/>
      <c r="M1070" s="1030"/>
      <c r="N1070" s="1030"/>
      <c r="O1070" s="1030"/>
      <c r="P1070" s="1030"/>
      <c r="Q1070" s="1030"/>
      <c r="R1070" s="1030"/>
      <c r="S1070" s="1031"/>
      <c r="T1070" s="952"/>
      <c r="U1070" s="941"/>
      <c r="V1070" s="941"/>
      <c r="W1070" s="941"/>
    </row>
    <row r="1071" spans="10:23" s="1011" customFormat="1" x14ac:dyDescent="0.2">
      <c r="J1071" s="1030"/>
      <c r="K1071" s="1030"/>
      <c r="L1071" s="1030"/>
      <c r="M1071" s="1030"/>
      <c r="N1071" s="1030"/>
      <c r="O1071" s="1030"/>
      <c r="P1071" s="1030"/>
      <c r="Q1071" s="1030"/>
      <c r="R1071" s="1030"/>
      <c r="S1071" s="1031"/>
      <c r="T1071" s="952"/>
      <c r="U1071" s="941"/>
      <c r="V1071" s="941"/>
      <c r="W1071" s="941"/>
    </row>
    <row r="1072" spans="10:23" s="1011" customFormat="1" x14ac:dyDescent="0.2">
      <c r="J1072" s="1030"/>
      <c r="K1072" s="1030"/>
      <c r="L1072" s="1030"/>
      <c r="M1072" s="1030"/>
      <c r="N1072" s="1030"/>
      <c r="O1072" s="1030"/>
      <c r="P1072" s="1030"/>
      <c r="Q1072" s="1030"/>
      <c r="R1072" s="1030"/>
      <c r="S1072" s="1031"/>
      <c r="T1072" s="952"/>
      <c r="U1072" s="941"/>
      <c r="V1072" s="941"/>
      <c r="W1072" s="941"/>
    </row>
    <row r="1073" spans="10:23" s="1011" customFormat="1" x14ac:dyDescent="0.2">
      <c r="J1073" s="1030"/>
      <c r="K1073" s="1030"/>
      <c r="L1073" s="1030"/>
      <c r="M1073" s="1030"/>
      <c r="N1073" s="1030"/>
      <c r="O1073" s="1030"/>
      <c r="P1073" s="1030"/>
      <c r="Q1073" s="1030"/>
      <c r="R1073" s="1030"/>
      <c r="S1073" s="1031"/>
      <c r="T1073" s="952"/>
      <c r="U1073" s="941"/>
      <c r="V1073" s="941"/>
      <c r="W1073" s="941"/>
    </row>
    <row r="1074" spans="10:23" s="1011" customFormat="1" x14ac:dyDescent="0.2">
      <c r="J1074" s="1030"/>
      <c r="K1074" s="1030"/>
      <c r="L1074" s="1030"/>
      <c r="M1074" s="1030"/>
      <c r="N1074" s="1030"/>
      <c r="O1074" s="1030"/>
      <c r="P1074" s="1030"/>
      <c r="Q1074" s="1030"/>
      <c r="R1074" s="1030"/>
      <c r="S1074" s="1031"/>
      <c r="T1074" s="952"/>
      <c r="U1074" s="941"/>
      <c r="V1074" s="941"/>
      <c r="W1074" s="941"/>
    </row>
    <row r="1075" spans="10:23" s="1011" customFormat="1" x14ac:dyDescent="0.2">
      <c r="J1075" s="1030"/>
      <c r="K1075" s="1030"/>
      <c r="L1075" s="1030"/>
      <c r="M1075" s="1030"/>
      <c r="N1075" s="1030"/>
      <c r="O1075" s="1030"/>
      <c r="P1075" s="1030"/>
      <c r="Q1075" s="1030"/>
      <c r="R1075" s="1030"/>
      <c r="S1075" s="1031"/>
      <c r="T1075" s="952"/>
      <c r="U1075" s="941"/>
      <c r="V1075" s="941"/>
      <c r="W1075" s="941"/>
    </row>
    <row r="1076" spans="10:23" s="1011" customFormat="1" x14ac:dyDescent="0.2">
      <c r="J1076" s="1030"/>
      <c r="K1076" s="1030"/>
      <c r="L1076" s="1030"/>
      <c r="M1076" s="1030"/>
      <c r="N1076" s="1030"/>
      <c r="O1076" s="1030"/>
      <c r="P1076" s="1030"/>
      <c r="Q1076" s="1030"/>
      <c r="R1076" s="1030"/>
      <c r="S1076" s="1031"/>
      <c r="T1076" s="952"/>
      <c r="U1076" s="941"/>
      <c r="V1076" s="941"/>
      <c r="W1076" s="941"/>
    </row>
    <row r="1077" spans="10:23" s="1011" customFormat="1" x14ac:dyDescent="0.2">
      <c r="J1077" s="1030"/>
      <c r="K1077" s="1030"/>
      <c r="L1077" s="1030"/>
      <c r="M1077" s="1030"/>
      <c r="N1077" s="1030"/>
      <c r="O1077" s="1030"/>
      <c r="P1077" s="1030"/>
      <c r="Q1077" s="1030"/>
      <c r="R1077" s="1030"/>
      <c r="S1077" s="1031"/>
      <c r="T1077" s="952"/>
      <c r="U1077" s="941"/>
      <c r="V1077" s="941"/>
      <c r="W1077" s="941"/>
    </row>
    <row r="1078" spans="10:23" s="1011" customFormat="1" x14ac:dyDescent="0.2">
      <c r="J1078" s="1030"/>
      <c r="K1078" s="1030"/>
      <c r="L1078" s="1030"/>
      <c r="M1078" s="1030"/>
      <c r="N1078" s="1030"/>
      <c r="O1078" s="1030"/>
      <c r="P1078" s="1030"/>
      <c r="Q1078" s="1030"/>
      <c r="R1078" s="1030"/>
      <c r="S1078" s="1031"/>
      <c r="T1078" s="952"/>
      <c r="U1078" s="941"/>
      <c r="V1078" s="941"/>
      <c r="W1078" s="941"/>
    </row>
    <row r="1079" spans="10:23" s="1011" customFormat="1" x14ac:dyDescent="0.2">
      <c r="J1079" s="1030"/>
      <c r="K1079" s="1030"/>
      <c r="L1079" s="1030"/>
      <c r="M1079" s="1030"/>
      <c r="N1079" s="1030"/>
      <c r="O1079" s="1030"/>
      <c r="P1079" s="1030"/>
      <c r="Q1079" s="1030"/>
      <c r="R1079" s="1030"/>
      <c r="S1079" s="1031"/>
      <c r="T1079" s="952"/>
      <c r="U1079" s="941"/>
      <c r="V1079" s="941"/>
      <c r="W1079" s="941"/>
    </row>
    <row r="1080" spans="10:23" s="1011" customFormat="1" x14ac:dyDescent="0.2">
      <c r="J1080" s="1030"/>
      <c r="K1080" s="1030"/>
      <c r="L1080" s="1030"/>
      <c r="M1080" s="1030"/>
      <c r="N1080" s="1030"/>
      <c r="O1080" s="1030"/>
      <c r="P1080" s="1030"/>
      <c r="Q1080" s="1030"/>
      <c r="R1080" s="1030"/>
      <c r="S1080" s="1031"/>
      <c r="T1080" s="952"/>
      <c r="U1080" s="941"/>
      <c r="V1080" s="941"/>
      <c r="W1080" s="941"/>
    </row>
    <row r="1081" spans="10:23" s="1011" customFormat="1" x14ac:dyDescent="0.2">
      <c r="J1081" s="1030"/>
      <c r="K1081" s="1030"/>
      <c r="L1081" s="1030"/>
      <c r="M1081" s="1030"/>
      <c r="N1081" s="1030"/>
      <c r="O1081" s="1030"/>
      <c r="P1081" s="1030"/>
      <c r="Q1081" s="1030"/>
      <c r="R1081" s="1030"/>
      <c r="S1081" s="1031"/>
      <c r="T1081" s="952"/>
      <c r="U1081" s="941"/>
      <c r="V1081" s="941"/>
      <c r="W1081" s="941"/>
    </row>
    <row r="1082" spans="10:23" s="1011" customFormat="1" x14ac:dyDescent="0.2">
      <c r="J1082" s="1030"/>
      <c r="K1082" s="1030"/>
      <c r="L1082" s="1030"/>
      <c r="M1082" s="1030"/>
      <c r="N1082" s="1030"/>
      <c r="O1082" s="1030"/>
      <c r="P1082" s="1030"/>
      <c r="Q1082" s="1030"/>
      <c r="R1082" s="1030"/>
      <c r="S1082" s="1031"/>
      <c r="T1082" s="952"/>
      <c r="U1082" s="941"/>
      <c r="V1082" s="941"/>
      <c r="W1082" s="941"/>
    </row>
    <row r="1083" spans="10:23" s="1011" customFormat="1" x14ac:dyDescent="0.2">
      <c r="J1083" s="1030"/>
      <c r="K1083" s="1030"/>
      <c r="L1083" s="1030"/>
      <c r="M1083" s="1030"/>
      <c r="N1083" s="1030"/>
      <c r="O1083" s="1030"/>
      <c r="P1083" s="1030"/>
      <c r="Q1083" s="1030"/>
      <c r="R1083" s="1030"/>
      <c r="S1083" s="1031"/>
      <c r="T1083" s="952"/>
      <c r="U1083" s="941"/>
      <c r="V1083" s="941"/>
      <c r="W1083" s="941"/>
    </row>
    <row r="1084" spans="10:23" s="1011" customFormat="1" x14ac:dyDescent="0.2">
      <c r="J1084" s="1030"/>
      <c r="K1084" s="1030"/>
      <c r="L1084" s="1030"/>
      <c r="M1084" s="1030"/>
      <c r="N1084" s="1030"/>
      <c r="O1084" s="1030"/>
      <c r="P1084" s="1030"/>
      <c r="Q1084" s="1030"/>
      <c r="R1084" s="1030"/>
      <c r="S1084" s="1031"/>
      <c r="T1084" s="952"/>
      <c r="U1084" s="941"/>
      <c r="V1084" s="941"/>
      <c r="W1084" s="941"/>
    </row>
    <row r="1085" spans="10:23" s="1011" customFormat="1" x14ac:dyDescent="0.2">
      <c r="J1085" s="1030"/>
      <c r="K1085" s="1030"/>
      <c r="L1085" s="1030"/>
      <c r="M1085" s="1030"/>
      <c r="N1085" s="1030"/>
      <c r="O1085" s="1030"/>
      <c r="P1085" s="1030"/>
      <c r="Q1085" s="1030"/>
      <c r="R1085" s="1030"/>
      <c r="S1085" s="1031"/>
      <c r="T1085" s="952"/>
      <c r="U1085" s="941"/>
      <c r="V1085" s="941"/>
      <c r="W1085" s="941"/>
    </row>
    <row r="1086" spans="10:23" s="1011" customFormat="1" x14ac:dyDescent="0.2">
      <c r="J1086" s="1030"/>
      <c r="K1086" s="1030"/>
      <c r="L1086" s="1030"/>
      <c r="M1086" s="1030"/>
      <c r="N1086" s="1030"/>
      <c r="O1086" s="1030"/>
      <c r="P1086" s="1030"/>
      <c r="Q1086" s="1030"/>
      <c r="R1086" s="1030"/>
      <c r="S1086" s="1031"/>
      <c r="T1086" s="952"/>
      <c r="U1086" s="941"/>
      <c r="V1086" s="941"/>
      <c r="W1086" s="941"/>
    </row>
    <row r="1087" spans="10:23" s="1011" customFormat="1" x14ac:dyDescent="0.2">
      <c r="J1087" s="1030"/>
      <c r="K1087" s="1030"/>
      <c r="L1087" s="1030"/>
      <c r="M1087" s="1030"/>
      <c r="N1087" s="1030"/>
      <c r="O1087" s="1030"/>
      <c r="P1087" s="1030"/>
      <c r="Q1087" s="1030"/>
      <c r="R1087" s="1030"/>
      <c r="S1087" s="1031"/>
      <c r="T1087" s="952"/>
      <c r="U1087" s="941"/>
      <c r="V1087" s="941"/>
      <c r="W1087" s="941"/>
    </row>
    <row r="1088" spans="10:23" s="1011" customFormat="1" x14ac:dyDescent="0.2">
      <c r="J1088" s="1030"/>
      <c r="K1088" s="1030"/>
      <c r="L1088" s="1030"/>
      <c r="M1088" s="1030"/>
      <c r="N1088" s="1030"/>
      <c r="O1088" s="1030"/>
      <c r="P1088" s="1030"/>
      <c r="Q1088" s="1030"/>
      <c r="R1088" s="1030"/>
      <c r="S1088" s="1031"/>
      <c r="T1088" s="952"/>
      <c r="U1088" s="941"/>
      <c r="V1088" s="941"/>
      <c r="W1088" s="941"/>
    </row>
    <row r="1089" spans="10:23" s="1011" customFormat="1" x14ac:dyDescent="0.2">
      <c r="J1089" s="1030"/>
      <c r="K1089" s="1030"/>
      <c r="L1089" s="1030"/>
      <c r="M1089" s="1030"/>
      <c r="N1089" s="1030"/>
      <c r="O1089" s="1030"/>
      <c r="P1089" s="1030"/>
      <c r="Q1089" s="1030"/>
      <c r="R1089" s="1030"/>
      <c r="S1089" s="1031"/>
      <c r="T1089" s="952"/>
      <c r="U1089" s="941"/>
      <c r="V1089" s="941"/>
      <c r="W1089" s="941"/>
    </row>
    <row r="1090" spans="10:23" s="1011" customFormat="1" x14ac:dyDescent="0.2">
      <c r="J1090" s="1030"/>
      <c r="K1090" s="1030"/>
      <c r="L1090" s="1030"/>
      <c r="M1090" s="1030"/>
      <c r="N1090" s="1030"/>
      <c r="O1090" s="1030"/>
      <c r="P1090" s="1030"/>
      <c r="Q1090" s="1030"/>
      <c r="R1090" s="1030"/>
      <c r="S1090" s="1031"/>
      <c r="T1090" s="952"/>
      <c r="U1090" s="941"/>
      <c r="V1090" s="941"/>
      <c r="W1090" s="941"/>
    </row>
    <row r="1091" spans="10:23" s="1011" customFormat="1" x14ac:dyDescent="0.2">
      <c r="J1091" s="1030"/>
      <c r="K1091" s="1030"/>
      <c r="L1091" s="1030"/>
      <c r="M1091" s="1030"/>
      <c r="N1091" s="1030"/>
      <c r="O1091" s="1030"/>
      <c r="P1091" s="1030"/>
      <c r="Q1091" s="1030"/>
      <c r="R1091" s="1030"/>
      <c r="S1091" s="1031"/>
      <c r="T1091" s="952"/>
      <c r="U1091" s="941"/>
      <c r="V1091" s="941"/>
      <c r="W1091" s="941"/>
    </row>
    <row r="1092" spans="10:23" s="1011" customFormat="1" x14ac:dyDescent="0.2">
      <c r="J1092" s="1030"/>
      <c r="K1092" s="1030"/>
      <c r="L1092" s="1030"/>
      <c r="M1092" s="1030"/>
      <c r="N1092" s="1030"/>
      <c r="O1092" s="1030"/>
      <c r="P1092" s="1030"/>
      <c r="Q1092" s="1030"/>
      <c r="R1092" s="1030"/>
      <c r="S1092" s="1031"/>
      <c r="T1092" s="952"/>
      <c r="U1092" s="941"/>
      <c r="V1092" s="941"/>
      <c r="W1092" s="941"/>
    </row>
    <row r="1093" spans="10:23" s="1011" customFormat="1" x14ac:dyDescent="0.2">
      <c r="J1093" s="1030"/>
      <c r="K1093" s="1030"/>
      <c r="L1093" s="1030"/>
      <c r="M1093" s="1030"/>
      <c r="N1093" s="1030"/>
      <c r="O1093" s="1030"/>
      <c r="P1093" s="1030"/>
      <c r="Q1093" s="1030"/>
      <c r="R1093" s="1030"/>
      <c r="S1093" s="1031"/>
      <c r="T1093" s="952"/>
      <c r="U1093" s="941"/>
      <c r="V1093" s="941"/>
      <c r="W1093" s="941"/>
    </row>
    <row r="1094" spans="10:23" s="1011" customFormat="1" x14ac:dyDescent="0.2">
      <c r="J1094" s="1030"/>
      <c r="K1094" s="1030"/>
      <c r="L1094" s="1030"/>
      <c r="M1094" s="1030"/>
      <c r="N1094" s="1030"/>
      <c r="O1094" s="1030"/>
      <c r="P1094" s="1030"/>
      <c r="Q1094" s="1030"/>
      <c r="R1094" s="1030"/>
      <c r="S1094" s="1031"/>
      <c r="T1094" s="952"/>
      <c r="U1094" s="941"/>
      <c r="V1094" s="941"/>
      <c r="W1094" s="941"/>
    </row>
    <row r="1095" spans="10:23" s="1011" customFormat="1" x14ac:dyDescent="0.2">
      <c r="J1095" s="1030"/>
      <c r="K1095" s="1030"/>
      <c r="L1095" s="1030"/>
      <c r="M1095" s="1030"/>
      <c r="N1095" s="1030"/>
      <c r="O1095" s="1030"/>
      <c r="P1095" s="1030"/>
      <c r="Q1095" s="1030"/>
      <c r="R1095" s="1030"/>
      <c r="S1095" s="1031"/>
      <c r="T1095" s="952"/>
      <c r="U1095" s="941"/>
      <c r="V1095" s="941"/>
      <c r="W1095" s="941"/>
    </row>
    <row r="1096" spans="10:23" s="1011" customFormat="1" x14ac:dyDescent="0.2">
      <c r="J1096" s="1030"/>
      <c r="K1096" s="1030"/>
      <c r="L1096" s="1030"/>
      <c r="M1096" s="1030"/>
      <c r="N1096" s="1030"/>
      <c r="O1096" s="1030"/>
      <c r="P1096" s="1030"/>
      <c r="Q1096" s="1030"/>
      <c r="R1096" s="1030"/>
      <c r="S1096" s="1031"/>
      <c r="T1096" s="952"/>
      <c r="U1096" s="941"/>
      <c r="V1096" s="941"/>
      <c r="W1096" s="941"/>
    </row>
    <row r="1097" spans="10:23" s="1011" customFormat="1" x14ac:dyDescent="0.2">
      <c r="J1097" s="1030"/>
      <c r="K1097" s="1030"/>
      <c r="L1097" s="1030"/>
      <c r="M1097" s="1030"/>
      <c r="N1097" s="1030"/>
      <c r="O1097" s="1030"/>
      <c r="P1097" s="1030"/>
      <c r="Q1097" s="1030"/>
      <c r="R1097" s="1030"/>
      <c r="S1097" s="1031"/>
      <c r="T1097" s="952"/>
      <c r="U1097" s="941"/>
      <c r="V1097" s="941"/>
      <c r="W1097" s="941"/>
    </row>
    <row r="1098" spans="10:23" s="1011" customFormat="1" x14ac:dyDescent="0.2">
      <c r="J1098" s="1030"/>
      <c r="K1098" s="1030"/>
      <c r="L1098" s="1030"/>
      <c r="M1098" s="1030"/>
      <c r="N1098" s="1030"/>
      <c r="O1098" s="1030"/>
      <c r="P1098" s="1030"/>
      <c r="Q1098" s="1030"/>
      <c r="R1098" s="1030"/>
      <c r="S1098" s="1031"/>
      <c r="T1098" s="952"/>
      <c r="U1098" s="941"/>
      <c r="V1098" s="941"/>
      <c r="W1098" s="941"/>
    </row>
    <row r="1099" spans="10:23" s="1011" customFormat="1" x14ac:dyDescent="0.2">
      <c r="J1099" s="1030"/>
      <c r="K1099" s="1030"/>
      <c r="L1099" s="1030"/>
      <c r="M1099" s="1030"/>
      <c r="N1099" s="1030"/>
      <c r="O1099" s="1030"/>
      <c r="P1099" s="1030"/>
      <c r="Q1099" s="1030"/>
      <c r="R1099" s="1030"/>
      <c r="S1099" s="1031"/>
      <c r="T1099" s="952"/>
      <c r="U1099" s="941"/>
      <c r="V1099" s="941"/>
      <c r="W1099" s="941"/>
    </row>
    <row r="1100" spans="10:23" s="1011" customFormat="1" x14ac:dyDescent="0.2">
      <c r="J1100" s="1030"/>
      <c r="K1100" s="1030"/>
      <c r="L1100" s="1030"/>
      <c r="M1100" s="1030"/>
      <c r="N1100" s="1030"/>
      <c r="O1100" s="1030"/>
      <c r="P1100" s="1030"/>
      <c r="Q1100" s="1030"/>
      <c r="R1100" s="1030"/>
      <c r="S1100" s="1031"/>
      <c r="T1100" s="952"/>
      <c r="U1100" s="941"/>
      <c r="V1100" s="941"/>
      <c r="W1100" s="941"/>
    </row>
    <row r="1101" spans="10:23" s="1011" customFormat="1" x14ac:dyDescent="0.2">
      <c r="J1101" s="1030"/>
      <c r="K1101" s="1030"/>
      <c r="L1101" s="1030"/>
      <c r="M1101" s="1030"/>
      <c r="N1101" s="1030"/>
      <c r="O1101" s="1030"/>
      <c r="P1101" s="1030"/>
      <c r="Q1101" s="1030"/>
      <c r="R1101" s="1030"/>
      <c r="S1101" s="1031"/>
      <c r="T1101" s="952"/>
      <c r="U1101" s="941"/>
      <c r="V1101" s="941"/>
      <c r="W1101" s="941"/>
    </row>
    <row r="1102" spans="10:23" s="1011" customFormat="1" x14ac:dyDescent="0.2">
      <c r="J1102" s="1030"/>
      <c r="K1102" s="1030"/>
      <c r="L1102" s="1030"/>
      <c r="M1102" s="1030"/>
      <c r="N1102" s="1030"/>
      <c r="O1102" s="1030"/>
      <c r="P1102" s="1030"/>
      <c r="Q1102" s="1030"/>
      <c r="R1102" s="1030"/>
      <c r="S1102" s="1031"/>
      <c r="T1102" s="952"/>
      <c r="U1102" s="941"/>
      <c r="V1102" s="941"/>
      <c r="W1102" s="941"/>
    </row>
    <row r="1103" spans="10:23" s="1011" customFormat="1" x14ac:dyDescent="0.2">
      <c r="J1103" s="1030"/>
      <c r="K1103" s="1030"/>
      <c r="L1103" s="1030"/>
      <c r="M1103" s="1030"/>
      <c r="N1103" s="1030"/>
      <c r="O1103" s="1030"/>
      <c r="P1103" s="1030"/>
      <c r="Q1103" s="1030"/>
      <c r="R1103" s="1030"/>
      <c r="S1103" s="1031"/>
      <c r="T1103" s="952"/>
      <c r="U1103" s="941"/>
      <c r="V1103" s="941"/>
      <c r="W1103" s="941"/>
    </row>
    <row r="1104" spans="10:23" s="1011" customFormat="1" x14ac:dyDescent="0.2">
      <c r="J1104" s="1030"/>
      <c r="K1104" s="1030"/>
      <c r="L1104" s="1030"/>
      <c r="M1104" s="1030"/>
      <c r="N1104" s="1030"/>
      <c r="O1104" s="1030"/>
      <c r="P1104" s="1030"/>
      <c r="Q1104" s="1030"/>
      <c r="R1104" s="1030"/>
      <c r="S1104" s="1031"/>
      <c r="T1104" s="952"/>
      <c r="U1104" s="941"/>
      <c r="V1104" s="941"/>
      <c r="W1104" s="941"/>
    </row>
    <row r="1105" spans="10:23" s="1011" customFormat="1" x14ac:dyDescent="0.2">
      <c r="J1105" s="1030"/>
      <c r="K1105" s="1030"/>
      <c r="L1105" s="1030"/>
      <c r="M1105" s="1030"/>
      <c r="N1105" s="1030"/>
      <c r="O1105" s="1030"/>
      <c r="P1105" s="1030"/>
      <c r="Q1105" s="1030"/>
      <c r="R1105" s="1030"/>
      <c r="S1105" s="1031"/>
      <c r="T1105" s="952"/>
      <c r="U1105" s="941"/>
      <c r="V1105" s="941"/>
      <c r="W1105" s="941"/>
    </row>
    <row r="1106" spans="10:23" s="1011" customFormat="1" x14ac:dyDescent="0.2">
      <c r="J1106" s="1030"/>
      <c r="K1106" s="1030"/>
      <c r="L1106" s="1030"/>
      <c r="M1106" s="1030"/>
      <c r="N1106" s="1030"/>
      <c r="O1106" s="1030"/>
      <c r="P1106" s="1030"/>
      <c r="Q1106" s="1030"/>
      <c r="R1106" s="1030"/>
      <c r="S1106" s="1031"/>
      <c r="T1106" s="952"/>
      <c r="U1106" s="941"/>
      <c r="V1106" s="941"/>
      <c r="W1106" s="941"/>
    </row>
    <row r="1107" spans="10:23" s="1011" customFormat="1" x14ac:dyDescent="0.2">
      <c r="J1107" s="1030"/>
      <c r="K1107" s="1030"/>
      <c r="L1107" s="1030"/>
      <c r="M1107" s="1030"/>
      <c r="N1107" s="1030"/>
      <c r="O1107" s="1030"/>
      <c r="P1107" s="1030"/>
      <c r="Q1107" s="1030"/>
      <c r="R1107" s="1030"/>
      <c r="S1107" s="1031"/>
      <c r="T1107" s="952"/>
      <c r="U1107" s="941"/>
      <c r="V1107" s="941"/>
      <c r="W1107" s="941"/>
    </row>
    <row r="1108" spans="10:23" s="1011" customFormat="1" x14ac:dyDescent="0.2">
      <c r="J1108" s="1030"/>
      <c r="K1108" s="1030"/>
      <c r="L1108" s="1030"/>
      <c r="M1108" s="1030"/>
      <c r="N1108" s="1030"/>
      <c r="O1108" s="1030"/>
      <c r="P1108" s="1030"/>
      <c r="Q1108" s="1030"/>
      <c r="R1108" s="1030"/>
      <c r="S1108" s="1031"/>
      <c r="T1108" s="952"/>
      <c r="U1108" s="941"/>
      <c r="V1108" s="941"/>
      <c r="W1108" s="941"/>
    </row>
    <row r="1109" spans="10:23" s="1011" customFormat="1" x14ac:dyDescent="0.2">
      <c r="J1109" s="1030"/>
      <c r="K1109" s="1030"/>
      <c r="L1109" s="1030"/>
      <c r="M1109" s="1030"/>
      <c r="N1109" s="1030"/>
      <c r="O1109" s="1030"/>
      <c r="P1109" s="1030"/>
      <c r="Q1109" s="1030"/>
      <c r="R1109" s="1030"/>
      <c r="S1109" s="1031"/>
      <c r="T1109" s="952"/>
      <c r="U1109" s="941"/>
      <c r="V1109" s="941"/>
      <c r="W1109" s="941"/>
    </row>
    <row r="1110" spans="10:23" s="1011" customFormat="1" x14ac:dyDescent="0.2">
      <c r="J1110" s="1030"/>
      <c r="K1110" s="1030"/>
      <c r="L1110" s="1030"/>
      <c r="M1110" s="1030"/>
      <c r="N1110" s="1030"/>
      <c r="O1110" s="1030"/>
      <c r="P1110" s="1030"/>
      <c r="Q1110" s="1030"/>
      <c r="R1110" s="1030"/>
      <c r="S1110" s="1031"/>
      <c r="T1110" s="952"/>
      <c r="U1110" s="941"/>
      <c r="V1110" s="941"/>
      <c r="W1110" s="941"/>
    </row>
    <row r="1111" spans="10:23" s="1011" customFormat="1" x14ac:dyDescent="0.2">
      <c r="J1111" s="1030"/>
      <c r="K1111" s="1030"/>
      <c r="L1111" s="1030"/>
      <c r="M1111" s="1030"/>
      <c r="N1111" s="1030"/>
      <c r="O1111" s="1030"/>
      <c r="P1111" s="1030"/>
      <c r="Q1111" s="1030"/>
      <c r="R1111" s="1030"/>
      <c r="S1111" s="1031"/>
      <c r="T1111" s="952"/>
      <c r="U1111" s="941"/>
      <c r="V1111" s="941"/>
      <c r="W1111" s="941"/>
    </row>
    <row r="1112" spans="10:23" s="1011" customFormat="1" x14ac:dyDescent="0.2">
      <c r="J1112" s="1030"/>
      <c r="K1112" s="1030"/>
      <c r="L1112" s="1030"/>
      <c r="M1112" s="1030"/>
      <c r="N1112" s="1030"/>
      <c r="O1112" s="1030"/>
      <c r="P1112" s="1030"/>
      <c r="Q1112" s="1030"/>
      <c r="R1112" s="1030"/>
      <c r="S1112" s="1031"/>
      <c r="T1112" s="952"/>
      <c r="U1112" s="941"/>
      <c r="V1112" s="941"/>
      <c r="W1112" s="941"/>
    </row>
    <row r="1113" spans="10:23" s="1011" customFormat="1" x14ac:dyDescent="0.2">
      <c r="J1113" s="1030"/>
      <c r="K1113" s="1030"/>
      <c r="L1113" s="1030"/>
      <c r="M1113" s="1030"/>
      <c r="N1113" s="1030"/>
      <c r="O1113" s="1030"/>
      <c r="P1113" s="1030"/>
      <c r="Q1113" s="1030"/>
      <c r="R1113" s="1030"/>
      <c r="S1113" s="1031"/>
      <c r="T1113" s="952"/>
      <c r="U1113" s="941"/>
      <c r="V1113" s="941"/>
      <c r="W1113" s="941"/>
    </row>
    <row r="1114" spans="10:23" s="1011" customFormat="1" x14ac:dyDescent="0.2">
      <c r="J1114" s="1030"/>
      <c r="K1114" s="1030"/>
      <c r="L1114" s="1030"/>
      <c r="M1114" s="1030"/>
      <c r="N1114" s="1030"/>
      <c r="O1114" s="1030"/>
      <c r="P1114" s="1030"/>
      <c r="Q1114" s="1030"/>
      <c r="R1114" s="1030"/>
      <c r="S1114" s="1031"/>
      <c r="T1114" s="952"/>
      <c r="U1114" s="941"/>
      <c r="V1114" s="941"/>
      <c r="W1114" s="941"/>
    </row>
    <row r="1115" spans="10:23" s="1011" customFormat="1" x14ac:dyDescent="0.2">
      <c r="J1115" s="1030"/>
      <c r="K1115" s="1030"/>
      <c r="L1115" s="1030"/>
      <c r="M1115" s="1030"/>
      <c r="N1115" s="1030"/>
      <c r="O1115" s="1030"/>
      <c r="P1115" s="1030"/>
      <c r="Q1115" s="1030"/>
      <c r="R1115" s="1030"/>
      <c r="S1115" s="1031"/>
      <c r="T1115" s="952"/>
      <c r="U1115" s="941"/>
      <c r="V1115" s="941"/>
      <c r="W1115" s="941"/>
    </row>
    <row r="1116" spans="10:23" s="1011" customFormat="1" x14ac:dyDescent="0.2">
      <c r="J1116" s="1030"/>
      <c r="K1116" s="1030"/>
      <c r="L1116" s="1030"/>
      <c r="M1116" s="1030"/>
      <c r="N1116" s="1030"/>
      <c r="O1116" s="1030"/>
      <c r="P1116" s="1030"/>
      <c r="Q1116" s="1030"/>
      <c r="R1116" s="1030"/>
      <c r="S1116" s="1031"/>
      <c r="T1116" s="952"/>
      <c r="U1116" s="941"/>
      <c r="V1116" s="941"/>
      <c r="W1116" s="941"/>
    </row>
    <row r="1117" spans="10:23" s="1011" customFormat="1" x14ac:dyDescent="0.2">
      <c r="J1117" s="1030"/>
      <c r="K1117" s="1030"/>
      <c r="L1117" s="1030"/>
      <c r="M1117" s="1030"/>
      <c r="N1117" s="1030"/>
      <c r="O1117" s="1030"/>
      <c r="P1117" s="1030"/>
      <c r="Q1117" s="1030"/>
      <c r="R1117" s="1030"/>
      <c r="S1117" s="1031"/>
      <c r="T1117" s="952"/>
      <c r="U1117" s="941"/>
      <c r="V1117" s="941"/>
      <c r="W1117" s="941"/>
    </row>
    <row r="1118" spans="10:23" s="1011" customFormat="1" x14ac:dyDescent="0.2">
      <c r="J1118" s="1030"/>
      <c r="K1118" s="1030"/>
      <c r="L1118" s="1030"/>
      <c r="M1118" s="1030"/>
      <c r="N1118" s="1030"/>
      <c r="O1118" s="1030"/>
      <c r="P1118" s="1030"/>
      <c r="Q1118" s="1030"/>
      <c r="R1118" s="1030"/>
      <c r="S1118" s="1031"/>
      <c r="T1118" s="952"/>
      <c r="U1118" s="941"/>
      <c r="V1118" s="941"/>
      <c r="W1118" s="941"/>
    </row>
    <row r="1119" spans="10:23" s="1011" customFormat="1" x14ac:dyDescent="0.2">
      <c r="J1119" s="1030"/>
      <c r="K1119" s="1030"/>
      <c r="L1119" s="1030"/>
      <c r="M1119" s="1030"/>
      <c r="N1119" s="1030"/>
      <c r="O1119" s="1030"/>
      <c r="P1119" s="1030"/>
      <c r="Q1119" s="1030"/>
      <c r="R1119" s="1030"/>
      <c r="S1119" s="1031"/>
      <c r="T1119" s="952"/>
      <c r="U1119" s="941"/>
      <c r="V1119" s="941"/>
      <c r="W1119" s="941"/>
    </row>
    <row r="1120" spans="10:23" s="1011" customFormat="1" x14ac:dyDescent="0.2">
      <c r="J1120" s="1030"/>
      <c r="K1120" s="1030"/>
      <c r="L1120" s="1030"/>
      <c r="M1120" s="1030"/>
      <c r="N1120" s="1030"/>
      <c r="O1120" s="1030"/>
      <c r="P1120" s="1030"/>
      <c r="Q1120" s="1030"/>
      <c r="R1120" s="1030"/>
      <c r="S1120" s="1031"/>
      <c r="T1120" s="952"/>
      <c r="U1120" s="941"/>
      <c r="V1120" s="941"/>
      <c r="W1120" s="941"/>
    </row>
    <row r="1121" spans="10:23" s="1011" customFormat="1" x14ac:dyDescent="0.2">
      <c r="J1121" s="1030"/>
      <c r="K1121" s="1030"/>
      <c r="L1121" s="1030"/>
      <c r="M1121" s="1030"/>
      <c r="N1121" s="1030"/>
      <c r="O1121" s="1030"/>
      <c r="P1121" s="1030"/>
      <c r="Q1121" s="1030"/>
      <c r="R1121" s="1030"/>
      <c r="S1121" s="1031"/>
      <c r="T1121" s="952"/>
      <c r="U1121" s="941"/>
      <c r="V1121" s="941"/>
      <c r="W1121" s="941"/>
    </row>
    <row r="1122" spans="10:23" s="1011" customFormat="1" x14ac:dyDescent="0.2">
      <c r="J1122" s="1030"/>
      <c r="K1122" s="1030"/>
      <c r="L1122" s="1030"/>
      <c r="M1122" s="1030"/>
      <c r="N1122" s="1030"/>
      <c r="O1122" s="1030"/>
      <c r="P1122" s="1030"/>
      <c r="Q1122" s="1030"/>
      <c r="R1122" s="1030"/>
      <c r="S1122" s="1031"/>
      <c r="T1122" s="952"/>
      <c r="U1122" s="941"/>
      <c r="V1122" s="941"/>
      <c r="W1122" s="941"/>
    </row>
    <row r="1123" spans="10:23" s="1011" customFormat="1" x14ac:dyDescent="0.2">
      <c r="J1123" s="1030"/>
      <c r="K1123" s="1030"/>
      <c r="L1123" s="1030"/>
      <c r="M1123" s="1030"/>
      <c r="N1123" s="1030"/>
      <c r="O1123" s="1030"/>
      <c r="P1123" s="1030"/>
      <c r="Q1123" s="1030"/>
      <c r="R1123" s="1030"/>
      <c r="S1123" s="1031"/>
      <c r="T1123" s="952"/>
      <c r="U1123" s="941"/>
      <c r="V1123" s="941"/>
      <c r="W1123" s="941"/>
    </row>
    <row r="1124" spans="10:23" s="1011" customFormat="1" x14ac:dyDescent="0.2">
      <c r="J1124" s="1030"/>
      <c r="K1124" s="1030"/>
      <c r="L1124" s="1030"/>
      <c r="M1124" s="1030"/>
      <c r="N1124" s="1030"/>
      <c r="O1124" s="1030"/>
      <c r="P1124" s="1030"/>
      <c r="Q1124" s="1030"/>
      <c r="R1124" s="1030"/>
      <c r="S1124" s="1031"/>
      <c r="T1124" s="952"/>
      <c r="U1124" s="941"/>
      <c r="V1124" s="941"/>
      <c r="W1124" s="941"/>
    </row>
    <row r="1125" spans="10:23" s="1011" customFormat="1" x14ac:dyDescent="0.2">
      <c r="J1125" s="1030"/>
      <c r="K1125" s="1030"/>
      <c r="L1125" s="1030"/>
      <c r="M1125" s="1030"/>
      <c r="N1125" s="1030"/>
      <c r="O1125" s="1030"/>
      <c r="P1125" s="1030"/>
      <c r="Q1125" s="1030"/>
      <c r="R1125" s="1030"/>
      <c r="S1125" s="1031"/>
      <c r="T1125" s="952"/>
      <c r="U1125" s="941"/>
      <c r="V1125" s="941"/>
      <c r="W1125" s="941"/>
    </row>
    <row r="1126" spans="10:23" s="1011" customFormat="1" x14ac:dyDescent="0.2">
      <c r="J1126" s="1030"/>
      <c r="K1126" s="1030"/>
      <c r="L1126" s="1030"/>
      <c r="M1126" s="1030"/>
      <c r="N1126" s="1030"/>
      <c r="O1126" s="1030"/>
      <c r="P1126" s="1030"/>
      <c r="Q1126" s="1030"/>
      <c r="R1126" s="1030"/>
      <c r="S1126" s="1031"/>
      <c r="T1126" s="952"/>
      <c r="U1126" s="941"/>
      <c r="V1126" s="941"/>
      <c r="W1126" s="941"/>
    </row>
    <row r="1127" spans="10:23" s="1011" customFormat="1" x14ac:dyDescent="0.2">
      <c r="J1127" s="1030"/>
      <c r="K1127" s="1030"/>
      <c r="L1127" s="1030"/>
      <c r="M1127" s="1030"/>
      <c r="N1127" s="1030"/>
      <c r="O1127" s="1030"/>
      <c r="P1127" s="1030"/>
      <c r="Q1127" s="1030"/>
      <c r="R1127" s="1030"/>
      <c r="S1127" s="1031"/>
      <c r="T1127" s="952"/>
      <c r="U1127" s="941"/>
      <c r="V1127" s="941"/>
      <c r="W1127" s="941"/>
    </row>
    <row r="1128" spans="10:23" s="1011" customFormat="1" x14ac:dyDescent="0.2">
      <c r="J1128" s="1030"/>
      <c r="K1128" s="1030"/>
      <c r="L1128" s="1030"/>
      <c r="M1128" s="1030"/>
      <c r="N1128" s="1030"/>
      <c r="O1128" s="1030"/>
      <c r="P1128" s="1030"/>
      <c r="Q1128" s="1030"/>
      <c r="R1128" s="1030"/>
      <c r="S1128" s="1031"/>
      <c r="T1128" s="952"/>
      <c r="U1128" s="941"/>
      <c r="V1128" s="941"/>
      <c r="W1128" s="941"/>
    </row>
    <row r="1129" spans="10:23" s="1011" customFormat="1" x14ac:dyDescent="0.2">
      <c r="J1129" s="1030"/>
      <c r="K1129" s="1030"/>
      <c r="L1129" s="1030"/>
      <c r="M1129" s="1030"/>
      <c r="N1129" s="1030"/>
      <c r="O1129" s="1030"/>
      <c r="P1129" s="1030"/>
      <c r="Q1129" s="1030"/>
      <c r="R1129" s="1030"/>
      <c r="S1129" s="1031"/>
      <c r="T1129" s="952"/>
      <c r="U1129" s="941"/>
      <c r="V1129" s="941"/>
      <c r="W1129" s="941"/>
    </row>
    <row r="1130" spans="10:23" s="1011" customFormat="1" x14ac:dyDescent="0.2">
      <c r="J1130" s="1030"/>
      <c r="K1130" s="1030"/>
      <c r="L1130" s="1030"/>
      <c r="M1130" s="1030"/>
      <c r="N1130" s="1030"/>
      <c r="O1130" s="1030"/>
      <c r="P1130" s="1030"/>
      <c r="Q1130" s="1030"/>
      <c r="R1130" s="1030"/>
      <c r="S1130" s="1031"/>
      <c r="T1130" s="952"/>
      <c r="U1130" s="941"/>
      <c r="V1130" s="941"/>
      <c r="W1130" s="941"/>
    </row>
    <row r="1131" spans="10:23" s="1011" customFormat="1" x14ac:dyDescent="0.2">
      <c r="J1131" s="1030"/>
      <c r="K1131" s="1030"/>
      <c r="L1131" s="1030"/>
      <c r="M1131" s="1030"/>
      <c r="N1131" s="1030"/>
      <c r="O1131" s="1030"/>
      <c r="P1131" s="1030"/>
      <c r="Q1131" s="1030"/>
      <c r="R1131" s="1030"/>
      <c r="S1131" s="1031"/>
      <c r="T1131" s="952"/>
      <c r="U1131" s="941"/>
      <c r="V1131" s="941"/>
      <c r="W1131" s="941"/>
    </row>
    <row r="1132" spans="10:23" s="1011" customFormat="1" x14ac:dyDescent="0.2">
      <c r="J1132" s="1030"/>
      <c r="K1132" s="1030"/>
      <c r="L1132" s="1030"/>
      <c r="M1132" s="1030"/>
      <c r="N1132" s="1030"/>
      <c r="O1132" s="1030"/>
      <c r="P1132" s="1030"/>
      <c r="Q1132" s="1030"/>
      <c r="R1132" s="1030"/>
      <c r="S1132" s="1031"/>
      <c r="T1132" s="952"/>
      <c r="U1132" s="941"/>
      <c r="V1132" s="941"/>
      <c r="W1132" s="941"/>
    </row>
    <row r="1133" spans="10:23" s="1011" customFormat="1" x14ac:dyDescent="0.2">
      <c r="J1133" s="1030"/>
      <c r="K1133" s="1030"/>
      <c r="L1133" s="1030"/>
      <c r="M1133" s="1030"/>
      <c r="N1133" s="1030"/>
      <c r="O1133" s="1030"/>
      <c r="P1133" s="1030"/>
      <c r="Q1133" s="1030"/>
      <c r="R1133" s="1030"/>
      <c r="S1133" s="1031"/>
      <c r="T1133" s="952"/>
      <c r="U1133" s="941"/>
      <c r="V1133" s="941"/>
      <c r="W1133" s="941"/>
    </row>
    <row r="1134" spans="10:23" s="1011" customFormat="1" x14ac:dyDescent="0.2">
      <c r="J1134" s="1030"/>
      <c r="K1134" s="1030"/>
      <c r="L1134" s="1030"/>
      <c r="M1134" s="1030"/>
      <c r="N1134" s="1030"/>
      <c r="O1134" s="1030"/>
      <c r="P1134" s="1030"/>
      <c r="Q1134" s="1030"/>
      <c r="R1134" s="1030"/>
      <c r="S1134" s="1031"/>
      <c r="T1134" s="952"/>
      <c r="U1134" s="941"/>
      <c r="V1134" s="941"/>
      <c r="W1134" s="941"/>
    </row>
    <row r="1135" spans="10:23" s="1011" customFormat="1" x14ac:dyDescent="0.2">
      <c r="J1135" s="1030"/>
      <c r="K1135" s="1030"/>
      <c r="L1135" s="1030"/>
      <c r="M1135" s="1030"/>
      <c r="N1135" s="1030"/>
      <c r="O1135" s="1030"/>
      <c r="P1135" s="1030"/>
      <c r="Q1135" s="1030"/>
      <c r="R1135" s="1030"/>
      <c r="S1135" s="1031"/>
      <c r="T1135" s="952"/>
      <c r="U1135" s="941"/>
      <c r="V1135" s="941"/>
      <c r="W1135" s="941"/>
    </row>
    <row r="1136" spans="10:23" s="1011" customFormat="1" x14ac:dyDescent="0.2">
      <c r="J1136" s="1030"/>
      <c r="K1136" s="1030"/>
      <c r="L1136" s="1030"/>
      <c r="M1136" s="1030"/>
      <c r="N1136" s="1030"/>
      <c r="O1136" s="1030"/>
      <c r="P1136" s="1030"/>
      <c r="Q1136" s="1030"/>
      <c r="R1136" s="1030"/>
      <c r="S1136" s="1031"/>
      <c r="T1136" s="952"/>
      <c r="U1136" s="941"/>
      <c r="V1136" s="941"/>
      <c r="W1136" s="941"/>
    </row>
    <row r="1137" spans="10:23" s="1011" customFormat="1" x14ac:dyDescent="0.2">
      <c r="J1137" s="1030"/>
      <c r="K1137" s="1030"/>
      <c r="L1137" s="1030"/>
      <c r="M1137" s="1030"/>
      <c r="N1137" s="1030"/>
      <c r="O1137" s="1030"/>
      <c r="P1137" s="1030"/>
      <c r="Q1137" s="1030"/>
      <c r="R1137" s="1030"/>
      <c r="S1137" s="1031"/>
      <c r="T1137" s="952"/>
      <c r="U1137" s="941"/>
      <c r="V1137" s="941"/>
      <c r="W1137" s="941"/>
    </row>
    <row r="1138" spans="10:23" s="1011" customFormat="1" x14ac:dyDescent="0.2">
      <c r="J1138" s="1030"/>
      <c r="K1138" s="1030"/>
      <c r="L1138" s="1030"/>
      <c r="M1138" s="1030"/>
      <c r="N1138" s="1030"/>
      <c r="O1138" s="1030"/>
      <c r="P1138" s="1030"/>
      <c r="Q1138" s="1030"/>
      <c r="R1138" s="1030"/>
      <c r="S1138" s="1031"/>
      <c r="T1138" s="952"/>
      <c r="U1138" s="941"/>
      <c r="V1138" s="941"/>
      <c r="W1138" s="941"/>
    </row>
    <row r="1139" spans="10:23" s="1011" customFormat="1" x14ac:dyDescent="0.2">
      <c r="J1139" s="1030"/>
      <c r="K1139" s="1030"/>
      <c r="L1139" s="1030"/>
      <c r="M1139" s="1030"/>
      <c r="N1139" s="1030"/>
      <c r="O1139" s="1030"/>
      <c r="P1139" s="1030"/>
      <c r="Q1139" s="1030"/>
      <c r="R1139" s="1030"/>
      <c r="S1139" s="1031"/>
      <c r="T1139" s="952"/>
      <c r="U1139" s="941"/>
      <c r="V1139" s="941"/>
      <c r="W1139" s="941"/>
    </row>
    <row r="1140" spans="10:23" s="1011" customFormat="1" x14ac:dyDescent="0.2">
      <c r="J1140" s="1030"/>
      <c r="K1140" s="1030"/>
      <c r="L1140" s="1030"/>
      <c r="M1140" s="1030"/>
      <c r="N1140" s="1030"/>
      <c r="O1140" s="1030"/>
      <c r="P1140" s="1030"/>
      <c r="Q1140" s="1030"/>
      <c r="R1140" s="1030"/>
      <c r="S1140" s="1031"/>
      <c r="T1140" s="952"/>
      <c r="U1140" s="941"/>
      <c r="V1140" s="941"/>
      <c r="W1140" s="941"/>
    </row>
    <row r="1141" spans="10:23" s="1011" customFormat="1" x14ac:dyDescent="0.2">
      <c r="J1141" s="1030"/>
      <c r="K1141" s="1030"/>
      <c r="L1141" s="1030"/>
      <c r="M1141" s="1030"/>
      <c r="N1141" s="1030"/>
      <c r="O1141" s="1030"/>
      <c r="P1141" s="1030"/>
      <c r="Q1141" s="1030"/>
      <c r="R1141" s="1030"/>
      <c r="S1141" s="1031"/>
      <c r="T1141" s="952"/>
      <c r="U1141" s="941"/>
      <c r="V1141" s="941"/>
      <c r="W1141" s="941"/>
    </row>
    <row r="1142" spans="10:23" s="1011" customFormat="1" x14ac:dyDescent="0.2">
      <c r="J1142" s="1030"/>
      <c r="K1142" s="1030"/>
      <c r="L1142" s="1030"/>
      <c r="M1142" s="1030"/>
      <c r="N1142" s="1030"/>
      <c r="O1142" s="1030"/>
      <c r="P1142" s="1030"/>
      <c r="Q1142" s="1030"/>
      <c r="R1142" s="1030"/>
      <c r="S1142" s="1031"/>
      <c r="T1142" s="952"/>
      <c r="U1142" s="941"/>
      <c r="V1142" s="941"/>
      <c r="W1142" s="941"/>
    </row>
    <row r="1143" spans="10:23" s="1011" customFormat="1" x14ac:dyDescent="0.2">
      <c r="J1143" s="1030"/>
      <c r="K1143" s="1030"/>
      <c r="L1143" s="1030"/>
      <c r="M1143" s="1030"/>
      <c r="N1143" s="1030"/>
      <c r="O1143" s="1030"/>
      <c r="P1143" s="1030"/>
      <c r="Q1143" s="1030"/>
      <c r="R1143" s="1030"/>
      <c r="S1143" s="1031"/>
      <c r="T1143" s="952"/>
      <c r="U1143" s="941"/>
      <c r="V1143" s="941"/>
      <c r="W1143" s="941"/>
    </row>
    <row r="1144" spans="10:23" s="1011" customFormat="1" x14ac:dyDescent="0.2">
      <c r="J1144" s="1030"/>
      <c r="K1144" s="1030"/>
      <c r="L1144" s="1030"/>
      <c r="M1144" s="1030"/>
      <c r="N1144" s="1030"/>
      <c r="O1144" s="1030"/>
      <c r="P1144" s="1030"/>
      <c r="Q1144" s="1030"/>
      <c r="R1144" s="1030"/>
      <c r="S1144" s="1031"/>
      <c r="T1144" s="952"/>
      <c r="U1144" s="941"/>
      <c r="V1144" s="941"/>
      <c r="W1144" s="941"/>
    </row>
    <row r="1145" spans="10:23" s="1011" customFormat="1" x14ac:dyDescent="0.2">
      <c r="J1145" s="1030"/>
      <c r="K1145" s="1030"/>
      <c r="L1145" s="1030"/>
      <c r="M1145" s="1030"/>
      <c r="N1145" s="1030"/>
      <c r="O1145" s="1030"/>
      <c r="P1145" s="1030"/>
      <c r="Q1145" s="1030"/>
      <c r="R1145" s="1030"/>
      <c r="S1145" s="1031"/>
      <c r="T1145" s="952"/>
      <c r="U1145" s="941"/>
      <c r="V1145" s="941"/>
      <c r="W1145" s="941"/>
    </row>
    <row r="1146" spans="10:23" s="1011" customFormat="1" x14ac:dyDescent="0.2">
      <c r="J1146" s="1030"/>
      <c r="K1146" s="1030"/>
      <c r="L1146" s="1030"/>
      <c r="M1146" s="1030"/>
      <c r="N1146" s="1030"/>
      <c r="O1146" s="1030"/>
      <c r="P1146" s="1030"/>
      <c r="Q1146" s="1030"/>
      <c r="R1146" s="1030"/>
      <c r="S1146" s="1031"/>
      <c r="T1146" s="952"/>
      <c r="U1146" s="941"/>
      <c r="V1146" s="941"/>
      <c r="W1146" s="941"/>
    </row>
    <row r="1147" spans="10:23" s="1011" customFormat="1" x14ac:dyDescent="0.2">
      <c r="J1147" s="1030"/>
      <c r="K1147" s="1030"/>
      <c r="L1147" s="1030"/>
      <c r="M1147" s="1030"/>
      <c r="N1147" s="1030"/>
      <c r="O1147" s="1030"/>
      <c r="P1147" s="1030"/>
      <c r="Q1147" s="1030"/>
      <c r="R1147" s="1030"/>
      <c r="S1147" s="1031"/>
      <c r="T1147" s="952"/>
      <c r="U1147" s="941"/>
      <c r="V1147" s="941"/>
      <c r="W1147" s="941"/>
    </row>
    <row r="1148" spans="10:23" s="1011" customFormat="1" x14ac:dyDescent="0.2">
      <c r="J1148" s="1030"/>
      <c r="K1148" s="1030"/>
      <c r="L1148" s="1030"/>
      <c r="M1148" s="1030"/>
      <c r="N1148" s="1030"/>
      <c r="O1148" s="1030"/>
      <c r="P1148" s="1030"/>
      <c r="Q1148" s="1030"/>
      <c r="R1148" s="1030"/>
      <c r="S1148" s="1031"/>
      <c r="T1148" s="952"/>
      <c r="U1148" s="941"/>
      <c r="V1148" s="941"/>
      <c r="W1148" s="941"/>
    </row>
    <row r="1149" spans="10:23" s="1011" customFormat="1" x14ac:dyDescent="0.2">
      <c r="J1149" s="1030"/>
      <c r="K1149" s="1030"/>
      <c r="L1149" s="1030"/>
      <c r="M1149" s="1030"/>
      <c r="N1149" s="1030"/>
      <c r="O1149" s="1030"/>
      <c r="P1149" s="1030"/>
      <c r="Q1149" s="1030"/>
      <c r="R1149" s="1030"/>
      <c r="S1149" s="1031"/>
      <c r="T1149" s="952"/>
      <c r="U1149" s="941"/>
      <c r="V1149" s="941"/>
      <c r="W1149" s="941"/>
    </row>
    <row r="1150" spans="10:23" s="1011" customFormat="1" x14ac:dyDescent="0.2">
      <c r="J1150" s="1030"/>
      <c r="K1150" s="1030"/>
      <c r="L1150" s="1030"/>
      <c r="M1150" s="1030"/>
      <c r="N1150" s="1030"/>
      <c r="O1150" s="1030"/>
      <c r="P1150" s="1030"/>
      <c r="Q1150" s="1030"/>
      <c r="R1150" s="1030"/>
      <c r="S1150" s="1031"/>
      <c r="T1150" s="952"/>
      <c r="U1150" s="941"/>
      <c r="V1150" s="941"/>
      <c r="W1150" s="941"/>
    </row>
    <row r="1151" spans="10:23" s="1011" customFormat="1" x14ac:dyDescent="0.2">
      <c r="J1151" s="1030"/>
      <c r="K1151" s="1030"/>
      <c r="L1151" s="1030"/>
      <c r="M1151" s="1030"/>
      <c r="N1151" s="1030"/>
      <c r="O1151" s="1030"/>
      <c r="P1151" s="1030"/>
      <c r="Q1151" s="1030"/>
      <c r="R1151" s="1030"/>
      <c r="S1151" s="1031"/>
      <c r="T1151" s="952"/>
      <c r="U1151" s="941"/>
      <c r="V1151" s="941"/>
      <c r="W1151" s="941"/>
    </row>
    <row r="1152" spans="10:23" s="1011" customFormat="1" x14ac:dyDescent="0.2">
      <c r="J1152" s="1030"/>
      <c r="K1152" s="1030"/>
      <c r="L1152" s="1030"/>
      <c r="M1152" s="1030"/>
      <c r="N1152" s="1030"/>
      <c r="O1152" s="1030"/>
      <c r="P1152" s="1030"/>
      <c r="Q1152" s="1030"/>
      <c r="R1152" s="1030"/>
      <c r="S1152" s="1031"/>
      <c r="T1152" s="952"/>
      <c r="U1152" s="941"/>
      <c r="V1152" s="941"/>
      <c r="W1152" s="941"/>
    </row>
    <row r="1153" spans="10:23" s="1011" customFormat="1" x14ac:dyDescent="0.2">
      <c r="J1153" s="1030"/>
      <c r="K1153" s="1030"/>
      <c r="L1153" s="1030"/>
      <c r="M1153" s="1030"/>
      <c r="N1153" s="1030"/>
      <c r="O1153" s="1030"/>
      <c r="P1153" s="1030"/>
      <c r="Q1153" s="1030"/>
      <c r="R1153" s="1030"/>
      <c r="S1153" s="1031"/>
      <c r="T1153" s="952"/>
      <c r="U1153" s="941"/>
      <c r="V1153" s="941"/>
      <c r="W1153" s="941"/>
    </row>
    <row r="1154" spans="10:23" s="1011" customFormat="1" x14ac:dyDescent="0.2">
      <c r="J1154" s="1030"/>
      <c r="K1154" s="1030"/>
      <c r="L1154" s="1030"/>
      <c r="M1154" s="1030"/>
      <c r="N1154" s="1030"/>
      <c r="O1154" s="1030"/>
      <c r="P1154" s="1030"/>
      <c r="Q1154" s="1030"/>
      <c r="R1154" s="1030"/>
      <c r="S1154" s="1031"/>
      <c r="T1154" s="952"/>
      <c r="U1154" s="941"/>
      <c r="V1154" s="941"/>
      <c r="W1154" s="941"/>
    </row>
    <row r="1155" spans="10:23" s="1011" customFormat="1" x14ac:dyDescent="0.2">
      <c r="J1155" s="1030"/>
      <c r="K1155" s="1030"/>
      <c r="L1155" s="1030"/>
      <c r="M1155" s="1030"/>
      <c r="N1155" s="1030"/>
      <c r="O1155" s="1030"/>
      <c r="P1155" s="1030"/>
      <c r="Q1155" s="1030"/>
      <c r="R1155" s="1030"/>
      <c r="S1155" s="1031"/>
      <c r="T1155" s="952"/>
      <c r="U1155" s="941"/>
      <c r="V1155" s="941"/>
      <c r="W1155" s="941"/>
    </row>
    <row r="1156" spans="10:23" s="1011" customFormat="1" x14ac:dyDescent="0.2">
      <c r="J1156" s="1030"/>
      <c r="K1156" s="1030"/>
      <c r="L1156" s="1030"/>
      <c r="M1156" s="1030"/>
      <c r="N1156" s="1030"/>
      <c r="O1156" s="1030"/>
      <c r="P1156" s="1030"/>
      <c r="Q1156" s="1030"/>
      <c r="R1156" s="1030"/>
      <c r="S1156" s="1031"/>
      <c r="T1156" s="952"/>
      <c r="U1156" s="941"/>
      <c r="V1156" s="941"/>
      <c r="W1156" s="941"/>
    </row>
    <row r="1157" spans="10:23" s="1011" customFormat="1" x14ac:dyDescent="0.2">
      <c r="J1157" s="1030"/>
      <c r="K1157" s="1030"/>
      <c r="L1157" s="1030"/>
      <c r="M1157" s="1030"/>
      <c r="N1157" s="1030"/>
      <c r="O1157" s="1030"/>
      <c r="P1157" s="1030"/>
      <c r="Q1157" s="1030"/>
      <c r="R1157" s="1030"/>
      <c r="S1157" s="1031"/>
      <c r="T1157" s="952"/>
      <c r="U1157" s="941"/>
      <c r="V1157" s="941"/>
      <c r="W1157" s="941"/>
    </row>
    <row r="1158" spans="10:23" s="1011" customFormat="1" x14ac:dyDescent="0.2">
      <c r="J1158" s="1030"/>
      <c r="K1158" s="1030"/>
      <c r="L1158" s="1030"/>
      <c r="M1158" s="1030"/>
      <c r="N1158" s="1030"/>
      <c r="O1158" s="1030"/>
      <c r="P1158" s="1030"/>
      <c r="Q1158" s="1030"/>
      <c r="R1158" s="1030"/>
      <c r="S1158" s="1031"/>
      <c r="T1158" s="952"/>
      <c r="U1158" s="941"/>
      <c r="V1158" s="941"/>
      <c r="W1158" s="941"/>
    </row>
    <row r="1159" spans="10:23" s="1011" customFormat="1" x14ac:dyDescent="0.2">
      <c r="J1159" s="1030"/>
      <c r="K1159" s="1030"/>
      <c r="L1159" s="1030"/>
      <c r="M1159" s="1030"/>
      <c r="N1159" s="1030"/>
      <c r="O1159" s="1030"/>
      <c r="P1159" s="1030"/>
      <c r="Q1159" s="1030"/>
      <c r="R1159" s="1030"/>
      <c r="S1159" s="1031"/>
      <c r="T1159" s="952"/>
      <c r="U1159" s="941"/>
      <c r="V1159" s="941"/>
      <c r="W1159" s="941"/>
    </row>
    <row r="1160" spans="10:23" s="1011" customFormat="1" x14ac:dyDescent="0.2">
      <c r="J1160" s="1030"/>
      <c r="K1160" s="1030"/>
      <c r="L1160" s="1030"/>
      <c r="M1160" s="1030"/>
      <c r="N1160" s="1030"/>
      <c r="O1160" s="1030"/>
      <c r="P1160" s="1030"/>
      <c r="Q1160" s="1030"/>
      <c r="R1160" s="1030"/>
      <c r="S1160" s="1031"/>
      <c r="T1160" s="952"/>
      <c r="U1160" s="941"/>
      <c r="V1160" s="941"/>
      <c r="W1160" s="941"/>
    </row>
    <row r="1161" spans="10:23" s="1011" customFormat="1" x14ac:dyDescent="0.2">
      <c r="J1161" s="1030"/>
      <c r="K1161" s="1030"/>
      <c r="L1161" s="1030"/>
      <c r="M1161" s="1030"/>
      <c r="N1161" s="1030"/>
      <c r="O1161" s="1030"/>
      <c r="P1161" s="1030"/>
      <c r="Q1161" s="1030"/>
      <c r="R1161" s="1030"/>
      <c r="S1161" s="1031"/>
      <c r="T1161" s="952"/>
      <c r="U1161" s="941"/>
      <c r="V1161" s="941"/>
      <c r="W1161" s="941"/>
    </row>
    <row r="1162" spans="10:23" s="1011" customFormat="1" x14ac:dyDescent="0.2">
      <c r="J1162" s="1030"/>
      <c r="K1162" s="1030"/>
      <c r="L1162" s="1030"/>
      <c r="M1162" s="1030"/>
      <c r="N1162" s="1030"/>
      <c r="O1162" s="1030"/>
      <c r="P1162" s="1030"/>
      <c r="Q1162" s="1030"/>
      <c r="R1162" s="1030"/>
      <c r="S1162" s="1031"/>
      <c r="T1162" s="952"/>
      <c r="U1162" s="941"/>
      <c r="V1162" s="941"/>
      <c r="W1162" s="941"/>
    </row>
    <row r="1163" spans="10:23" s="1011" customFormat="1" x14ac:dyDescent="0.2">
      <c r="J1163" s="1030"/>
      <c r="K1163" s="1030"/>
      <c r="L1163" s="1030"/>
      <c r="M1163" s="1030"/>
      <c r="N1163" s="1030"/>
      <c r="O1163" s="1030"/>
      <c r="P1163" s="1030"/>
      <c r="Q1163" s="1030"/>
      <c r="R1163" s="1030"/>
      <c r="S1163" s="1031"/>
      <c r="T1163" s="952"/>
      <c r="U1163" s="941"/>
      <c r="V1163" s="941"/>
      <c r="W1163" s="941"/>
    </row>
    <row r="1164" spans="10:23" s="1011" customFormat="1" x14ac:dyDescent="0.2">
      <c r="J1164" s="1030"/>
      <c r="K1164" s="1030"/>
      <c r="L1164" s="1030"/>
      <c r="M1164" s="1030"/>
      <c r="N1164" s="1030"/>
      <c r="O1164" s="1030"/>
      <c r="P1164" s="1030"/>
      <c r="Q1164" s="1030"/>
      <c r="R1164" s="1030"/>
      <c r="S1164" s="1031"/>
      <c r="T1164" s="952"/>
      <c r="U1164" s="941"/>
      <c r="V1164" s="941"/>
      <c r="W1164" s="941"/>
    </row>
    <row r="1165" spans="10:23" s="1011" customFormat="1" x14ac:dyDescent="0.2">
      <c r="J1165" s="1030"/>
      <c r="K1165" s="1030"/>
      <c r="L1165" s="1030"/>
      <c r="M1165" s="1030"/>
      <c r="N1165" s="1030"/>
      <c r="O1165" s="1030"/>
      <c r="P1165" s="1030"/>
      <c r="Q1165" s="1030"/>
      <c r="R1165" s="1030"/>
      <c r="S1165" s="1031"/>
      <c r="T1165" s="952"/>
      <c r="U1165" s="941"/>
      <c r="V1165" s="941"/>
      <c r="W1165" s="941"/>
    </row>
    <row r="1166" spans="10:23" s="1011" customFormat="1" x14ac:dyDescent="0.2">
      <c r="J1166" s="1030"/>
      <c r="K1166" s="1030"/>
      <c r="L1166" s="1030"/>
      <c r="M1166" s="1030"/>
      <c r="N1166" s="1030"/>
      <c r="O1166" s="1030"/>
      <c r="P1166" s="1030"/>
      <c r="Q1166" s="1030"/>
      <c r="R1166" s="1030"/>
      <c r="S1166" s="1031"/>
      <c r="T1166" s="952"/>
      <c r="U1166" s="941"/>
      <c r="V1166" s="941"/>
      <c r="W1166" s="941"/>
    </row>
    <row r="1167" spans="10:23" s="1011" customFormat="1" x14ac:dyDescent="0.2">
      <c r="J1167" s="1030"/>
      <c r="K1167" s="1030"/>
      <c r="L1167" s="1030"/>
      <c r="M1167" s="1030"/>
      <c r="N1167" s="1030"/>
      <c r="O1167" s="1030"/>
      <c r="P1167" s="1030"/>
      <c r="Q1167" s="1030"/>
      <c r="R1167" s="1030"/>
      <c r="S1167" s="1031"/>
      <c r="T1167" s="952"/>
      <c r="U1167" s="941"/>
      <c r="V1167" s="941"/>
      <c r="W1167" s="941"/>
    </row>
    <row r="1168" spans="10:23" s="1011" customFormat="1" x14ac:dyDescent="0.2">
      <c r="J1168" s="1030"/>
      <c r="K1168" s="1030"/>
      <c r="L1168" s="1030"/>
      <c r="M1168" s="1030"/>
      <c r="N1168" s="1030"/>
      <c r="O1168" s="1030"/>
      <c r="P1168" s="1030"/>
      <c r="Q1168" s="1030"/>
      <c r="R1168" s="1030"/>
      <c r="S1168" s="1031"/>
      <c r="T1168" s="952"/>
      <c r="U1168" s="941"/>
      <c r="V1168" s="941"/>
      <c r="W1168" s="941"/>
    </row>
    <row r="1169" spans="10:23" s="1011" customFormat="1" x14ac:dyDescent="0.2">
      <c r="J1169" s="1030"/>
      <c r="K1169" s="1030"/>
      <c r="L1169" s="1030"/>
      <c r="M1169" s="1030"/>
      <c r="N1169" s="1030"/>
      <c r="O1169" s="1030"/>
      <c r="P1169" s="1030"/>
      <c r="Q1169" s="1030"/>
      <c r="R1169" s="1030"/>
      <c r="S1169" s="1031"/>
      <c r="T1169" s="952"/>
      <c r="U1169" s="941"/>
      <c r="V1169" s="941"/>
      <c r="W1169" s="941"/>
    </row>
    <row r="1170" spans="10:23" s="1011" customFormat="1" x14ac:dyDescent="0.2">
      <c r="J1170" s="1030"/>
      <c r="K1170" s="1030"/>
      <c r="L1170" s="1030"/>
      <c r="M1170" s="1030"/>
      <c r="N1170" s="1030"/>
      <c r="O1170" s="1030"/>
      <c r="P1170" s="1030"/>
      <c r="Q1170" s="1030"/>
      <c r="R1170" s="1030"/>
      <c r="S1170" s="1031"/>
      <c r="T1170" s="952"/>
      <c r="U1170" s="941"/>
      <c r="V1170" s="941"/>
      <c r="W1170" s="941"/>
    </row>
    <row r="1171" spans="10:23" s="1011" customFormat="1" x14ac:dyDescent="0.2">
      <c r="J1171" s="1030"/>
      <c r="K1171" s="1030"/>
      <c r="L1171" s="1030"/>
      <c r="M1171" s="1030"/>
      <c r="N1171" s="1030"/>
      <c r="O1171" s="1030"/>
      <c r="P1171" s="1030"/>
      <c r="Q1171" s="1030"/>
      <c r="R1171" s="1030"/>
      <c r="S1171" s="1031"/>
      <c r="T1171" s="952"/>
      <c r="U1171" s="941"/>
      <c r="V1171" s="941"/>
      <c r="W1171" s="941"/>
    </row>
    <row r="1172" spans="10:23" s="1011" customFormat="1" x14ac:dyDescent="0.2">
      <c r="J1172" s="1030"/>
      <c r="K1172" s="1030"/>
      <c r="L1172" s="1030"/>
      <c r="M1172" s="1030"/>
      <c r="N1172" s="1030"/>
      <c r="O1172" s="1030"/>
      <c r="P1172" s="1030"/>
      <c r="Q1172" s="1030"/>
      <c r="R1172" s="1030"/>
      <c r="S1172" s="1031"/>
      <c r="T1172" s="952"/>
      <c r="U1172" s="941"/>
      <c r="V1172" s="941"/>
      <c r="W1172" s="941"/>
    </row>
    <row r="1173" spans="10:23" s="1011" customFormat="1" x14ac:dyDescent="0.2">
      <c r="J1173" s="1030"/>
      <c r="K1173" s="1030"/>
      <c r="L1173" s="1030"/>
      <c r="M1173" s="1030"/>
      <c r="N1173" s="1030"/>
      <c r="O1173" s="1030"/>
      <c r="P1173" s="1030"/>
      <c r="Q1173" s="1030"/>
      <c r="R1173" s="1030"/>
      <c r="S1173" s="1031"/>
      <c r="T1173" s="952"/>
      <c r="U1173" s="941"/>
      <c r="V1173" s="941"/>
      <c r="W1173" s="941"/>
    </row>
    <row r="1174" spans="10:23" s="1011" customFormat="1" x14ac:dyDescent="0.2">
      <c r="J1174" s="1030"/>
      <c r="K1174" s="1030"/>
      <c r="L1174" s="1030"/>
      <c r="M1174" s="1030"/>
      <c r="N1174" s="1030"/>
      <c r="O1174" s="1030"/>
      <c r="P1174" s="1030"/>
      <c r="Q1174" s="1030"/>
      <c r="R1174" s="1030"/>
      <c r="S1174" s="1031"/>
      <c r="T1174" s="952"/>
      <c r="U1174" s="941"/>
      <c r="V1174" s="941"/>
      <c r="W1174" s="941"/>
    </row>
    <row r="1175" spans="10:23" s="1011" customFormat="1" x14ac:dyDescent="0.2">
      <c r="J1175" s="1030"/>
      <c r="K1175" s="1030"/>
      <c r="L1175" s="1030"/>
      <c r="M1175" s="1030"/>
      <c r="N1175" s="1030"/>
      <c r="O1175" s="1030"/>
      <c r="P1175" s="1030"/>
      <c r="Q1175" s="1030"/>
      <c r="R1175" s="1030"/>
      <c r="S1175" s="1031"/>
      <c r="T1175" s="952"/>
      <c r="U1175" s="941"/>
      <c r="V1175" s="941"/>
      <c r="W1175" s="941"/>
    </row>
    <row r="1176" spans="10:23" s="1011" customFormat="1" x14ac:dyDescent="0.2">
      <c r="J1176" s="1030"/>
      <c r="K1176" s="1030"/>
      <c r="L1176" s="1030"/>
      <c r="M1176" s="1030"/>
      <c r="N1176" s="1030"/>
      <c r="O1176" s="1030"/>
      <c r="P1176" s="1030"/>
      <c r="Q1176" s="1030"/>
      <c r="R1176" s="1030"/>
      <c r="S1176" s="1031"/>
      <c r="T1176" s="952"/>
      <c r="U1176" s="941"/>
      <c r="V1176" s="941"/>
      <c r="W1176" s="941"/>
    </row>
    <row r="1177" spans="10:23" s="1011" customFormat="1" x14ac:dyDescent="0.2">
      <c r="J1177" s="1030"/>
      <c r="K1177" s="1030"/>
      <c r="L1177" s="1030"/>
      <c r="M1177" s="1030"/>
      <c r="N1177" s="1030"/>
      <c r="O1177" s="1030"/>
      <c r="P1177" s="1030"/>
      <c r="Q1177" s="1030"/>
      <c r="R1177" s="1030"/>
      <c r="S1177" s="1031"/>
      <c r="T1177" s="952"/>
      <c r="U1177" s="941"/>
      <c r="V1177" s="941"/>
      <c r="W1177" s="941"/>
    </row>
    <row r="1178" spans="10:23" s="1011" customFormat="1" x14ac:dyDescent="0.2">
      <c r="J1178" s="1030"/>
      <c r="K1178" s="1030"/>
      <c r="L1178" s="1030"/>
      <c r="M1178" s="1030"/>
      <c r="N1178" s="1030"/>
      <c r="O1178" s="1030"/>
      <c r="P1178" s="1030"/>
      <c r="Q1178" s="1030"/>
      <c r="R1178" s="1030"/>
      <c r="S1178" s="1031"/>
      <c r="T1178" s="952"/>
      <c r="U1178" s="941"/>
      <c r="V1178" s="941"/>
      <c r="W1178" s="941"/>
    </row>
    <row r="1179" spans="10:23" s="1011" customFormat="1" x14ac:dyDescent="0.2">
      <c r="J1179" s="1030"/>
      <c r="K1179" s="1030"/>
      <c r="L1179" s="1030"/>
      <c r="M1179" s="1030"/>
      <c r="N1179" s="1030"/>
      <c r="O1179" s="1030"/>
      <c r="P1179" s="1030"/>
      <c r="Q1179" s="1030"/>
      <c r="R1179" s="1030"/>
      <c r="S1179" s="1031"/>
      <c r="T1179" s="952"/>
      <c r="U1179" s="941"/>
      <c r="V1179" s="941"/>
      <c r="W1179" s="941"/>
    </row>
    <row r="1180" spans="10:23" s="1011" customFormat="1" x14ac:dyDescent="0.2">
      <c r="J1180" s="1030"/>
      <c r="K1180" s="1030"/>
      <c r="L1180" s="1030"/>
      <c r="M1180" s="1030"/>
      <c r="N1180" s="1030"/>
      <c r="O1180" s="1030"/>
      <c r="P1180" s="1030"/>
      <c r="Q1180" s="1030"/>
      <c r="R1180" s="1030"/>
      <c r="S1180" s="1031"/>
      <c r="T1180" s="952"/>
      <c r="U1180" s="941"/>
      <c r="V1180" s="941"/>
      <c r="W1180" s="941"/>
    </row>
    <row r="1181" spans="10:23" s="1011" customFormat="1" x14ac:dyDescent="0.2">
      <c r="J1181" s="1030"/>
      <c r="K1181" s="1030"/>
      <c r="L1181" s="1030"/>
      <c r="M1181" s="1030"/>
      <c r="N1181" s="1030"/>
      <c r="O1181" s="1030"/>
      <c r="P1181" s="1030"/>
      <c r="Q1181" s="1030"/>
      <c r="R1181" s="1030"/>
      <c r="S1181" s="1031"/>
      <c r="T1181" s="952"/>
      <c r="U1181" s="941"/>
      <c r="V1181" s="941"/>
      <c r="W1181" s="941"/>
    </row>
    <row r="1182" spans="10:23" s="1011" customFormat="1" x14ac:dyDescent="0.2">
      <c r="J1182" s="1030"/>
      <c r="K1182" s="1030"/>
      <c r="L1182" s="1030"/>
      <c r="M1182" s="1030"/>
      <c r="N1182" s="1030"/>
      <c r="O1182" s="1030"/>
      <c r="P1182" s="1030"/>
      <c r="Q1182" s="1030"/>
      <c r="R1182" s="1030"/>
      <c r="S1182" s="1031"/>
      <c r="T1182" s="952"/>
      <c r="U1182" s="941"/>
      <c r="V1182" s="941"/>
      <c r="W1182" s="941"/>
    </row>
    <row r="1183" spans="10:23" s="1011" customFormat="1" x14ac:dyDescent="0.2">
      <c r="J1183" s="1030"/>
      <c r="K1183" s="1030"/>
      <c r="L1183" s="1030"/>
      <c r="M1183" s="1030"/>
      <c r="N1183" s="1030"/>
      <c r="O1183" s="1030"/>
      <c r="P1183" s="1030"/>
      <c r="Q1183" s="1030"/>
      <c r="R1183" s="1030"/>
      <c r="S1183" s="1031"/>
      <c r="T1183" s="952"/>
      <c r="U1183" s="941"/>
      <c r="V1183" s="941"/>
      <c r="W1183" s="941"/>
    </row>
    <row r="1184" spans="10:23" s="1011" customFormat="1" x14ac:dyDescent="0.2">
      <c r="J1184" s="1030"/>
      <c r="K1184" s="1030"/>
      <c r="L1184" s="1030"/>
      <c r="M1184" s="1030"/>
      <c r="N1184" s="1030"/>
      <c r="O1184" s="1030"/>
      <c r="P1184" s="1030"/>
      <c r="Q1184" s="1030"/>
      <c r="R1184" s="1030"/>
      <c r="S1184" s="1031"/>
      <c r="T1184" s="952"/>
      <c r="U1184" s="941"/>
      <c r="V1184" s="941"/>
      <c r="W1184" s="941"/>
    </row>
    <row r="1185" spans="10:23" s="1011" customFormat="1" x14ac:dyDescent="0.2">
      <c r="J1185" s="1030"/>
      <c r="K1185" s="1030"/>
      <c r="L1185" s="1030"/>
      <c r="M1185" s="1030"/>
      <c r="N1185" s="1030"/>
      <c r="O1185" s="1030"/>
      <c r="P1185" s="1030"/>
      <c r="Q1185" s="1030"/>
      <c r="R1185" s="1030"/>
      <c r="S1185" s="1031"/>
      <c r="T1185" s="952"/>
      <c r="U1185" s="941"/>
      <c r="V1185" s="941"/>
      <c r="W1185" s="941"/>
    </row>
    <row r="1186" spans="10:23" s="1011" customFormat="1" x14ac:dyDescent="0.2">
      <c r="J1186" s="1030"/>
      <c r="K1186" s="1030"/>
      <c r="L1186" s="1030"/>
      <c r="M1186" s="1030"/>
      <c r="N1186" s="1030"/>
      <c r="O1186" s="1030"/>
      <c r="P1186" s="1030"/>
      <c r="Q1186" s="1030"/>
      <c r="R1186" s="1030"/>
      <c r="S1186" s="1031"/>
      <c r="T1186" s="952"/>
      <c r="U1186" s="941"/>
      <c r="V1186" s="941"/>
      <c r="W1186" s="941"/>
    </row>
    <row r="1187" spans="10:23" s="1011" customFormat="1" x14ac:dyDescent="0.2">
      <c r="J1187" s="1030"/>
      <c r="K1187" s="1030"/>
      <c r="L1187" s="1030"/>
      <c r="M1187" s="1030"/>
      <c r="N1187" s="1030"/>
      <c r="O1187" s="1030"/>
      <c r="P1187" s="1030"/>
      <c r="Q1187" s="1030"/>
      <c r="R1187" s="1030"/>
      <c r="S1187" s="1031"/>
      <c r="T1187" s="952"/>
      <c r="U1187" s="941"/>
      <c r="V1187" s="941"/>
      <c r="W1187" s="941"/>
    </row>
    <row r="1188" spans="10:23" s="1011" customFormat="1" x14ac:dyDescent="0.2">
      <c r="J1188" s="1030"/>
      <c r="K1188" s="1030"/>
      <c r="L1188" s="1030"/>
      <c r="M1188" s="1030"/>
      <c r="N1188" s="1030"/>
      <c r="O1188" s="1030"/>
      <c r="P1188" s="1030"/>
      <c r="Q1188" s="1030"/>
      <c r="R1188" s="1030"/>
      <c r="S1188" s="1031"/>
      <c r="T1188" s="952"/>
      <c r="U1188" s="941"/>
      <c r="V1188" s="941"/>
      <c r="W1188" s="941"/>
    </row>
    <row r="1189" spans="10:23" s="1011" customFormat="1" x14ac:dyDescent="0.2">
      <c r="J1189" s="1030"/>
      <c r="K1189" s="1030"/>
      <c r="L1189" s="1030"/>
      <c r="M1189" s="1030"/>
      <c r="N1189" s="1030"/>
      <c r="O1189" s="1030"/>
      <c r="P1189" s="1030"/>
      <c r="Q1189" s="1030"/>
      <c r="R1189" s="1030"/>
      <c r="S1189" s="1031"/>
      <c r="T1189" s="952"/>
      <c r="U1189" s="941"/>
      <c r="V1189" s="941"/>
      <c r="W1189" s="941"/>
    </row>
    <row r="1190" spans="10:23" s="1011" customFormat="1" x14ac:dyDescent="0.2">
      <c r="J1190" s="1030"/>
      <c r="K1190" s="1030"/>
      <c r="L1190" s="1030"/>
      <c r="M1190" s="1030"/>
      <c r="N1190" s="1030"/>
      <c r="O1190" s="1030"/>
      <c r="P1190" s="1030"/>
      <c r="Q1190" s="1030"/>
      <c r="R1190" s="1030"/>
      <c r="S1190" s="1031"/>
      <c r="T1190" s="952"/>
      <c r="U1190" s="941"/>
      <c r="V1190" s="941"/>
      <c r="W1190" s="941"/>
    </row>
    <row r="1191" spans="10:23" s="1011" customFormat="1" x14ac:dyDescent="0.2">
      <c r="J1191" s="1030"/>
      <c r="K1191" s="1030"/>
      <c r="L1191" s="1030"/>
      <c r="M1191" s="1030"/>
      <c r="N1191" s="1030"/>
      <c r="O1191" s="1030"/>
      <c r="P1191" s="1030"/>
      <c r="Q1191" s="1030"/>
      <c r="R1191" s="1030"/>
      <c r="S1191" s="1031"/>
      <c r="T1191" s="952"/>
      <c r="U1191" s="941"/>
      <c r="V1191" s="941"/>
      <c r="W1191" s="941"/>
    </row>
    <row r="1192" spans="10:23" s="1011" customFormat="1" x14ac:dyDescent="0.2">
      <c r="J1192" s="1030"/>
      <c r="K1192" s="1030"/>
      <c r="L1192" s="1030"/>
      <c r="M1192" s="1030"/>
      <c r="N1192" s="1030"/>
      <c r="O1192" s="1030"/>
      <c r="P1192" s="1030"/>
      <c r="Q1192" s="1030"/>
      <c r="R1192" s="1030"/>
      <c r="S1192" s="1031"/>
      <c r="T1192" s="952"/>
      <c r="U1192" s="941"/>
      <c r="V1192" s="941"/>
      <c r="W1192" s="941"/>
    </row>
    <row r="1193" spans="10:23" s="1011" customFormat="1" x14ac:dyDescent="0.2">
      <c r="J1193" s="1030"/>
      <c r="K1193" s="1030"/>
      <c r="L1193" s="1030"/>
      <c r="M1193" s="1030"/>
      <c r="N1193" s="1030"/>
      <c r="O1193" s="1030"/>
      <c r="P1193" s="1030"/>
      <c r="Q1193" s="1030"/>
      <c r="R1193" s="1030"/>
      <c r="S1193" s="1031"/>
      <c r="T1193" s="952"/>
      <c r="U1193" s="941"/>
      <c r="V1193" s="941"/>
      <c r="W1193" s="941"/>
    </row>
    <row r="1194" spans="10:23" s="1011" customFormat="1" x14ac:dyDescent="0.2">
      <c r="J1194" s="1030"/>
      <c r="K1194" s="1030"/>
      <c r="L1194" s="1030"/>
      <c r="M1194" s="1030"/>
      <c r="N1194" s="1030"/>
      <c r="O1194" s="1030"/>
      <c r="P1194" s="1030"/>
      <c r="Q1194" s="1030"/>
      <c r="R1194" s="1030"/>
      <c r="S1194" s="1031"/>
      <c r="T1194" s="952"/>
      <c r="U1194" s="941"/>
      <c r="V1194" s="941"/>
      <c r="W1194" s="941"/>
    </row>
    <row r="1195" spans="10:23" s="1011" customFormat="1" x14ac:dyDescent="0.2">
      <c r="J1195" s="1030"/>
      <c r="K1195" s="1030"/>
      <c r="L1195" s="1030"/>
      <c r="M1195" s="1030"/>
      <c r="N1195" s="1030"/>
      <c r="O1195" s="1030"/>
      <c r="P1195" s="1030"/>
      <c r="Q1195" s="1030"/>
      <c r="R1195" s="1030"/>
      <c r="S1195" s="1031"/>
      <c r="T1195" s="952"/>
      <c r="U1195" s="941"/>
      <c r="V1195" s="941"/>
      <c r="W1195" s="941"/>
    </row>
    <row r="1196" spans="10:23" s="1011" customFormat="1" x14ac:dyDescent="0.2">
      <c r="J1196" s="1030"/>
      <c r="K1196" s="1030"/>
      <c r="L1196" s="1030"/>
      <c r="M1196" s="1030"/>
      <c r="N1196" s="1030"/>
      <c r="O1196" s="1030"/>
      <c r="P1196" s="1030"/>
      <c r="Q1196" s="1030"/>
      <c r="R1196" s="1030"/>
      <c r="S1196" s="1031"/>
      <c r="T1196" s="952"/>
      <c r="U1196" s="941"/>
      <c r="V1196" s="941"/>
      <c r="W1196" s="941"/>
    </row>
    <row r="1197" spans="10:23" s="1011" customFormat="1" x14ac:dyDescent="0.2">
      <c r="J1197" s="1030"/>
      <c r="K1197" s="1030"/>
      <c r="L1197" s="1030"/>
      <c r="M1197" s="1030"/>
      <c r="N1197" s="1030"/>
      <c r="O1197" s="1030"/>
      <c r="P1197" s="1030"/>
      <c r="Q1197" s="1030"/>
      <c r="R1197" s="1030"/>
      <c r="S1197" s="1031"/>
      <c r="T1197" s="952"/>
      <c r="U1197" s="941"/>
      <c r="V1197" s="941"/>
      <c r="W1197" s="941"/>
    </row>
    <row r="1198" spans="10:23" s="1011" customFormat="1" x14ac:dyDescent="0.2">
      <c r="J1198" s="1030"/>
      <c r="K1198" s="1030"/>
      <c r="L1198" s="1030"/>
      <c r="M1198" s="1030"/>
      <c r="N1198" s="1030"/>
      <c r="O1198" s="1030"/>
      <c r="P1198" s="1030"/>
      <c r="Q1198" s="1030"/>
      <c r="R1198" s="1030"/>
      <c r="S1198" s="1031"/>
      <c r="T1198" s="952"/>
      <c r="U1198" s="941"/>
      <c r="V1198" s="941"/>
      <c r="W1198" s="941"/>
    </row>
    <row r="1199" spans="10:23" s="1011" customFormat="1" x14ac:dyDescent="0.2">
      <c r="J1199" s="1030"/>
      <c r="K1199" s="1030"/>
      <c r="L1199" s="1030"/>
      <c r="M1199" s="1030"/>
      <c r="N1199" s="1030"/>
      <c r="O1199" s="1030"/>
      <c r="P1199" s="1030"/>
      <c r="Q1199" s="1030"/>
      <c r="R1199" s="1030"/>
      <c r="S1199" s="1031"/>
      <c r="T1199" s="952"/>
      <c r="U1199" s="941"/>
      <c r="V1199" s="941"/>
      <c r="W1199" s="941"/>
    </row>
    <row r="1200" spans="10:23" s="1011" customFormat="1" x14ac:dyDescent="0.2">
      <c r="J1200" s="1030"/>
      <c r="K1200" s="1030"/>
      <c r="L1200" s="1030"/>
      <c r="M1200" s="1030"/>
      <c r="N1200" s="1030"/>
      <c r="O1200" s="1030"/>
      <c r="P1200" s="1030"/>
      <c r="Q1200" s="1030"/>
      <c r="R1200" s="1030"/>
      <c r="S1200" s="1031"/>
      <c r="T1200" s="952"/>
      <c r="U1200" s="941"/>
      <c r="V1200" s="941"/>
      <c r="W1200" s="941"/>
    </row>
    <row r="1201" spans="10:23" s="1011" customFormat="1" x14ac:dyDescent="0.2">
      <c r="J1201" s="1030"/>
      <c r="K1201" s="1030"/>
      <c r="L1201" s="1030"/>
      <c r="M1201" s="1030"/>
      <c r="N1201" s="1030"/>
      <c r="O1201" s="1030"/>
      <c r="P1201" s="1030"/>
      <c r="Q1201" s="1030"/>
      <c r="R1201" s="1030"/>
      <c r="S1201" s="1031"/>
      <c r="T1201" s="952"/>
      <c r="U1201" s="941"/>
      <c r="V1201" s="941"/>
      <c r="W1201" s="941"/>
    </row>
    <row r="1202" spans="10:23" s="1011" customFormat="1" x14ac:dyDescent="0.2">
      <c r="J1202" s="1030"/>
      <c r="K1202" s="1030"/>
      <c r="L1202" s="1030"/>
      <c r="M1202" s="1030"/>
      <c r="N1202" s="1030"/>
      <c r="O1202" s="1030"/>
      <c r="P1202" s="1030"/>
      <c r="Q1202" s="1030"/>
      <c r="R1202" s="1030"/>
      <c r="S1202" s="1031"/>
      <c r="T1202" s="952"/>
      <c r="U1202" s="941"/>
      <c r="V1202" s="941"/>
      <c r="W1202" s="941"/>
    </row>
    <row r="1203" spans="10:23" s="1011" customFormat="1" x14ac:dyDescent="0.2">
      <c r="J1203" s="1030"/>
      <c r="K1203" s="1030"/>
      <c r="L1203" s="1030"/>
      <c r="M1203" s="1030"/>
      <c r="N1203" s="1030"/>
      <c r="O1203" s="1030"/>
      <c r="P1203" s="1030"/>
      <c r="Q1203" s="1030"/>
      <c r="R1203" s="1030"/>
      <c r="S1203" s="1031"/>
      <c r="T1203" s="952"/>
      <c r="U1203" s="941"/>
      <c r="V1203" s="941"/>
      <c r="W1203" s="941"/>
    </row>
    <row r="1204" spans="10:23" s="1011" customFormat="1" x14ac:dyDescent="0.2">
      <c r="J1204" s="1030"/>
      <c r="K1204" s="1030"/>
      <c r="L1204" s="1030"/>
      <c r="M1204" s="1030"/>
      <c r="N1204" s="1030"/>
      <c r="O1204" s="1030"/>
      <c r="P1204" s="1030"/>
      <c r="Q1204" s="1030"/>
      <c r="R1204" s="1030"/>
      <c r="S1204" s="1031"/>
      <c r="T1204" s="952"/>
      <c r="U1204" s="941"/>
      <c r="V1204" s="941"/>
      <c r="W1204" s="941"/>
    </row>
    <row r="1205" spans="10:23" s="1011" customFormat="1" x14ac:dyDescent="0.2">
      <c r="J1205" s="1030"/>
      <c r="K1205" s="1030"/>
      <c r="L1205" s="1030"/>
      <c r="M1205" s="1030"/>
      <c r="N1205" s="1030"/>
      <c r="O1205" s="1030"/>
      <c r="P1205" s="1030"/>
      <c r="Q1205" s="1030"/>
      <c r="R1205" s="1030"/>
      <c r="S1205" s="1031"/>
      <c r="T1205" s="952"/>
      <c r="U1205" s="941"/>
      <c r="V1205" s="941"/>
      <c r="W1205" s="941"/>
    </row>
    <row r="1206" spans="10:23" s="1011" customFormat="1" x14ac:dyDescent="0.2">
      <c r="J1206" s="1030"/>
      <c r="K1206" s="1030"/>
      <c r="L1206" s="1030"/>
      <c r="M1206" s="1030"/>
      <c r="N1206" s="1030"/>
      <c r="O1206" s="1030"/>
      <c r="P1206" s="1030"/>
      <c r="Q1206" s="1030"/>
      <c r="R1206" s="1030"/>
      <c r="S1206" s="1031"/>
      <c r="T1206" s="952"/>
      <c r="U1206" s="941"/>
      <c r="V1206" s="941"/>
      <c r="W1206" s="941"/>
    </row>
    <row r="1207" spans="10:23" s="1011" customFormat="1" x14ac:dyDescent="0.2">
      <c r="J1207" s="1030"/>
      <c r="K1207" s="1030"/>
      <c r="L1207" s="1030"/>
      <c r="M1207" s="1030"/>
      <c r="N1207" s="1030"/>
      <c r="O1207" s="1030"/>
      <c r="P1207" s="1030"/>
      <c r="Q1207" s="1030"/>
      <c r="R1207" s="1030"/>
      <c r="S1207" s="1031"/>
      <c r="T1207" s="952"/>
      <c r="U1207" s="941"/>
      <c r="V1207" s="941"/>
      <c r="W1207" s="941"/>
    </row>
    <row r="1208" spans="10:23" s="1011" customFormat="1" x14ac:dyDescent="0.2">
      <c r="J1208" s="1030"/>
      <c r="K1208" s="1030"/>
      <c r="L1208" s="1030"/>
      <c r="M1208" s="1030"/>
      <c r="N1208" s="1030"/>
      <c r="O1208" s="1030"/>
      <c r="P1208" s="1030"/>
      <c r="Q1208" s="1030"/>
      <c r="R1208" s="1030"/>
      <c r="S1208" s="1031"/>
      <c r="T1208" s="952"/>
      <c r="U1208" s="941"/>
      <c r="V1208" s="941"/>
      <c r="W1208" s="941"/>
    </row>
    <row r="1209" spans="10:23" s="1011" customFormat="1" x14ac:dyDescent="0.2">
      <c r="J1209" s="1030"/>
      <c r="K1209" s="1030"/>
      <c r="L1209" s="1030"/>
      <c r="M1209" s="1030"/>
      <c r="N1209" s="1030"/>
      <c r="O1209" s="1030"/>
      <c r="P1209" s="1030"/>
      <c r="Q1209" s="1030"/>
      <c r="R1209" s="1030"/>
      <c r="S1209" s="1031"/>
      <c r="T1209" s="952"/>
      <c r="U1209" s="941"/>
      <c r="V1209" s="941"/>
      <c r="W1209" s="941"/>
    </row>
    <row r="1210" spans="10:23" s="1011" customFormat="1" x14ac:dyDescent="0.2">
      <c r="J1210" s="1030"/>
      <c r="K1210" s="1030"/>
      <c r="L1210" s="1030"/>
      <c r="M1210" s="1030"/>
      <c r="N1210" s="1030"/>
      <c r="O1210" s="1030"/>
      <c r="P1210" s="1030"/>
      <c r="Q1210" s="1030"/>
      <c r="R1210" s="1030"/>
      <c r="S1210" s="1031"/>
      <c r="T1210" s="952"/>
      <c r="U1210" s="941"/>
      <c r="V1210" s="941"/>
      <c r="W1210" s="941"/>
    </row>
    <row r="1211" spans="10:23" s="1011" customFormat="1" x14ac:dyDescent="0.2">
      <c r="J1211" s="1030"/>
      <c r="K1211" s="1030"/>
      <c r="L1211" s="1030"/>
      <c r="M1211" s="1030"/>
      <c r="N1211" s="1030"/>
      <c r="O1211" s="1030"/>
      <c r="P1211" s="1030"/>
      <c r="Q1211" s="1030"/>
      <c r="R1211" s="1030"/>
      <c r="S1211" s="1031"/>
      <c r="T1211" s="952"/>
      <c r="U1211" s="941"/>
      <c r="V1211" s="941"/>
      <c r="W1211" s="941"/>
    </row>
    <row r="1212" spans="10:23" s="1011" customFormat="1" x14ac:dyDescent="0.2">
      <c r="J1212" s="1030"/>
      <c r="K1212" s="1030"/>
      <c r="L1212" s="1030"/>
      <c r="M1212" s="1030"/>
      <c r="N1212" s="1030"/>
      <c r="O1212" s="1030"/>
      <c r="P1212" s="1030"/>
      <c r="Q1212" s="1030"/>
      <c r="R1212" s="1030"/>
      <c r="S1212" s="1031"/>
      <c r="T1212" s="952"/>
      <c r="U1212" s="941"/>
      <c r="V1212" s="941"/>
      <c r="W1212" s="941"/>
    </row>
    <row r="1213" spans="10:23" s="1011" customFormat="1" x14ac:dyDescent="0.2">
      <c r="J1213" s="1030"/>
      <c r="K1213" s="1030"/>
      <c r="L1213" s="1030"/>
      <c r="M1213" s="1030"/>
      <c r="N1213" s="1030"/>
      <c r="O1213" s="1030"/>
      <c r="P1213" s="1030"/>
      <c r="Q1213" s="1030"/>
      <c r="R1213" s="1030"/>
      <c r="S1213" s="1031"/>
      <c r="T1213" s="952"/>
      <c r="U1213" s="941"/>
      <c r="V1213" s="941"/>
      <c r="W1213" s="941"/>
    </row>
    <row r="1214" spans="10:23" s="1011" customFormat="1" x14ac:dyDescent="0.2">
      <c r="J1214" s="1030"/>
      <c r="K1214" s="1030"/>
      <c r="L1214" s="1030"/>
      <c r="M1214" s="1030"/>
      <c r="N1214" s="1030"/>
      <c r="O1214" s="1030"/>
      <c r="P1214" s="1030"/>
      <c r="Q1214" s="1030"/>
      <c r="R1214" s="1030"/>
      <c r="S1214" s="1031"/>
      <c r="T1214" s="952"/>
      <c r="U1214" s="941"/>
      <c r="V1214" s="941"/>
      <c r="W1214" s="941"/>
    </row>
    <row r="1215" spans="10:23" s="1011" customFormat="1" x14ac:dyDescent="0.2">
      <c r="J1215" s="1030"/>
      <c r="K1215" s="1030"/>
      <c r="L1215" s="1030"/>
      <c r="M1215" s="1030"/>
      <c r="N1215" s="1030"/>
      <c r="O1215" s="1030"/>
      <c r="P1215" s="1030"/>
      <c r="Q1215" s="1030"/>
      <c r="R1215" s="1030"/>
      <c r="S1215" s="1031"/>
      <c r="T1215" s="952"/>
      <c r="U1215" s="941"/>
      <c r="V1215" s="941"/>
      <c r="W1215" s="941"/>
    </row>
    <row r="1216" spans="10:23" s="1011" customFormat="1" x14ac:dyDescent="0.2">
      <c r="J1216" s="1030"/>
      <c r="K1216" s="1030"/>
      <c r="L1216" s="1030"/>
      <c r="M1216" s="1030"/>
      <c r="N1216" s="1030"/>
      <c r="O1216" s="1030"/>
      <c r="P1216" s="1030"/>
      <c r="Q1216" s="1030"/>
      <c r="R1216" s="1030"/>
      <c r="S1216" s="1031"/>
      <c r="T1216" s="952"/>
      <c r="U1216" s="941"/>
      <c r="V1216" s="941"/>
      <c r="W1216" s="941"/>
    </row>
    <row r="1217" spans="10:23" s="1011" customFormat="1" x14ac:dyDescent="0.2">
      <c r="J1217" s="1030"/>
      <c r="K1217" s="1030"/>
      <c r="L1217" s="1030"/>
      <c r="M1217" s="1030"/>
      <c r="N1217" s="1030"/>
      <c r="O1217" s="1030"/>
      <c r="P1217" s="1030"/>
      <c r="Q1217" s="1030"/>
      <c r="R1217" s="1030"/>
      <c r="S1217" s="1031"/>
      <c r="T1217" s="952"/>
      <c r="U1217" s="941"/>
      <c r="V1217" s="941"/>
      <c r="W1217" s="941"/>
    </row>
    <row r="1218" spans="10:23" s="1011" customFormat="1" x14ac:dyDescent="0.2">
      <c r="J1218" s="1030"/>
      <c r="K1218" s="1030"/>
      <c r="L1218" s="1030"/>
      <c r="M1218" s="1030"/>
      <c r="N1218" s="1030"/>
      <c r="O1218" s="1030"/>
      <c r="P1218" s="1030"/>
      <c r="Q1218" s="1030"/>
      <c r="R1218" s="1030"/>
      <c r="S1218" s="1031"/>
      <c r="T1218" s="952"/>
      <c r="U1218" s="941"/>
      <c r="V1218" s="941"/>
      <c r="W1218" s="941"/>
    </row>
    <row r="1219" spans="10:23" s="1011" customFormat="1" x14ac:dyDescent="0.2">
      <c r="J1219" s="1030"/>
      <c r="K1219" s="1030"/>
      <c r="L1219" s="1030"/>
      <c r="M1219" s="1030"/>
      <c r="N1219" s="1030"/>
      <c r="O1219" s="1030"/>
      <c r="P1219" s="1030"/>
      <c r="Q1219" s="1030"/>
      <c r="R1219" s="1030"/>
      <c r="S1219" s="1031"/>
      <c r="T1219" s="952"/>
      <c r="U1219" s="941"/>
      <c r="V1219" s="941"/>
      <c r="W1219" s="941"/>
    </row>
    <row r="1220" spans="10:23" s="1011" customFormat="1" x14ac:dyDescent="0.2">
      <c r="J1220" s="1030"/>
      <c r="K1220" s="1030"/>
      <c r="L1220" s="1030"/>
      <c r="M1220" s="1030"/>
      <c r="N1220" s="1030"/>
      <c r="O1220" s="1030"/>
      <c r="P1220" s="1030"/>
      <c r="Q1220" s="1030"/>
      <c r="R1220" s="1030"/>
      <c r="S1220" s="1031"/>
      <c r="T1220" s="952"/>
      <c r="U1220" s="941"/>
      <c r="V1220" s="941"/>
      <c r="W1220" s="941"/>
    </row>
    <row r="1221" spans="10:23" s="1011" customFormat="1" x14ac:dyDescent="0.2">
      <c r="J1221" s="1030"/>
      <c r="K1221" s="1030"/>
      <c r="L1221" s="1030"/>
      <c r="M1221" s="1030"/>
      <c r="N1221" s="1030"/>
      <c r="O1221" s="1030"/>
      <c r="P1221" s="1030"/>
      <c r="Q1221" s="1030"/>
      <c r="R1221" s="1030"/>
      <c r="S1221" s="1031"/>
      <c r="T1221" s="952"/>
      <c r="U1221" s="941"/>
      <c r="V1221" s="941"/>
      <c r="W1221" s="941"/>
    </row>
    <row r="1222" spans="10:23" s="1011" customFormat="1" x14ac:dyDescent="0.2">
      <c r="J1222" s="1030"/>
      <c r="K1222" s="1030"/>
      <c r="L1222" s="1030"/>
      <c r="M1222" s="1030"/>
      <c r="N1222" s="1030"/>
      <c r="O1222" s="1030"/>
      <c r="P1222" s="1030"/>
      <c r="Q1222" s="1030"/>
      <c r="R1222" s="1030"/>
      <c r="S1222" s="1031"/>
      <c r="T1222" s="952"/>
      <c r="U1222" s="941"/>
      <c r="V1222" s="941"/>
      <c r="W1222" s="941"/>
    </row>
    <row r="1223" spans="10:23" s="1011" customFormat="1" x14ac:dyDescent="0.2">
      <c r="J1223" s="1030"/>
      <c r="K1223" s="1030"/>
      <c r="L1223" s="1030"/>
      <c r="M1223" s="1030"/>
      <c r="N1223" s="1030"/>
      <c r="O1223" s="1030"/>
      <c r="P1223" s="1030"/>
      <c r="Q1223" s="1030"/>
      <c r="R1223" s="1030"/>
      <c r="S1223" s="1031"/>
      <c r="T1223" s="952"/>
      <c r="U1223" s="941"/>
      <c r="V1223" s="941"/>
      <c r="W1223" s="941"/>
    </row>
    <row r="1224" spans="10:23" s="1011" customFormat="1" x14ac:dyDescent="0.2">
      <c r="J1224" s="1030"/>
      <c r="K1224" s="1030"/>
      <c r="L1224" s="1030"/>
      <c r="M1224" s="1030"/>
      <c r="N1224" s="1030"/>
      <c r="O1224" s="1030"/>
      <c r="P1224" s="1030"/>
      <c r="Q1224" s="1030"/>
      <c r="R1224" s="1030"/>
      <c r="S1224" s="1031"/>
      <c r="T1224" s="952"/>
      <c r="U1224" s="941"/>
      <c r="V1224" s="941"/>
      <c r="W1224" s="941"/>
    </row>
    <row r="1225" spans="10:23" s="1011" customFormat="1" x14ac:dyDescent="0.2">
      <c r="J1225" s="1030"/>
      <c r="K1225" s="1030"/>
      <c r="L1225" s="1030"/>
      <c r="M1225" s="1030"/>
      <c r="N1225" s="1030"/>
      <c r="O1225" s="1030"/>
      <c r="P1225" s="1030"/>
      <c r="Q1225" s="1030"/>
      <c r="R1225" s="1030"/>
      <c r="S1225" s="1031"/>
      <c r="T1225" s="952"/>
      <c r="U1225" s="941"/>
      <c r="V1225" s="941"/>
      <c r="W1225" s="941"/>
    </row>
    <row r="1226" spans="10:23" s="1011" customFormat="1" x14ac:dyDescent="0.2">
      <c r="J1226" s="1030"/>
      <c r="K1226" s="1030"/>
      <c r="L1226" s="1030"/>
      <c r="M1226" s="1030"/>
      <c r="N1226" s="1030"/>
      <c r="O1226" s="1030"/>
      <c r="P1226" s="1030"/>
      <c r="Q1226" s="1030"/>
      <c r="R1226" s="1030"/>
      <c r="S1226" s="1031"/>
      <c r="T1226" s="952"/>
      <c r="U1226" s="941"/>
      <c r="V1226" s="941"/>
      <c r="W1226" s="941"/>
    </row>
    <row r="1227" spans="10:23" s="1011" customFormat="1" x14ac:dyDescent="0.2">
      <c r="J1227" s="1030"/>
      <c r="K1227" s="1030"/>
      <c r="L1227" s="1030"/>
      <c r="M1227" s="1030"/>
      <c r="N1227" s="1030"/>
      <c r="O1227" s="1030"/>
      <c r="P1227" s="1030"/>
      <c r="Q1227" s="1030"/>
      <c r="R1227" s="1030"/>
      <c r="S1227" s="1031"/>
      <c r="T1227" s="952"/>
      <c r="U1227" s="941"/>
      <c r="V1227" s="941"/>
      <c r="W1227" s="941"/>
    </row>
    <row r="1228" spans="10:23" s="1011" customFormat="1" x14ac:dyDescent="0.2">
      <c r="J1228" s="1030"/>
      <c r="K1228" s="1030"/>
      <c r="L1228" s="1030"/>
      <c r="M1228" s="1030"/>
      <c r="N1228" s="1030"/>
      <c r="O1228" s="1030"/>
      <c r="P1228" s="1030"/>
      <c r="Q1228" s="1030"/>
      <c r="R1228" s="1030"/>
      <c r="S1228" s="1031"/>
      <c r="T1228" s="952"/>
      <c r="U1228" s="941"/>
      <c r="V1228" s="941"/>
      <c r="W1228" s="941"/>
    </row>
    <row r="1229" spans="10:23" s="1011" customFormat="1" x14ac:dyDescent="0.2">
      <c r="J1229" s="1030"/>
      <c r="K1229" s="1030"/>
      <c r="L1229" s="1030"/>
      <c r="M1229" s="1030"/>
      <c r="N1229" s="1030"/>
      <c r="O1229" s="1030"/>
      <c r="P1229" s="1030"/>
      <c r="Q1229" s="1030"/>
      <c r="R1229" s="1030"/>
      <c r="S1229" s="1031"/>
      <c r="T1229" s="952"/>
      <c r="U1229" s="941"/>
      <c r="V1229" s="941"/>
      <c r="W1229" s="941"/>
    </row>
    <row r="1230" spans="10:23" s="1011" customFormat="1" x14ac:dyDescent="0.2">
      <c r="J1230" s="1030"/>
      <c r="K1230" s="1030"/>
      <c r="L1230" s="1030"/>
      <c r="M1230" s="1030"/>
      <c r="N1230" s="1030"/>
      <c r="O1230" s="1030"/>
      <c r="P1230" s="1030"/>
      <c r="Q1230" s="1030"/>
      <c r="R1230" s="1030"/>
      <c r="S1230" s="1031"/>
      <c r="T1230" s="952"/>
      <c r="U1230" s="941"/>
      <c r="V1230" s="941"/>
      <c r="W1230" s="941"/>
    </row>
    <row r="1231" spans="10:23" s="1011" customFormat="1" x14ac:dyDescent="0.2">
      <c r="J1231" s="1030"/>
      <c r="K1231" s="1030"/>
      <c r="L1231" s="1030"/>
      <c r="M1231" s="1030"/>
      <c r="N1231" s="1030"/>
      <c r="O1231" s="1030"/>
      <c r="P1231" s="1030"/>
      <c r="Q1231" s="1030"/>
      <c r="R1231" s="1030"/>
      <c r="S1231" s="1031"/>
      <c r="T1231" s="952"/>
      <c r="U1231" s="941"/>
      <c r="V1231" s="941"/>
      <c r="W1231" s="941"/>
    </row>
    <row r="1232" spans="10:23" s="1011" customFormat="1" x14ac:dyDescent="0.2">
      <c r="J1232" s="1030"/>
      <c r="K1232" s="1030"/>
      <c r="L1232" s="1030"/>
      <c r="M1232" s="1030"/>
      <c r="N1232" s="1030"/>
      <c r="O1232" s="1030"/>
      <c r="P1232" s="1030"/>
      <c r="Q1232" s="1030"/>
      <c r="R1232" s="1030"/>
      <c r="S1232" s="1031"/>
      <c r="T1232" s="952"/>
      <c r="U1232" s="941"/>
      <c r="V1232" s="941"/>
      <c r="W1232" s="941"/>
    </row>
    <row r="1233" spans="10:23" s="1011" customFormat="1" x14ac:dyDescent="0.2">
      <c r="J1233" s="1030"/>
      <c r="K1233" s="1030"/>
      <c r="L1233" s="1030"/>
      <c r="M1233" s="1030"/>
      <c r="N1233" s="1030"/>
      <c r="O1233" s="1030"/>
      <c r="P1233" s="1030"/>
      <c r="Q1233" s="1030"/>
      <c r="R1233" s="1030"/>
      <c r="S1233" s="1031"/>
      <c r="T1233" s="952"/>
      <c r="U1233" s="941"/>
      <c r="V1233" s="941"/>
      <c r="W1233" s="941"/>
    </row>
    <row r="1234" spans="10:23" s="1011" customFormat="1" x14ac:dyDescent="0.2">
      <c r="J1234" s="1030"/>
      <c r="K1234" s="1030"/>
      <c r="L1234" s="1030"/>
      <c r="M1234" s="1030"/>
      <c r="N1234" s="1030"/>
      <c r="O1234" s="1030"/>
      <c r="P1234" s="1030"/>
      <c r="Q1234" s="1030"/>
      <c r="R1234" s="1030"/>
      <c r="S1234" s="1031"/>
      <c r="T1234" s="952"/>
      <c r="U1234" s="941"/>
      <c r="V1234" s="941"/>
      <c r="W1234" s="941"/>
    </row>
    <row r="1235" spans="10:23" s="1011" customFormat="1" x14ac:dyDescent="0.2">
      <c r="J1235" s="1030"/>
      <c r="K1235" s="1030"/>
      <c r="L1235" s="1030"/>
      <c r="M1235" s="1030"/>
      <c r="N1235" s="1030"/>
      <c r="O1235" s="1030"/>
      <c r="P1235" s="1030"/>
      <c r="Q1235" s="1030"/>
      <c r="R1235" s="1030"/>
      <c r="S1235" s="1031"/>
      <c r="T1235" s="952"/>
      <c r="U1235" s="941"/>
      <c r="V1235" s="941"/>
      <c r="W1235" s="941"/>
    </row>
    <row r="1236" spans="10:23" s="1011" customFormat="1" x14ac:dyDescent="0.2">
      <c r="J1236" s="1030"/>
      <c r="K1236" s="1030"/>
      <c r="L1236" s="1030"/>
      <c r="M1236" s="1030"/>
      <c r="N1236" s="1030"/>
      <c r="O1236" s="1030"/>
      <c r="P1236" s="1030"/>
      <c r="Q1236" s="1030"/>
      <c r="R1236" s="1030"/>
      <c r="S1236" s="1031"/>
      <c r="T1236" s="952"/>
      <c r="U1236" s="941"/>
      <c r="V1236" s="941"/>
      <c r="W1236" s="941"/>
    </row>
    <row r="1237" spans="10:23" s="1011" customFormat="1" x14ac:dyDescent="0.2">
      <c r="J1237" s="1030"/>
      <c r="K1237" s="1030"/>
      <c r="L1237" s="1030"/>
      <c r="M1237" s="1030"/>
      <c r="N1237" s="1030"/>
      <c r="O1237" s="1030"/>
      <c r="P1237" s="1030"/>
      <c r="Q1237" s="1030"/>
      <c r="R1237" s="1030"/>
      <c r="S1237" s="1031"/>
      <c r="T1237" s="952"/>
      <c r="U1237" s="941"/>
      <c r="V1237" s="941"/>
      <c r="W1237" s="941"/>
    </row>
    <row r="1238" spans="10:23" s="1011" customFormat="1" x14ac:dyDescent="0.2">
      <c r="J1238" s="1030"/>
      <c r="K1238" s="1030"/>
      <c r="L1238" s="1030"/>
      <c r="M1238" s="1030"/>
      <c r="N1238" s="1030"/>
      <c r="O1238" s="1030"/>
      <c r="P1238" s="1030"/>
      <c r="Q1238" s="1030"/>
      <c r="R1238" s="1030"/>
      <c r="S1238" s="1031"/>
      <c r="T1238" s="952"/>
      <c r="U1238" s="941"/>
      <c r="V1238" s="941"/>
      <c r="W1238" s="941"/>
    </row>
    <row r="1239" spans="10:23" s="1011" customFormat="1" x14ac:dyDescent="0.2">
      <c r="J1239" s="1030"/>
      <c r="K1239" s="1030"/>
      <c r="L1239" s="1030"/>
      <c r="M1239" s="1030"/>
      <c r="N1239" s="1030"/>
      <c r="O1239" s="1030"/>
      <c r="P1239" s="1030"/>
      <c r="Q1239" s="1030"/>
      <c r="R1239" s="1030"/>
      <c r="S1239" s="1031"/>
      <c r="T1239" s="952"/>
      <c r="U1239" s="941"/>
      <c r="V1239" s="941"/>
      <c r="W1239" s="941"/>
    </row>
    <row r="1240" spans="10:23" s="1011" customFormat="1" x14ac:dyDescent="0.2">
      <c r="J1240" s="1030"/>
      <c r="K1240" s="1030"/>
      <c r="L1240" s="1030"/>
      <c r="M1240" s="1030"/>
      <c r="N1240" s="1030"/>
      <c r="O1240" s="1030"/>
      <c r="P1240" s="1030"/>
      <c r="Q1240" s="1030"/>
      <c r="R1240" s="1030"/>
      <c r="S1240" s="1031"/>
      <c r="T1240" s="952"/>
      <c r="U1240" s="941"/>
      <c r="V1240" s="941"/>
      <c r="W1240" s="941"/>
    </row>
    <row r="1241" spans="10:23" s="1011" customFormat="1" x14ac:dyDescent="0.2">
      <c r="J1241" s="1030"/>
      <c r="K1241" s="1030"/>
      <c r="L1241" s="1030"/>
      <c r="M1241" s="1030"/>
      <c r="N1241" s="1030"/>
      <c r="O1241" s="1030"/>
      <c r="P1241" s="1030"/>
      <c r="Q1241" s="1030"/>
      <c r="R1241" s="1030"/>
      <c r="S1241" s="1031"/>
      <c r="T1241" s="952"/>
      <c r="U1241" s="941"/>
      <c r="V1241" s="941"/>
      <c r="W1241" s="941"/>
    </row>
    <row r="1242" spans="10:23" s="1011" customFormat="1" x14ac:dyDescent="0.2">
      <c r="J1242" s="1030"/>
      <c r="K1242" s="1030"/>
      <c r="L1242" s="1030"/>
      <c r="M1242" s="1030"/>
      <c r="N1242" s="1030"/>
      <c r="O1242" s="1030"/>
      <c r="P1242" s="1030"/>
      <c r="Q1242" s="1030"/>
      <c r="R1242" s="1030"/>
      <c r="S1242" s="1031"/>
      <c r="T1242" s="952"/>
      <c r="U1242" s="941"/>
      <c r="V1242" s="941"/>
      <c r="W1242" s="941"/>
    </row>
    <row r="1243" spans="10:23" s="1011" customFormat="1" x14ac:dyDescent="0.2">
      <c r="J1243" s="1030"/>
      <c r="K1243" s="1030"/>
      <c r="L1243" s="1030"/>
      <c r="M1243" s="1030"/>
      <c r="N1243" s="1030"/>
      <c r="O1243" s="1030"/>
      <c r="P1243" s="1030"/>
      <c r="Q1243" s="1030"/>
      <c r="R1243" s="1030"/>
      <c r="S1243" s="1031"/>
      <c r="T1243" s="952"/>
      <c r="U1243" s="941"/>
      <c r="V1243" s="941"/>
      <c r="W1243" s="941"/>
    </row>
    <row r="1244" spans="10:23" s="1011" customFormat="1" x14ac:dyDescent="0.2">
      <c r="J1244" s="1030"/>
      <c r="K1244" s="1030"/>
      <c r="L1244" s="1030"/>
      <c r="M1244" s="1030"/>
      <c r="N1244" s="1030"/>
      <c r="O1244" s="1030"/>
      <c r="P1244" s="1030"/>
      <c r="Q1244" s="1030"/>
      <c r="R1244" s="1030"/>
      <c r="S1244" s="1031"/>
      <c r="T1244" s="952"/>
      <c r="U1244" s="941"/>
      <c r="V1244" s="941"/>
      <c r="W1244" s="941"/>
    </row>
    <row r="1245" spans="10:23" s="1011" customFormat="1" x14ac:dyDescent="0.2">
      <c r="J1245" s="1030"/>
      <c r="K1245" s="1030"/>
      <c r="L1245" s="1030"/>
      <c r="M1245" s="1030"/>
      <c r="N1245" s="1030"/>
      <c r="O1245" s="1030"/>
      <c r="P1245" s="1030"/>
      <c r="Q1245" s="1030"/>
      <c r="R1245" s="1030"/>
      <c r="S1245" s="1031"/>
      <c r="T1245" s="952"/>
      <c r="U1245" s="941"/>
      <c r="V1245" s="941"/>
      <c r="W1245" s="941"/>
    </row>
    <row r="1246" spans="10:23" s="1011" customFormat="1" x14ac:dyDescent="0.2">
      <c r="J1246" s="1030"/>
      <c r="K1246" s="1030"/>
      <c r="L1246" s="1030"/>
      <c r="M1246" s="1030"/>
      <c r="N1246" s="1030"/>
      <c r="O1246" s="1030"/>
      <c r="P1246" s="1030"/>
      <c r="Q1246" s="1030"/>
      <c r="R1246" s="1030"/>
      <c r="S1246" s="1031"/>
      <c r="T1246" s="952"/>
      <c r="U1246" s="941"/>
      <c r="V1246" s="941"/>
      <c r="W1246" s="941"/>
    </row>
    <row r="1247" spans="10:23" s="1011" customFormat="1" x14ac:dyDescent="0.2">
      <c r="J1247" s="1030"/>
      <c r="K1247" s="1030"/>
      <c r="L1247" s="1030"/>
      <c r="M1247" s="1030"/>
      <c r="N1247" s="1030"/>
      <c r="O1247" s="1030"/>
      <c r="P1247" s="1030"/>
      <c r="Q1247" s="1030"/>
      <c r="R1247" s="1030"/>
      <c r="S1247" s="1031"/>
      <c r="T1247" s="952"/>
      <c r="U1247" s="941"/>
      <c r="V1247" s="941"/>
      <c r="W1247" s="941"/>
    </row>
    <row r="1248" spans="10:23" s="1011" customFormat="1" x14ac:dyDescent="0.2">
      <c r="J1248" s="1030"/>
      <c r="K1248" s="1030"/>
      <c r="L1248" s="1030"/>
      <c r="M1248" s="1030"/>
      <c r="N1248" s="1030"/>
      <c r="O1248" s="1030"/>
      <c r="P1248" s="1030"/>
      <c r="Q1248" s="1030"/>
      <c r="R1248" s="1030"/>
      <c r="S1248" s="1031"/>
      <c r="T1248" s="952"/>
      <c r="U1248" s="941"/>
      <c r="V1248" s="941"/>
      <c r="W1248" s="941"/>
    </row>
    <row r="1249" spans="10:23" s="1011" customFormat="1" x14ac:dyDescent="0.2">
      <c r="J1249" s="1030"/>
      <c r="K1249" s="1030"/>
      <c r="L1249" s="1030"/>
      <c r="M1249" s="1030"/>
      <c r="N1249" s="1030"/>
      <c r="O1249" s="1030"/>
      <c r="P1249" s="1030"/>
      <c r="Q1249" s="1030"/>
      <c r="R1249" s="1030"/>
      <c r="S1249" s="1031"/>
      <c r="T1249" s="952"/>
      <c r="U1249" s="941"/>
      <c r="V1249" s="941"/>
      <c r="W1249" s="941"/>
    </row>
    <row r="1250" spans="10:23" s="1011" customFormat="1" x14ac:dyDescent="0.2">
      <c r="J1250" s="1030"/>
      <c r="K1250" s="1030"/>
      <c r="L1250" s="1030"/>
      <c r="M1250" s="1030"/>
      <c r="N1250" s="1030"/>
      <c r="O1250" s="1030"/>
      <c r="P1250" s="1030"/>
      <c r="Q1250" s="1030"/>
      <c r="R1250" s="1030"/>
      <c r="S1250" s="1031"/>
      <c r="T1250" s="952"/>
      <c r="U1250" s="941"/>
      <c r="V1250" s="941"/>
      <c r="W1250" s="941"/>
    </row>
    <row r="1251" spans="10:23" s="1011" customFormat="1" x14ac:dyDescent="0.2">
      <c r="J1251" s="1030"/>
      <c r="K1251" s="1030"/>
      <c r="L1251" s="1030"/>
      <c r="M1251" s="1030"/>
      <c r="N1251" s="1030"/>
      <c r="O1251" s="1030"/>
      <c r="P1251" s="1030"/>
      <c r="Q1251" s="1030"/>
      <c r="R1251" s="1030"/>
      <c r="S1251" s="1031"/>
      <c r="T1251" s="952"/>
      <c r="U1251" s="941"/>
      <c r="V1251" s="941"/>
      <c r="W1251" s="941"/>
    </row>
    <row r="1252" spans="10:23" s="1011" customFormat="1" x14ac:dyDescent="0.2">
      <c r="J1252" s="1030"/>
      <c r="K1252" s="1030"/>
      <c r="L1252" s="1030"/>
      <c r="M1252" s="1030"/>
      <c r="N1252" s="1030"/>
      <c r="O1252" s="1030"/>
      <c r="P1252" s="1030"/>
      <c r="Q1252" s="1030"/>
      <c r="R1252" s="1030"/>
      <c r="S1252" s="1031"/>
      <c r="T1252" s="952"/>
      <c r="U1252" s="941"/>
      <c r="V1252" s="941"/>
      <c r="W1252" s="941"/>
    </row>
    <row r="1253" spans="10:23" s="1011" customFormat="1" x14ac:dyDescent="0.2">
      <c r="J1253" s="1030"/>
      <c r="K1253" s="1030"/>
      <c r="L1253" s="1030"/>
      <c r="M1253" s="1030"/>
      <c r="N1253" s="1030"/>
      <c r="O1253" s="1030"/>
      <c r="P1253" s="1030"/>
      <c r="Q1253" s="1030"/>
      <c r="R1253" s="1030"/>
      <c r="S1253" s="1031"/>
      <c r="T1253" s="952"/>
      <c r="U1253" s="941"/>
      <c r="V1253" s="941"/>
      <c r="W1253" s="941"/>
    </row>
    <row r="1254" spans="10:23" s="1011" customFormat="1" x14ac:dyDescent="0.2">
      <c r="J1254" s="1030"/>
      <c r="K1254" s="1030"/>
      <c r="L1254" s="1030"/>
      <c r="M1254" s="1030"/>
      <c r="N1254" s="1030"/>
      <c r="O1254" s="1030"/>
      <c r="P1254" s="1030"/>
      <c r="Q1254" s="1030"/>
      <c r="R1254" s="1030"/>
      <c r="S1254" s="1031"/>
      <c r="T1254" s="952"/>
      <c r="U1254" s="941"/>
      <c r="V1254" s="941"/>
      <c r="W1254" s="941"/>
    </row>
    <row r="1255" spans="10:23" s="1011" customFormat="1" x14ac:dyDescent="0.2">
      <c r="J1255" s="1030"/>
      <c r="K1255" s="1030"/>
      <c r="L1255" s="1030"/>
      <c r="M1255" s="1030"/>
      <c r="N1255" s="1030"/>
      <c r="O1255" s="1030"/>
      <c r="P1255" s="1030"/>
      <c r="Q1255" s="1030"/>
      <c r="R1255" s="1030"/>
      <c r="S1255" s="1031"/>
      <c r="T1255" s="952"/>
      <c r="U1255" s="941"/>
      <c r="V1255" s="941"/>
      <c r="W1255" s="941"/>
    </row>
    <row r="1256" spans="10:23" s="1011" customFormat="1" x14ac:dyDescent="0.2">
      <c r="J1256" s="1030"/>
      <c r="K1256" s="1030"/>
      <c r="L1256" s="1030"/>
      <c r="M1256" s="1030"/>
      <c r="N1256" s="1030"/>
      <c r="O1256" s="1030"/>
      <c r="P1256" s="1030"/>
      <c r="Q1256" s="1030"/>
      <c r="R1256" s="1030"/>
      <c r="S1256" s="1031"/>
      <c r="T1256" s="952"/>
      <c r="U1256" s="941"/>
      <c r="V1256" s="941"/>
      <c r="W1256" s="941"/>
    </row>
    <row r="1257" spans="10:23" s="1011" customFormat="1" x14ac:dyDescent="0.2">
      <c r="J1257" s="1030"/>
      <c r="K1257" s="1030"/>
      <c r="L1257" s="1030"/>
      <c r="M1257" s="1030"/>
      <c r="N1257" s="1030"/>
      <c r="O1257" s="1030"/>
      <c r="P1257" s="1030"/>
      <c r="Q1257" s="1030"/>
      <c r="R1257" s="1030"/>
      <c r="S1257" s="1031"/>
      <c r="T1257" s="952"/>
      <c r="U1257" s="941"/>
      <c r="V1257" s="941"/>
      <c r="W1257" s="941"/>
    </row>
    <row r="1258" spans="10:23" s="1011" customFormat="1" x14ac:dyDescent="0.2">
      <c r="J1258" s="1030"/>
      <c r="K1258" s="1030"/>
      <c r="L1258" s="1030"/>
      <c r="M1258" s="1030"/>
      <c r="N1258" s="1030"/>
      <c r="O1258" s="1030"/>
      <c r="P1258" s="1030"/>
      <c r="Q1258" s="1030"/>
      <c r="R1258" s="1030"/>
      <c r="S1258" s="1031"/>
      <c r="T1258" s="952"/>
      <c r="U1258" s="941"/>
      <c r="V1258" s="941"/>
      <c r="W1258" s="941"/>
    </row>
    <row r="1259" spans="10:23" s="1011" customFormat="1" x14ac:dyDescent="0.2">
      <c r="J1259" s="1030"/>
      <c r="K1259" s="1030"/>
      <c r="L1259" s="1030"/>
      <c r="M1259" s="1030"/>
      <c r="N1259" s="1030"/>
      <c r="O1259" s="1030"/>
      <c r="P1259" s="1030"/>
      <c r="Q1259" s="1030"/>
      <c r="R1259" s="1030"/>
      <c r="S1259" s="1031"/>
      <c r="T1259" s="952"/>
      <c r="U1259" s="941"/>
      <c r="V1259" s="941"/>
      <c r="W1259" s="941"/>
    </row>
    <row r="1260" spans="10:23" s="1011" customFormat="1" x14ac:dyDescent="0.2">
      <c r="J1260" s="1030"/>
      <c r="K1260" s="1030"/>
      <c r="L1260" s="1030"/>
      <c r="M1260" s="1030"/>
      <c r="N1260" s="1030"/>
      <c r="O1260" s="1030"/>
      <c r="P1260" s="1030"/>
      <c r="Q1260" s="1030"/>
      <c r="R1260" s="1030"/>
      <c r="S1260" s="1031"/>
      <c r="T1260" s="952"/>
      <c r="U1260" s="941"/>
      <c r="V1260" s="941"/>
      <c r="W1260" s="941"/>
    </row>
    <row r="1261" spans="10:23" s="1011" customFormat="1" x14ac:dyDescent="0.2">
      <c r="J1261" s="1030"/>
      <c r="K1261" s="1030"/>
      <c r="L1261" s="1030"/>
      <c r="M1261" s="1030"/>
      <c r="N1261" s="1030"/>
      <c r="O1261" s="1030"/>
      <c r="P1261" s="1030"/>
      <c r="Q1261" s="1030"/>
      <c r="R1261" s="1030"/>
      <c r="S1261" s="1031"/>
      <c r="T1261" s="952"/>
      <c r="U1261" s="941"/>
      <c r="V1261" s="941"/>
      <c r="W1261" s="941"/>
    </row>
    <row r="1262" spans="10:23" s="1011" customFormat="1" x14ac:dyDescent="0.2">
      <c r="J1262" s="1030"/>
      <c r="K1262" s="1030"/>
      <c r="L1262" s="1030"/>
      <c r="M1262" s="1030"/>
      <c r="N1262" s="1030"/>
      <c r="O1262" s="1030"/>
      <c r="P1262" s="1030"/>
      <c r="Q1262" s="1030"/>
      <c r="R1262" s="1030"/>
      <c r="S1262" s="1031"/>
      <c r="T1262" s="952"/>
      <c r="U1262" s="941"/>
      <c r="V1262" s="941"/>
      <c r="W1262" s="941"/>
    </row>
    <row r="1263" spans="10:23" s="1011" customFormat="1" x14ac:dyDescent="0.2">
      <c r="J1263" s="1030"/>
      <c r="K1263" s="1030"/>
      <c r="L1263" s="1030"/>
      <c r="M1263" s="1030"/>
      <c r="N1263" s="1030"/>
      <c r="O1263" s="1030"/>
      <c r="P1263" s="1030"/>
      <c r="Q1263" s="1030"/>
      <c r="R1263" s="1030"/>
      <c r="S1263" s="1031"/>
      <c r="T1263" s="952"/>
      <c r="U1263" s="941"/>
      <c r="V1263" s="941"/>
      <c r="W1263" s="941"/>
    </row>
    <row r="1264" spans="10:23" s="1011" customFormat="1" x14ac:dyDescent="0.2">
      <c r="J1264" s="1030"/>
      <c r="K1264" s="1030"/>
      <c r="L1264" s="1030"/>
      <c r="M1264" s="1030"/>
      <c r="N1264" s="1030"/>
      <c r="O1264" s="1030"/>
      <c r="P1264" s="1030"/>
      <c r="Q1264" s="1030"/>
      <c r="R1264" s="1030"/>
      <c r="S1264" s="1031"/>
      <c r="T1264" s="952"/>
      <c r="U1264" s="941"/>
      <c r="V1264" s="941"/>
      <c r="W1264" s="941"/>
    </row>
    <row r="1265" spans="10:23" s="1011" customFormat="1" x14ac:dyDescent="0.2">
      <c r="J1265" s="1030"/>
      <c r="K1265" s="1030"/>
      <c r="L1265" s="1030"/>
      <c r="M1265" s="1030"/>
      <c r="N1265" s="1030"/>
      <c r="O1265" s="1030"/>
      <c r="P1265" s="1030"/>
      <c r="Q1265" s="1030"/>
      <c r="R1265" s="1030"/>
      <c r="S1265" s="1031"/>
      <c r="T1265" s="952"/>
      <c r="U1265" s="941"/>
      <c r="V1265" s="941"/>
      <c r="W1265" s="941"/>
    </row>
    <row r="1266" spans="10:23" s="1011" customFormat="1" x14ac:dyDescent="0.2">
      <c r="J1266" s="1030"/>
      <c r="K1266" s="1030"/>
      <c r="L1266" s="1030"/>
      <c r="M1266" s="1030"/>
      <c r="N1266" s="1030"/>
      <c r="O1266" s="1030"/>
      <c r="P1266" s="1030"/>
      <c r="Q1266" s="1030"/>
      <c r="R1266" s="1030"/>
      <c r="S1266" s="1031"/>
      <c r="T1266" s="952"/>
      <c r="U1266" s="941"/>
      <c r="V1266" s="941"/>
      <c r="W1266" s="941"/>
    </row>
    <row r="1267" spans="10:23" s="1011" customFormat="1" x14ac:dyDescent="0.2">
      <c r="J1267" s="1030"/>
      <c r="K1267" s="1030"/>
      <c r="L1267" s="1030"/>
      <c r="M1267" s="1030"/>
      <c r="N1267" s="1030"/>
      <c r="O1267" s="1030"/>
      <c r="P1267" s="1030"/>
      <c r="Q1267" s="1030"/>
      <c r="R1267" s="1030"/>
      <c r="S1267" s="1031"/>
      <c r="T1267" s="952"/>
      <c r="U1267" s="941"/>
      <c r="V1267" s="941"/>
      <c r="W1267" s="941"/>
    </row>
    <row r="1268" spans="10:23" s="1011" customFormat="1" x14ac:dyDescent="0.2">
      <c r="J1268" s="1030"/>
      <c r="K1268" s="1030"/>
      <c r="L1268" s="1030"/>
      <c r="M1268" s="1030"/>
      <c r="N1268" s="1030"/>
      <c r="O1268" s="1030"/>
      <c r="P1268" s="1030"/>
      <c r="Q1268" s="1030"/>
      <c r="R1268" s="1030"/>
      <c r="S1268" s="1031"/>
      <c r="T1268" s="952"/>
      <c r="U1268" s="941"/>
      <c r="V1268" s="941"/>
      <c r="W1268" s="941"/>
    </row>
    <row r="1269" spans="10:23" s="1011" customFormat="1" x14ac:dyDescent="0.2">
      <c r="J1269" s="1030"/>
      <c r="K1269" s="1030"/>
      <c r="L1269" s="1030"/>
      <c r="M1269" s="1030"/>
      <c r="N1269" s="1030"/>
      <c r="O1269" s="1030"/>
      <c r="P1269" s="1030"/>
      <c r="Q1269" s="1030"/>
      <c r="R1269" s="1030"/>
      <c r="S1269" s="1031"/>
      <c r="T1269" s="952"/>
      <c r="U1269" s="941"/>
      <c r="V1269" s="941"/>
      <c r="W1269" s="941"/>
    </row>
    <row r="1270" spans="10:23" s="1011" customFormat="1" x14ac:dyDescent="0.2">
      <c r="J1270" s="1030"/>
      <c r="K1270" s="1030"/>
      <c r="L1270" s="1030"/>
      <c r="M1270" s="1030"/>
      <c r="N1270" s="1030"/>
      <c r="O1270" s="1030"/>
      <c r="P1270" s="1030"/>
      <c r="Q1270" s="1030"/>
      <c r="R1270" s="1030"/>
      <c r="S1270" s="1031"/>
      <c r="T1270" s="952"/>
      <c r="U1270" s="941"/>
      <c r="V1270" s="941"/>
      <c r="W1270" s="941"/>
    </row>
    <row r="1271" spans="10:23" s="1011" customFormat="1" x14ac:dyDescent="0.2">
      <c r="J1271" s="1030"/>
      <c r="K1271" s="1030"/>
      <c r="L1271" s="1030"/>
      <c r="M1271" s="1030"/>
      <c r="N1271" s="1030"/>
      <c r="O1271" s="1030"/>
      <c r="P1271" s="1030"/>
      <c r="Q1271" s="1030"/>
      <c r="R1271" s="1030"/>
      <c r="S1271" s="1031"/>
      <c r="T1271" s="952"/>
      <c r="U1271" s="941"/>
      <c r="V1271" s="941"/>
      <c r="W1271" s="941"/>
    </row>
    <row r="1272" spans="10:23" s="1011" customFormat="1" x14ac:dyDescent="0.2">
      <c r="J1272" s="1030"/>
      <c r="K1272" s="1030"/>
      <c r="L1272" s="1030"/>
      <c r="M1272" s="1030"/>
      <c r="N1272" s="1030"/>
      <c r="O1272" s="1030"/>
      <c r="P1272" s="1030"/>
      <c r="Q1272" s="1030"/>
      <c r="R1272" s="1030"/>
      <c r="S1272" s="1031"/>
      <c r="T1272" s="952"/>
      <c r="U1272" s="941"/>
      <c r="V1272" s="941"/>
      <c r="W1272" s="941"/>
    </row>
    <row r="1273" spans="10:23" s="1011" customFormat="1" x14ac:dyDescent="0.2">
      <c r="J1273" s="1030"/>
      <c r="K1273" s="1030"/>
      <c r="L1273" s="1030"/>
      <c r="M1273" s="1030"/>
      <c r="N1273" s="1030"/>
      <c r="O1273" s="1030"/>
      <c r="P1273" s="1030"/>
      <c r="Q1273" s="1030"/>
      <c r="R1273" s="1030"/>
      <c r="S1273" s="1031"/>
      <c r="T1273" s="952"/>
      <c r="U1273" s="941"/>
      <c r="V1273" s="941"/>
      <c r="W1273" s="941"/>
    </row>
    <row r="1274" spans="10:23" s="1011" customFormat="1" x14ac:dyDescent="0.2">
      <c r="J1274" s="1030"/>
      <c r="K1274" s="1030"/>
      <c r="L1274" s="1030"/>
      <c r="M1274" s="1030"/>
      <c r="N1274" s="1030"/>
      <c r="O1274" s="1030"/>
      <c r="P1274" s="1030"/>
      <c r="Q1274" s="1030"/>
      <c r="R1274" s="1030"/>
      <c r="S1274" s="1031"/>
      <c r="T1274" s="952"/>
      <c r="U1274" s="941"/>
      <c r="V1274" s="941"/>
      <c r="W1274" s="941"/>
    </row>
    <row r="1275" spans="10:23" s="1011" customFormat="1" x14ac:dyDescent="0.2">
      <c r="J1275" s="1030"/>
      <c r="K1275" s="1030"/>
      <c r="L1275" s="1030"/>
      <c r="M1275" s="1030"/>
      <c r="N1275" s="1030"/>
      <c r="O1275" s="1030"/>
      <c r="P1275" s="1030"/>
      <c r="Q1275" s="1030"/>
      <c r="R1275" s="1030"/>
      <c r="S1275" s="1031"/>
      <c r="T1275" s="952"/>
      <c r="U1275" s="941"/>
      <c r="V1275" s="941"/>
      <c r="W1275" s="941"/>
    </row>
    <row r="1276" spans="10:23" s="1011" customFormat="1" x14ac:dyDescent="0.2">
      <c r="J1276" s="1030"/>
      <c r="K1276" s="1030"/>
      <c r="L1276" s="1030"/>
      <c r="M1276" s="1030"/>
      <c r="N1276" s="1030"/>
      <c r="O1276" s="1030"/>
      <c r="P1276" s="1030"/>
      <c r="Q1276" s="1030"/>
      <c r="R1276" s="1030"/>
      <c r="S1276" s="1031"/>
      <c r="T1276" s="952"/>
      <c r="U1276" s="941"/>
      <c r="V1276" s="941"/>
      <c r="W1276" s="941"/>
    </row>
    <row r="1277" spans="10:23" s="1011" customFormat="1" x14ac:dyDescent="0.2">
      <c r="J1277" s="1030"/>
      <c r="K1277" s="1030"/>
      <c r="L1277" s="1030"/>
      <c r="M1277" s="1030"/>
      <c r="N1277" s="1030"/>
      <c r="O1277" s="1030"/>
      <c r="P1277" s="1030"/>
      <c r="Q1277" s="1030"/>
      <c r="R1277" s="1030"/>
      <c r="S1277" s="1031"/>
      <c r="T1277" s="952"/>
      <c r="U1277" s="941"/>
      <c r="V1277" s="941"/>
      <c r="W1277" s="941"/>
    </row>
    <row r="1278" spans="10:23" s="1011" customFormat="1" x14ac:dyDescent="0.2">
      <c r="J1278" s="1030"/>
      <c r="K1278" s="1030"/>
      <c r="L1278" s="1030"/>
      <c r="M1278" s="1030"/>
      <c r="N1278" s="1030"/>
      <c r="O1278" s="1030"/>
      <c r="P1278" s="1030"/>
      <c r="Q1278" s="1030"/>
      <c r="R1278" s="1030"/>
      <c r="S1278" s="1031"/>
      <c r="T1278" s="952"/>
      <c r="U1278" s="941"/>
      <c r="V1278" s="941"/>
      <c r="W1278" s="941"/>
    </row>
    <row r="1279" spans="10:23" s="1011" customFormat="1" x14ac:dyDescent="0.2">
      <c r="J1279" s="1030"/>
      <c r="K1279" s="1030"/>
      <c r="L1279" s="1030"/>
      <c r="M1279" s="1030"/>
      <c r="N1279" s="1030"/>
      <c r="O1279" s="1030"/>
      <c r="P1279" s="1030"/>
      <c r="Q1279" s="1030"/>
      <c r="R1279" s="1030"/>
      <c r="S1279" s="1031"/>
      <c r="T1279" s="952"/>
      <c r="U1279" s="941"/>
      <c r="V1279" s="941"/>
      <c r="W1279" s="941"/>
    </row>
    <row r="1280" spans="10:23" s="1011" customFormat="1" x14ac:dyDescent="0.2">
      <c r="J1280" s="1030"/>
      <c r="K1280" s="1030"/>
      <c r="L1280" s="1030"/>
      <c r="M1280" s="1030"/>
      <c r="N1280" s="1030"/>
      <c r="O1280" s="1030"/>
      <c r="P1280" s="1030"/>
      <c r="Q1280" s="1030"/>
      <c r="R1280" s="1030"/>
      <c r="S1280" s="1031"/>
      <c r="T1280" s="952"/>
      <c r="U1280" s="941"/>
      <c r="V1280" s="941"/>
      <c r="W1280" s="941"/>
    </row>
    <row r="1281" spans="10:23" s="1011" customFormat="1" x14ac:dyDescent="0.2">
      <c r="J1281" s="1030"/>
      <c r="K1281" s="1030"/>
      <c r="L1281" s="1030"/>
      <c r="M1281" s="1030"/>
      <c r="N1281" s="1030"/>
      <c r="O1281" s="1030"/>
      <c r="P1281" s="1030"/>
      <c r="Q1281" s="1030"/>
      <c r="R1281" s="1030"/>
      <c r="S1281" s="1031"/>
      <c r="T1281" s="952"/>
      <c r="U1281" s="941"/>
      <c r="V1281" s="941"/>
      <c r="W1281" s="941"/>
    </row>
    <row r="1282" spans="10:23" s="1011" customFormat="1" x14ac:dyDescent="0.2">
      <c r="J1282" s="1030"/>
      <c r="K1282" s="1030"/>
      <c r="L1282" s="1030"/>
      <c r="M1282" s="1030"/>
      <c r="N1282" s="1030"/>
      <c r="O1282" s="1030"/>
      <c r="P1282" s="1030"/>
      <c r="Q1282" s="1030"/>
      <c r="R1282" s="1030"/>
      <c r="S1282" s="1031"/>
      <c r="T1282" s="952"/>
      <c r="U1282" s="941"/>
      <c r="V1282" s="941"/>
      <c r="W1282" s="941"/>
    </row>
    <row r="1283" spans="10:23" s="1011" customFormat="1" x14ac:dyDescent="0.2">
      <c r="J1283" s="1030"/>
      <c r="K1283" s="1030"/>
      <c r="L1283" s="1030"/>
      <c r="M1283" s="1030"/>
      <c r="N1283" s="1030"/>
      <c r="O1283" s="1030"/>
      <c r="P1283" s="1030"/>
      <c r="Q1283" s="1030"/>
      <c r="R1283" s="1030"/>
      <c r="S1283" s="1031"/>
      <c r="T1283" s="952"/>
      <c r="U1283" s="941"/>
      <c r="V1283" s="941"/>
      <c r="W1283" s="941"/>
    </row>
    <row r="1284" spans="10:23" s="1011" customFormat="1" x14ac:dyDescent="0.2">
      <c r="J1284" s="1030"/>
      <c r="K1284" s="1030"/>
      <c r="L1284" s="1030"/>
      <c r="M1284" s="1030"/>
      <c r="N1284" s="1030"/>
      <c r="O1284" s="1030"/>
      <c r="P1284" s="1030"/>
      <c r="Q1284" s="1030"/>
      <c r="R1284" s="1030"/>
      <c r="S1284" s="1031"/>
      <c r="T1284" s="952"/>
      <c r="U1284" s="941"/>
      <c r="V1284" s="941"/>
      <c r="W1284" s="941"/>
    </row>
    <row r="1285" spans="10:23" s="1011" customFormat="1" x14ac:dyDescent="0.2">
      <c r="J1285" s="1030"/>
      <c r="K1285" s="1030"/>
      <c r="L1285" s="1030"/>
      <c r="M1285" s="1030"/>
      <c r="N1285" s="1030"/>
      <c r="O1285" s="1030"/>
      <c r="P1285" s="1030"/>
      <c r="Q1285" s="1030"/>
      <c r="R1285" s="1030"/>
      <c r="S1285" s="1031"/>
      <c r="T1285" s="952"/>
      <c r="U1285" s="941"/>
      <c r="V1285" s="941"/>
      <c r="W1285" s="941"/>
    </row>
    <row r="1286" spans="10:23" s="1011" customFormat="1" x14ac:dyDescent="0.2">
      <c r="J1286" s="1030"/>
      <c r="K1286" s="1030"/>
      <c r="L1286" s="1030"/>
      <c r="M1286" s="1030"/>
      <c r="N1286" s="1030"/>
      <c r="O1286" s="1030"/>
      <c r="P1286" s="1030"/>
      <c r="Q1286" s="1030"/>
      <c r="R1286" s="1030"/>
      <c r="S1286" s="1031"/>
      <c r="T1286" s="952"/>
      <c r="U1286" s="941"/>
      <c r="V1286" s="941"/>
      <c r="W1286" s="941"/>
    </row>
    <row r="1287" spans="10:23" s="1011" customFormat="1" x14ac:dyDescent="0.2">
      <c r="J1287" s="1030"/>
      <c r="K1287" s="1030"/>
      <c r="L1287" s="1030"/>
      <c r="M1287" s="1030"/>
      <c r="N1287" s="1030"/>
      <c r="O1287" s="1030"/>
      <c r="P1287" s="1030"/>
      <c r="Q1287" s="1030"/>
      <c r="R1287" s="1030"/>
      <c r="S1287" s="1031"/>
      <c r="T1287" s="952"/>
      <c r="U1287" s="941"/>
      <c r="V1287" s="941"/>
      <c r="W1287" s="941"/>
    </row>
    <row r="1288" spans="10:23" s="1011" customFormat="1" x14ac:dyDescent="0.2">
      <c r="J1288" s="1030"/>
      <c r="K1288" s="1030"/>
      <c r="L1288" s="1030"/>
      <c r="M1288" s="1030"/>
      <c r="N1288" s="1030"/>
      <c r="O1288" s="1030"/>
      <c r="P1288" s="1030"/>
      <c r="Q1288" s="1030"/>
      <c r="R1288" s="1030"/>
      <c r="S1288" s="1031"/>
      <c r="T1288" s="952"/>
      <c r="U1288" s="941"/>
      <c r="V1288" s="941"/>
      <c r="W1288" s="941"/>
    </row>
    <row r="1289" spans="10:23" s="1011" customFormat="1" x14ac:dyDescent="0.2">
      <c r="J1289" s="1030"/>
      <c r="K1289" s="1030"/>
      <c r="L1289" s="1030"/>
      <c r="M1289" s="1030"/>
      <c r="N1289" s="1030"/>
      <c r="O1289" s="1030"/>
      <c r="P1289" s="1030"/>
      <c r="Q1289" s="1030"/>
      <c r="R1289" s="1030"/>
      <c r="S1289" s="1031"/>
      <c r="T1289" s="952"/>
      <c r="U1289" s="941"/>
      <c r="V1289" s="941"/>
      <c r="W1289" s="941"/>
    </row>
    <row r="1290" spans="10:23" s="1011" customFormat="1" x14ac:dyDescent="0.2">
      <c r="J1290" s="1030"/>
      <c r="K1290" s="1030"/>
      <c r="L1290" s="1030"/>
      <c r="M1290" s="1030"/>
      <c r="N1290" s="1030"/>
      <c r="O1290" s="1030"/>
      <c r="P1290" s="1030"/>
      <c r="Q1290" s="1030"/>
      <c r="R1290" s="1030"/>
      <c r="S1290" s="1031"/>
      <c r="T1290" s="952"/>
      <c r="U1290" s="941"/>
      <c r="V1290" s="941"/>
      <c r="W1290" s="941"/>
    </row>
    <row r="1291" spans="10:23" s="1011" customFormat="1" x14ac:dyDescent="0.2">
      <c r="J1291" s="1030"/>
      <c r="K1291" s="1030"/>
      <c r="L1291" s="1030"/>
      <c r="M1291" s="1030"/>
      <c r="N1291" s="1030"/>
      <c r="O1291" s="1030"/>
      <c r="P1291" s="1030"/>
      <c r="Q1291" s="1030"/>
      <c r="R1291" s="1030"/>
      <c r="S1291" s="1031"/>
      <c r="T1291" s="952"/>
      <c r="U1291" s="941"/>
      <c r="V1291" s="941"/>
      <c r="W1291" s="941"/>
    </row>
    <row r="1292" spans="10:23" s="1011" customFormat="1" x14ac:dyDescent="0.2">
      <c r="J1292" s="1030"/>
      <c r="K1292" s="1030"/>
      <c r="L1292" s="1030"/>
      <c r="M1292" s="1030"/>
      <c r="N1292" s="1030"/>
      <c r="O1292" s="1030"/>
      <c r="P1292" s="1030"/>
      <c r="Q1292" s="1030"/>
      <c r="R1292" s="1030"/>
      <c r="S1292" s="1031"/>
      <c r="T1292" s="952"/>
      <c r="U1292" s="941"/>
      <c r="V1292" s="941"/>
      <c r="W1292" s="941"/>
    </row>
    <row r="1293" spans="10:23" s="1011" customFormat="1" x14ac:dyDescent="0.2">
      <c r="J1293" s="1030"/>
      <c r="K1293" s="1030"/>
      <c r="L1293" s="1030"/>
      <c r="M1293" s="1030"/>
      <c r="N1293" s="1030"/>
      <c r="O1293" s="1030"/>
      <c r="P1293" s="1030"/>
      <c r="Q1293" s="1030"/>
      <c r="R1293" s="1030"/>
      <c r="S1293" s="1031"/>
      <c r="T1293" s="952"/>
      <c r="U1293" s="941"/>
      <c r="V1293" s="941"/>
      <c r="W1293" s="941"/>
    </row>
    <row r="1294" spans="10:23" s="1011" customFormat="1" x14ac:dyDescent="0.2">
      <c r="J1294" s="1030"/>
      <c r="K1294" s="1030"/>
      <c r="L1294" s="1030"/>
      <c r="M1294" s="1030"/>
      <c r="N1294" s="1030"/>
      <c r="O1294" s="1030"/>
      <c r="P1294" s="1030"/>
      <c r="Q1294" s="1030"/>
      <c r="R1294" s="1030"/>
      <c r="S1294" s="1031"/>
      <c r="T1294" s="952"/>
      <c r="U1294" s="941"/>
      <c r="V1294" s="941"/>
      <c r="W1294" s="941"/>
    </row>
    <row r="1295" spans="10:23" s="1011" customFormat="1" x14ac:dyDescent="0.2">
      <c r="J1295" s="1030"/>
      <c r="K1295" s="1030"/>
      <c r="L1295" s="1030"/>
      <c r="M1295" s="1030"/>
      <c r="N1295" s="1030"/>
      <c r="O1295" s="1030"/>
      <c r="P1295" s="1030"/>
      <c r="Q1295" s="1030"/>
      <c r="R1295" s="1030"/>
      <c r="S1295" s="1031"/>
      <c r="T1295" s="952"/>
      <c r="U1295" s="941"/>
      <c r="V1295" s="941"/>
      <c r="W1295" s="941"/>
    </row>
    <row r="1296" spans="10:23" s="1011" customFormat="1" x14ac:dyDescent="0.2">
      <c r="J1296" s="1030"/>
      <c r="K1296" s="1030"/>
      <c r="L1296" s="1030"/>
      <c r="M1296" s="1030"/>
      <c r="N1296" s="1030"/>
      <c r="O1296" s="1030"/>
      <c r="P1296" s="1030"/>
      <c r="Q1296" s="1030"/>
      <c r="R1296" s="1030"/>
      <c r="S1296" s="1031"/>
      <c r="T1296" s="952"/>
      <c r="U1296" s="941"/>
      <c r="V1296" s="941"/>
      <c r="W1296" s="941"/>
    </row>
    <row r="1297" spans="10:23" s="1011" customFormat="1" x14ac:dyDescent="0.2">
      <c r="J1297" s="1030"/>
      <c r="K1297" s="1030"/>
      <c r="L1297" s="1030"/>
      <c r="M1297" s="1030"/>
      <c r="N1297" s="1030"/>
      <c r="O1297" s="1030"/>
      <c r="P1297" s="1030"/>
      <c r="Q1297" s="1030"/>
      <c r="R1297" s="1030"/>
      <c r="S1297" s="1031"/>
      <c r="T1297" s="952"/>
      <c r="U1297" s="941"/>
      <c r="V1297" s="941"/>
      <c r="W1297" s="941"/>
    </row>
    <row r="1298" spans="10:23" s="1011" customFormat="1" x14ac:dyDescent="0.2">
      <c r="J1298" s="1030"/>
      <c r="K1298" s="1030"/>
      <c r="L1298" s="1030"/>
      <c r="M1298" s="1030"/>
      <c r="N1298" s="1030"/>
      <c r="O1298" s="1030"/>
      <c r="P1298" s="1030"/>
      <c r="Q1298" s="1030"/>
      <c r="R1298" s="1030"/>
      <c r="S1298" s="1031"/>
      <c r="T1298" s="952"/>
      <c r="U1298" s="941"/>
      <c r="V1298" s="941"/>
      <c r="W1298" s="941"/>
    </row>
    <row r="1299" spans="10:23" s="1011" customFormat="1" x14ac:dyDescent="0.2">
      <c r="J1299" s="1030"/>
      <c r="K1299" s="1030"/>
      <c r="L1299" s="1030"/>
      <c r="M1299" s="1030"/>
      <c r="N1299" s="1030"/>
      <c r="O1299" s="1030"/>
      <c r="P1299" s="1030"/>
      <c r="Q1299" s="1030"/>
      <c r="R1299" s="1030"/>
      <c r="S1299" s="1031"/>
      <c r="T1299" s="952"/>
      <c r="U1299" s="941"/>
      <c r="V1299" s="941"/>
      <c r="W1299" s="941"/>
    </row>
    <row r="1300" spans="10:23" s="1011" customFormat="1" x14ac:dyDescent="0.2">
      <c r="J1300" s="1030"/>
      <c r="K1300" s="1030"/>
      <c r="L1300" s="1030"/>
      <c r="M1300" s="1030"/>
      <c r="N1300" s="1030"/>
      <c r="O1300" s="1030"/>
      <c r="P1300" s="1030"/>
      <c r="Q1300" s="1030"/>
      <c r="R1300" s="1030"/>
      <c r="S1300" s="1031"/>
      <c r="T1300" s="952"/>
      <c r="U1300" s="941"/>
      <c r="V1300" s="941"/>
      <c r="W1300" s="941"/>
    </row>
    <row r="1301" spans="10:23" s="1011" customFormat="1" x14ac:dyDescent="0.2">
      <c r="J1301" s="1030"/>
      <c r="K1301" s="1030"/>
      <c r="L1301" s="1030"/>
      <c r="M1301" s="1030"/>
      <c r="N1301" s="1030"/>
      <c r="O1301" s="1030"/>
      <c r="P1301" s="1030"/>
      <c r="Q1301" s="1030"/>
      <c r="R1301" s="1030"/>
      <c r="S1301" s="1031"/>
      <c r="T1301" s="952"/>
      <c r="U1301" s="941"/>
      <c r="V1301" s="941"/>
      <c r="W1301" s="941"/>
    </row>
    <row r="1302" spans="10:23" s="1011" customFormat="1" x14ac:dyDescent="0.2">
      <c r="J1302" s="1030"/>
      <c r="K1302" s="1030"/>
      <c r="L1302" s="1030"/>
      <c r="M1302" s="1030"/>
      <c r="N1302" s="1030"/>
      <c r="O1302" s="1030"/>
      <c r="P1302" s="1030"/>
      <c r="Q1302" s="1030"/>
      <c r="R1302" s="1030"/>
      <c r="S1302" s="1031"/>
      <c r="T1302" s="952"/>
      <c r="U1302" s="941"/>
      <c r="V1302" s="941"/>
      <c r="W1302" s="941"/>
    </row>
    <row r="1303" spans="10:23" s="1011" customFormat="1" x14ac:dyDescent="0.2">
      <c r="J1303" s="1030"/>
      <c r="K1303" s="1030"/>
      <c r="L1303" s="1030"/>
      <c r="M1303" s="1030"/>
      <c r="N1303" s="1030"/>
      <c r="O1303" s="1030"/>
      <c r="P1303" s="1030"/>
      <c r="Q1303" s="1030"/>
      <c r="R1303" s="1030"/>
      <c r="S1303" s="1031"/>
      <c r="T1303" s="952"/>
      <c r="U1303" s="941"/>
      <c r="V1303" s="941"/>
      <c r="W1303" s="941"/>
    </row>
    <row r="1304" spans="10:23" s="1011" customFormat="1" x14ac:dyDescent="0.2">
      <c r="J1304" s="1030"/>
      <c r="K1304" s="1030"/>
      <c r="L1304" s="1030"/>
      <c r="M1304" s="1030"/>
      <c r="N1304" s="1030"/>
      <c r="O1304" s="1030"/>
      <c r="P1304" s="1030"/>
      <c r="Q1304" s="1030"/>
      <c r="R1304" s="1030"/>
      <c r="S1304" s="1031"/>
      <c r="T1304" s="952"/>
      <c r="U1304" s="941"/>
      <c r="V1304" s="941"/>
      <c r="W1304" s="941"/>
    </row>
    <row r="1305" spans="10:23" s="1011" customFormat="1" x14ac:dyDescent="0.2">
      <c r="J1305" s="1030"/>
      <c r="K1305" s="1030"/>
      <c r="L1305" s="1030"/>
      <c r="M1305" s="1030"/>
      <c r="N1305" s="1030"/>
      <c r="O1305" s="1030"/>
      <c r="P1305" s="1030"/>
      <c r="Q1305" s="1030"/>
      <c r="R1305" s="1030"/>
      <c r="S1305" s="1031"/>
      <c r="T1305" s="952"/>
      <c r="U1305" s="941"/>
      <c r="V1305" s="941"/>
      <c r="W1305" s="941"/>
    </row>
    <row r="1306" spans="10:23" s="1011" customFormat="1" x14ac:dyDescent="0.2">
      <c r="J1306" s="1030"/>
      <c r="K1306" s="1030"/>
      <c r="L1306" s="1030"/>
      <c r="M1306" s="1030"/>
      <c r="N1306" s="1030"/>
      <c r="O1306" s="1030"/>
      <c r="P1306" s="1030"/>
      <c r="Q1306" s="1030"/>
      <c r="R1306" s="1030"/>
      <c r="S1306" s="1031"/>
      <c r="T1306" s="952"/>
      <c r="U1306" s="941"/>
      <c r="V1306" s="941"/>
      <c r="W1306" s="941"/>
    </row>
    <row r="1307" spans="10:23" s="1011" customFormat="1" x14ac:dyDescent="0.2">
      <c r="J1307" s="1030"/>
      <c r="K1307" s="1030"/>
      <c r="L1307" s="1030"/>
      <c r="M1307" s="1030"/>
      <c r="N1307" s="1030"/>
      <c r="O1307" s="1030"/>
      <c r="P1307" s="1030"/>
      <c r="Q1307" s="1030"/>
      <c r="R1307" s="1030"/>
      <c r="S1307" s="1031"/>
      <c r="T1307" s="952"/>
      <c r="U1307" s="941"/>
      <c r="V1307" s="941"/>
      <c r="W1307" s="941"/>
    </row>
    <row r="1308" spans="10:23" s="1011" customFormat="1" x14ac:dyDescent="0.2">
      <c r="J1308" s="1030"/>
      <c r="K1308" s="1030"/>
      <c r="L1308" s="1030"/>
      <c r="M1308" s="1030"/>
      <c r="N1308" s="1030"/>
      <c r="O1308" s="1030"/>
      <c r="P1308" s="1030"/>
      <c r="Q1308" s="1030"/>
      <c r="R1308" s="1030"/>
      <c r="S1308" s="1031"/>
      <c r="T1308" s="952"/>
      <c r="U1308" s="941"/>
      <c r="V1308" s="941"/>
      <c r="W1308" s="941"/>
    </row>
    <row r="1309" spans="10:23" s="1011" customFormat="1" x14ac:dyDescent="0.2">
      <c r="J1309" s="1030"/>
      <c r="K1309" s="1030"/>
      <c r="L1309" s="1030"/>
      <c r="M1309" s="1030"/>
      <c r="N1309" s="1030"/>
      <c r="O1309" s="1030"/>
      <c r="P1309" s="1030"/>
      <c r="Q1309" s="1030"/>
      <c r="R1309" s="1030"/>
      <c r="S1309" s="1031"/>
      <c r="T1309" s="952"/>
      <c r="U1309" s="941"/>
      <c r="V1309" s="941"/>
      <c r="W1309" s="941"/>
    </row>
    <row r="1310" spans="10:23" s="1011" customFormat="1" x14ac:dyDescent="0.2">
      <c r="J1310" s="1030"/>
      <c r="K1310" s="1030"/>
      <c r="L1310" s="1030"/>
      <c r="M1310" s="1030"/>
      <c r="N1310" s="1030"/>
      <c r="O1310" s="1030"/>
      <c r="P1310" s="1030"/>
      <c r="Q1310" s="1030"/>
      <c r="R1310" s="1030"/>
      <c r="S1310" s="1031"/>
      <c r="T1310" s="952"/>
      <c r="U1310" s="941"/>
      <c r="V1310" s="941"/>
      <c r="W1310" s="941"/>
    </row>
    <row r="1311" spans="10:23" s="1011" customFormat="1" x14ac:dyDescent="0.2">
      <c r="J1311" s="1030"/>
      <c r="K1311" s="1030"/>
      <c r="L1311" s="1030"/>
      <c r="M1311" s="1030"/>
      <c r="N1311" s="1030"/>
      <c r="O1311" s="1030"/>
      <c r="P1311" s="1030"/>
      <c r="Q1311" s="1030"/>
      <c r="R1311" s="1030"/>
      <c r="S1311" s="1031"/>
      <c r="T1311" s="952"/>
      <c r="U1311" s="941"/>
      <c r="V1311" s="941"/>
      <c r="W1311" s="941"/>
    </row>
    <row r="1312" spans="10:23" s="1011" customFormat="1" x14ac:dyDescent="0.2">
      <c r="J1312" s="1030"/>
      <c r="K1312" s="1030"/>
      <c r="L1312" s="1030"/>
      <c r="M1312" s="1030"/>
      <c r="N1312" s="1030"/>
      <c r="O1312" s="1030"/>
      <c r="P1312" s="1030"/>
      <c r="Q1312" s="1030"/>
      <c r="R1312" s="1030"/>
      <c r="S1312" s="1031"/>
      <c r="T1312" s="952"/>
      <c r="U1312" s="941"/>
      <c r="V1312" s="941"/>
      <c r="W1312" s="941"/>
    </row>
    <row r="1313" spans="10:23" s="1011" customFormat="1" x14ac:dyDescent="0.2">
      <c r="J1313" s="1030"/>
      <c r="K1313" s="1030"/>
      <c r="L1313" s="1030"/>
      <c r="M1313" s="1030"/>
      <c r="N1313" s="1030"/>
      <c r="O1313" s="1030"/>
      <c r="P1313" s="1030"/>
      <c r="Q1313" s="1030"/>
      <c r="R1313" s="1030"/>
      <c r="S1313" s="1031"/>
      <c r="T1313" s="952"/>
      <c r="U1313" s="941"/>
      <c r="V1313" s="941"/>
      <c r="W1313" s="941"/>
    </row>
    <row r="1314" spans="10:23" s="1011" customFormat="1" x14ac:dyDescent="0.2">
      <c r="J1314" s="1030"/>
      <c r="K1314" s="1030"/>
      <c r="L1314" s="1030"/>
      <c r="M1314" s="1030"/>
      <c r="N1314" s="1030"/>
      <c r="O1314" s="1030"/>
      <c r="P1314" s="1030"/>
      <c r="Q1314" s="1030"/>
      <c r="R1314" s="1030"/>
      <c r="S1314" s="1031"/>
      <c r="T1314" s="952"/>
      <c r="U1314" s="941"/>
      <c r="V1314" s="941"/>
      <c r="W1314" s="941"/>
    </row>
    <row r="1315" spans="10:23" s="1011" customFormat="1" x14ac:dyDescent="0.2">
      <c r="J1315" s="1030"/>
      <c r="K1315" s="1030"/>
      <c r="L1315" s="1030"/>
      <c r="M1315" s="1030"/>
      <c r="N1315" s="1030"/>
      <c r="O1315" s="1030"/>
      <c r="P1315" s="1030"/>
      <c r="Q1315" s="1030"/>
      <c r="R1315" s="1030"/>
      <c r="S1315" s="1031"/>
      <c r="T1315" s="952"/>
      <c r="U1315" s="941"/>
      <c r="V1315" s="941"/>
      <c r="W1315" s="941"/>
    </row>
    <row r="1316" spans="10:23" s="1011" customFormat="1" x14ac:dyDescent="0.2">
      <c r="J1316" s="1030"/>
      <c r="K1316" s="1030"/>
      <c r="L1316" s="1030"/>
      <c r="M1316" s="1030"/>
      <c r="N1316" s="1030"/>
      <c r="O1316" s="1030"/>
      <c r="P1316" s="1030"/>
      <c r="Q1316" s="1030"/>
      <c r="R1316" s="1030"/>
      <c r="S1316" s="1031"/>
      <c r="T1316" s="952"/>
      <c r="U1316" s="941"/>
      <c r="V1316" s="941"/>
      <c r="W1316" s="941"/>
    </row>
    <row r="1317" spans="10:23" s="1011" customFormat="1" x14ac:dyDescent="0.2">
      <c r="J1317" s="1030"/>
      <c r="K1317" s="1030"/>
      <c r="L1317" s="1030"/>
      <c r="M1317" s="1030"/>
      <c r="N1317" s="1030"/>
      <c r="O1317" s="1030"/>
      <c r="P1317" s="1030"/>
      <c r="Q1317" s="1030"/>
      <c r="R1317" s="1030"/>
      <c r="S1317" s="1031"/>
      <c r="T1317" s="952"/>
      <c r="U1317" s="941"/>
      <c r="V1317" s="941"/>
      <c r="W1317" s="941"/>
    </row>
    <row r="1318" spans="10:23" s="1011" customFormat="1" x14ac:dyDescent="0.2">
      <c r="J1318" s="1030"/>
      <c r="K1318" s="1030"/>
      <c r="L1318" s="1030"/>
      <c r="M1318" s="1030"/>
      <c r="N1318" s="1030"/>
      <c r="O1318" s="1030"/>
      <c r="P1318" s="1030"/>
      <c r="Q1318" s="1030"/>
      <c r="R1318" s="1030"/>
      <c r="S1318" s="1031"/>
      <c r="T1318" s="952"/>
      <c r="U1318" s="941"/>
      <c r="V1318" s="941"/>
      <c r="W1318" s="941"/>
    </row>
    <row r="1319" spans="10:23" s="1011" customFormat="1" x14ac:dyDescent="0.2">
      <c r="J1319" s="1030"/>
      <c r="K1319" s="1030"/>
      <c r="L1319" s="1030"/>
      <c r="M1319" s="1030"/>
      <c r="N1319" s="1030"/>
      <c r="O1319" s="1030"/>
      <c r="P1319" s="1030"/>
      <c r="Q1319" s="1030"/>
      <c r="R1319" s="1030"/>
      <c r="S1319" s="1031"/>
      <c r="T1319" s="952"/>
      <c r="U1319" s="941"/>
      <c r="V1319" s="941"/>
      <c r="W1319" s="941"/>
    </row>
    <row r="1320" spans="10:23" s="1011" customFormat="1" x14ac:dyDescent="0.2">
      <c r="J1320" s="1030"/>
      <c r="K1320" s="1030"/>
      <c r="L1320" s="1030"/>
      <c r="M1320" s="1030"/>
      <c r="N1320" s="1030"/>
      <c r="O1320" s="1030"/>
      <c r="P1320" s="1030"/>
      <c r="Q1320" s="1030"/>
      <c r="R1320" s="1030"/>
      <c r="S1320" s="1031"/>
      <c r="T1320" s="952"/>
      <c r="U1320" s="941"/>
      <c r="V1320" s="941"/>
      <c r="W1320" s="941"/>
    </row>
    <row r="1321" spans="10:23" s="1011" customFormat="1" x14ac:dyDescent="0.2">
      <c r="J1321" s="1030"/>
      <c r="K1321" s="1030"/>
      <c r="L1321" s="1030"/>
      <c r="M1321" s="1030"/>
      <c r="N1321" s="1030"/>
      <c r="O1321" s="1030"/>
      <c r="P1321" s="1030"/>
      <c r="Q1321" s="1030"/>
      <c r="R1321" s="1030"/>
      <c r="S1321" s="1031"/>
      <c r="T1321" s="952"/>
      <c r="U1321" s="941"/>
      <c r="V1321" s="941"/>
      <c r="W1321" s="941"/>
    </row>
    <row r="1322" spans="10:23" s="1011" customFormat="1" x14ac:dyDescent="0.2">
      <c r="J1322" s="1030"/>
      <c r="K1322" s="1030"/>
      <c r="L1322" s="1030"/>
      <c r="M1322" s="1030"/>
      <c r="N1322" s="1030"/>
      <c r="O1322" s="1030"/>
      <c r="P1322" s="1030"/>
      <c r="Q1322" s="1030"/>
      <c r="R1322" s="1030"/>
      <c r="S1322" s="1031"/>
      <c r="T1322" s="952"/>
      <c r="U1322" s="941"/>
      <c r="V1322" s="941"/>
      <c r="W1322" s="941"/>
    </row>
    <row r="1323" spans="10:23" s="1011" customFormat="1" x14ac:dyDescent="0.2">
      <c r="J1323" s="1030"/>
      <c r="K1323" s="1030"/>
      <c r="L1323" s="1030"/>
      <c r="M1323" s="1030"/>
      <c r="N1323" s="1030"/>
      <c r="O1323" s="1030"/>
      <c r="P1323" s="1030"/>
      <c r="Q1323" s="1030"/>
      <c r="R1323" s="1030"/>
      <c r="S1323" s="1031"/>
      <c r="T1323" s="952"/>
      <c r="U1323" s="941"/>
      <c r="V1323" s="941"/>
      <c r="W1323" s="941"/>
    </row>
    <row r="1324" spans="10:23" s="1011" customFormat="1" x14ac:dyDescent="0.2">
      <c r="J1324" s="1030"/>
      <c r="K1324" s="1030"/>
      <c r="L1324" s="1030"/>
      <c r="M1324" s="1030"/>
      <c r="N1324" s="1030"/>
      <c r="O1324" s="1030"/>
      <c r="P1324" s="1030"/>
      <c r="Q1324" s="1030"/>
      <c r="R1324" s="1030"/>
      <c r="S1324" s="1031"/>
      <c r="T1324" s="952"/>
      <c r="U1324" s="941"/>
      <c r="V1324" s="941"/>
      <c r="W1324" s="941"/>
    </row>
    <row r="1325" spans="10:23" s="1011" customFormat="1" x14ac:dyDescent="0.2">
      <c r="J1325" s="1030"/>
      <c r="K1325" s="1030"/>
      <c r="L1325" s="1030"/>
      <c r="M1325" s="1030"/>
      <c r="N1325" s="1030"/>
      <c r="O1325" s="1030"/>
      <c r="P1325" s="1030"/>
      <c r="Q1325" s="1030"/>
      <c r="R1325" s="1030"/>
      <c r="S1325" s="1031"/>
      <c r="T1325" s="952"/>
      <c r="U1325" s="941"/>
      <c r="V1325" s="941"/>
      <c r="W1325" s="941"/>
    </row>
    <row r="1326" spans="10:23" s="1011" customFormat="1" x14ac:dyDescent="0.2">
      <c r="J1326" s="1030"/>
      <c r="K1326" s="1030"/>
      <c r="L1326" s="1030"/>
      <c r="M1326" s="1030"/>
      <c r="N1326" s="1030"/>
      <c r="O1326" s="1030"/>
      <c r="P1326" s="1030"/>
      <c r="Q1326" s="1030"/>
      <c r="R1326" s="1030"/>
      <c r="S1326" s="1031"/>
      <c r="T1326" s="952"/>
      <c r="U1326" s="941"/>
      <c r="V1326" s="941"/>
      <c r="W1326" s="941"/>
    </row>
    <row r="1327" spans="10:23" s="1011" customFormat="1" x14ac:dyDescent="0.2">
      <c r="J1327" s="1030"/>
      <c r="K1327" s="1030"/>
      <c r="L1327" s="1030"/>
      <c r="M1327" s="1030"/>
      <c r="N1327" s="1030"/>
      <c r="O1327" s="1030"/>
      <c r="P1327" s="1030"/>
      <c r="Q1327" s="1030"/>
      <c r="R1327" s="1030"/>
      <c r="S1327" s="1031"/>
      <c r="T1327" s="952"/>
      <c r="U1327" s="941"/>
      <c r="V1327" s="941"/>
      <c r="W1327" s="941"/>
    </row>
    <row r="1328" spans="10:23" s="1011" customFormat="1" x14ac:dyDescent="0.2">
      <c r="J1328" s="1030"/>
      <c r="K1328" s="1030"/>
      <c r="L1328" s="1030"/>
      <c r="M1328" s="1030"/>
      <c r="N1328" s="1030"/>
      <c r="O1328" s="1030"/>
      <c r="P1328" s="1030"/>
      <c r="Q1328" s="1030"/>
      <c r="R1328" s="1030"/>
      <c r="S1328" s="1031"/>
      <c r="T1328" s="952"/>
      <c r="U1328" s="941"/>
      <c r="V1328" s="941"/>
      <c r="W1328" s="941"/>
    </row>
    <row r="1329" spans="10:23" s="1011" customFormat="1" x14ac:dyDescent="0.2">
      <c r="J1329" s="1030"/>
      <c r="K1329" s="1030"/>
      <c r="L1329" s="1030"/>
      <c r="M1329" s="1030"/>
      <c r="N1329" s="1030"/>
      <c r="O1329" s="1030"/>
      <c r="P1329" s="1030"/>
      <c r="Q1329" s="1030"/>
      <c r="R1329" s="1030"/>
      <c r="S1329" s="1031"/>
      <c r="T1329" s="952"/>
      <c r="U1329" s="941"/>
      <c r="V1329" s="941"/>
      <c r="W1329" s="941"/>
    </row>
    <row r="1330" spans="10:23" s="1011" customFormat="1" x14ac:dyDescent="0.2">
      <c r="J1330" s="1030"/>
      <c r="K1330" s="1030"/>
      <c r="L1330" s="1030"/>
      <c r="M1330" s="1030"/>
      <c r="N1330" s="1030"/>
      <c r="O1330" s="1030"/>
      <c r="P1330" s="1030"/>
      <c r="Q1330" s="1030"/>
      <c r="R1330" s="1030"/>
      <c r="S1330" s="1031"/>
      <c r="T1330" s="952"/>
      <c r="U1330" s="941"/>
      <c r="V1330" s="941"/>
      <c r="W1330" s="941"/>
    </row>
    <row r="1331" spans="10:23" s="1011" customFormat="1" x14ac:dyDescent="0.2">
      <c r="J1331" s="1030"/>
      <c r="K1331" s="1030"/>
      <c r="L1331" s="1030"/>
      <c r="M1331" s="1030"/>
      <c r="N1331" s="1030"/>
      <c r="O1331" s="1030"/>
      <c r="P1331" s="1030"/>
      <c r="Q1331" s="1030"/>
      <c r="R1331" s="1030"/>
      <c r="S1331" s="1031"/>
      <c r="T1331" s="952"/>
      <c r="U1331" s="941"/>
      <c r="V1331" s="941"/>
      <c r="W1331" s="941"/>
    </row>
    <row r="1332" spans="10:23" s="1011" customFormat="1" x14ac:dyDescent="0.2">
      <c r="J1332" s="1030"/>
      <c r="K1332" s="1030"/>
      <c r="L1332" s="1030"/>
      <c r="M1332" s="1030"/>
      <c r="N1332" s="1030"/>
      <c r="O1332" s="1030"/>
      <c r="P1332" s="1030"/>
      <c r="Q1332" s="1030"/>
      <c r="R1332" s="1030"/>
      <c r="S1332" s="1031"/>
      <c r="T1332" s="952"/>
      <c r="U1332" s="941"/>
      <c r="V1332" s="941"/>
      <c r="W1332" s="941"/>
    </row>
    <row r="1333" spans="10:23" s="1011" customFormat="1" x14ac:dyDescent="0.2">
      <c r="J1333" s="1030"/>
      <c r="K1333" s="1030"/>
      <c r="L1333" s="1030"/>
      <c r="M1333" s="1030"/>
      <c r="N1333" s="1030"/>
      <c r="O1333" s="1030"/>
      <c r="P1333" s="1030"/>
      <c r="Q1333" s="1030"/>
      <c r="R1333" s="1030"/>
      <c r="S1333" s="1031"/>
      <c r="T1333" s="952"/>
      <c r="U1333" s="941"/>
      <c r="V1333" s="941"/>
      <c r="W1333" s="941"/>
    </row>
    <row r="1334" spans="10:23" s="1011" customFormat="1" x14ac:dyDescent="0.2">
      <c r="J1334" s="1030"/>
      <c r="K1334" s="1030"/>
      <c r="L1334" s="1030"/>
      <c r="M1334" s="1030"/>
      <c r="N1334" s="1030"/>
      <c r="O1334" s="1030"/>
      <c r="P1334" s="1030"/>
      <c r="Q1334" s="1030"/>
      <c r="R1334" s="1030"/>
      <c r="S1334" s="1031"/>
      <c r="T1334" s="952"/>
      <c r="U1334" s="941"/>
      <c r="V1334" s="941"/>
      <c r="W1334" s="941"/>
    </row>
    <row r="1335" spans="10:23" s="1011" customFormat="1" x14ac:dyDescent="0.2">
      <c r="J1335" s="1030"/>
      <c r="K1335" s="1030"/>
      <c r="L1335" s="1030"/>
      <c r="M1335" s="1030"/>
      <c r="N1335" s="1030"/>
      <c r="O1335" s="1030"/>
      <c r="P1335" s="1030"/>
      <c r="Q1335" s="1030"/>
      <c r="R1335" s="1030"/>
      <c r="S1335" s="1031"/>
      <c r="T1335" s="952"/>
      <c r="U1335" s="941"/>
      <c r="V1335" s="941"/>
      <c r="W1335" s="941"/>
    </row>
    <row r="1336" spans="10:23" s="1011" customFormat="1" x14ac:dyDescent="0.2">
      <c r="J1336" s="1030"/>
      <c r="K1336" s="1030"/>
      <c r="L1336" s="1030"/>
      <c r="M1336" s="1030"/>
      <c r="N1336" s="1030"/>
      <c r="O1336" s="1030"/>
      <c r="P1336" s="1030"/>
      <c r="Q1336" s="1030"/>
      <c r="R1336" s="1030"/>
      <c r="S1336" s="1031"/>
      <c r="T1336" s="952"/>
      <c r="U1336" s="941"/>
      <c r="V1336" s="941"/>
      <c r="W1336" s="941"/>
    </row>
    <row r="1337" spans="10:23" s="1011" customFormat="1" x14ac:dyDescent="0.2">
      <c r="J1337" s="1030"/>
      <c r="K1337" s="1030"/>
      <c r="L1337" s="1030"/>
      <c r="M1337" s="1030"/>
      <c r="N1337" s="1030"/>
      <c r="O1337" s="1030"/>
      <c r="P1337" s="1030"/>
      <c r="Q1337" s="1030"/>
      <c r="R1337" s="1030"/>
      <c r="S1337" s="1031"/>
      <c r="T1337" s="952"/>
      <c r="U1337" s="941"/>
      <c r="V1337" s="941"/>
      <c r="W1337" s="941"/>
    </row>
    <row r="1338" spans="10:23" s="1011" customFormat="1" x14ac:dyDescent="0.2">
      <c r="J1338" s="1030"/>
      <c r="K1338" s="1030"/>
      <c r="L1338" s="1030"/>
      <c r="M1338" s="1030"/>
      <c r="N1338" s="1030"/>
      <c r="O1338" s="1030"/>
      <c r="P1338" s="1030"/>
      <c r="Q1338" s="1030"/>
      <c r="R1338" s="1030"/>
      <c r="S1338" s="1031"/>
      <c r="T1338" s="952"/>
      <c r="U1338" s="941"/>
      <c r="V1338" s="941"/>
      <c r="W1338" s="941"/>
    </row>
    <row r="1339" spans="10:23" s="1011" customFormat="1" x14ac:dyDescent="0.2">
      <c r="J1339" s="1030"/>
      <c r="K1339" s="1030"/>
      <c r="L1339" s="1030"/>
      <c r="M1339" s="1030"/>
      <c r="N1339" s="1030"/>
      <c r="O1339" s="1030"/>
      <c r="P1339" s="1030"/>
      <c r="Q1339" s="1030"/>
      <c r="R1339" s="1030"/>
      <c r="S1339" s="1031"/>
      <c r="T1339" s="952"/>
      <c r="U1339" s="941"/>
      <c r="V1339" s="941"/>
      <c r="W1339" s="941"/>
    </row>
    <row r="1340" spans="10:23" s="1011" customFormat="1" x14ac:dyDescent="0.2">
      <c r="J1340" s="1030"/>
      <c r="K1340" s="1030"/>
      <c r="L1340" s="1030"/>
      <c r="M1340" s="1030"/>
      <c r="N1340" s="1030"/>
      <c r="O1340" s="1030"/>
      <c r="P1340" s="1030"/>
      <c r="Q1340" s="1030"/>
      <c r="R1340" s="1030"/>
      <c r="S1340" s="1031"/>
      <c r="T1340" s="952"/>
      <c r="U1340" s="941"/>
      <c r="V1340" s="941"/>
      <c r="W1340" s="941"/>
    </row>
    <row r="1341" spans="10:23" s="1011" customFormat="1" x14ac:dyDescent="0.2">
      <c r="J1341" s="1030"/>
      <c r="K1341" s="1030"/>
      <c r="L1341" s="1030"/>
      <c r="M1341" s="1030"/>
      <c r="N1341" s="1030"/>
      <c r="O1341" s="1030"/>
      <c r="P1341" s="1030"/>
      <c r="Q1341" s="1030"/>
      <c r="R1341" s="1030"/>
      <c r="S1341" s="1031"/>
      <c r="T1341" s="952"/>
      <c r="U1341" s="941"/>
      <c r="V1341" s="941"/>
      <c r="W1341" s="941"/>
    </row>
    <row r="1342" spans="10:23" s="1011" customFormat="1" x14ac:dyDescent="0.2">
      <c r="J1342" s="1030"/>
      <c r="K1342" s="1030"/>
      <c r="L1342" s="1030"/>
      <c r="M1342" s="1030"/>
      <c r="N1342" s="1030"/>
      <c r="O1342" s="1030"/>
      <c r="P1342" s="1030"/>
      <c r="Q1342" s="1030"/>
      <c r="R1342" s="1030"/>
      <c r="S1342" s="1031"/>
      <c r="T1342" s="952"/>
      <c r="U1342" s="941"/>
      <c r="V1342" s="941"/>
      <c r="W1342" s="941"/>
    </row>
    <row r="1343" spans="10:23" s="1011" customFormat="1" x14ac:dyDescent="0.2">
      <c r="J1343" s="1030"/>
      <c r="K1343" s="1030"/>
      <c r="L1343" s="1030"/>
      <c r="M1343" s="1030"/>
      <c r="N1343" s="1030"/>
      <c r="O1343" s="1030"/>
      <c r="P1343" s="1030"/>
      <c r="Q1343" s="1030"/>
      <c r="R1343" s="1030"/>
      <c r="S1343" s="1031"/>
      <c r="T1343" s="952"/>
      <c r="U1343" s="941"/>
      <c r="V1343" s="941"/>
      <c r="W1343" s="941"/>
    </row>
    <row r="1344" spans="10:23" s="1011" customFormat="1" x14ac:dyDescent="0.2">
      <c r="J1344" s="1030"/>
      <c r="K1344" s="1030"/>
      <c r="L1344" s="1030"/>
      <c r="M1344" s="1030"/>
      <c r="N1344" s="1030"/>
      <c r="O1344" s="1030"/>
      <c r="P1344" s="1030"/>
      <c r="Q1344" s="1030"/>
      <c r="R1344" s="1030"/>
      <c r="S1344" s="1031"/>
      <c r="T1344" s="952"/>
      <c r="U1344" s="941"/>
      <c r="V1344" s="941"/>
      <c r="W1344" s="941"/>
    </row>
    <row r="1345" spans="10:23" s="1011" customFormat="1" x14ac:dyDescent="0.2">
      <c r="J1345" s="1030"/>
      <c r="K1345" s="1030"/>
      <c r="L1345" s="1030"/>
      <c r="M1345" s="1030"/>
      <c r="N1345" s="1030"/>
      <c r="O1345" s="1030"/>
      <c r="P1345" s="1030"/>
      <c r="Q1345" s="1030"/>
      <c r="R1345" s="1030"/>
      <c r="S1345" s="1031"/>
      <c r="T1345" s="952"/>
      <c r="U1345" s="941"/>
      <c r="V1345" s="941"/>
      <c r="W1345" s="941"/>
    </row>
    <row r="1346" spans="10:23" s="1011" customFormat="1" x14ac:dyDescent="0.2">
      <c r="J1346" s="1030"/>
      <c r="K1346" s="1030"/>
      <c r="L1346" s="1030"/>
      <c r="M1346" s="1030"/>
      <c r="N1346" s="1030"/>
      <c r="O1346" s="1030"/>
      <c r="P1346" s="1030"/>
      <c r="Q1346" s="1030"/>
      <c r="R1346" s="1030"/>
      <c r="S1346" s="1031"/>
      <c r="T1346" s="952"/>
      <c r="U1346" s="941"/>
      <c r="V1346" s="941"/>
      <c r="W1346" s="941"/>
    </row>
    <row r="1347" spans="10:23" s="1011" customFormat="1" x14ac:dyDescent="0.2">
      <c r="J1347" s="1030"/>
      <c r="K1347" s="1030"/>
      <c r="L1347" s="1030"/>
      <c r="M1347" s="1030"/>
      <c r="N1347" s="1030"/>
      <c r="O1347" s="1030"/>
      <c r="P1347" s="1030"/>
      <c r="Q1347" s="1030"/>
      <c r="R1347" s="1030"/>
      <c r="S1347" s="1031"/>
      <c r="T1347" s="952"/>
      <c r="U1347" s="941"/>
      <c r="V1347" s="941"/>
      <c r="W1347" s="941"/>
    </row>
    <row r="1348" spans="10:23" s="1011" customFormat="1" x14ac:dyDescent="0.2">
      <c r="J1348" s="1030"/>
      <c r="K1348" s="1030"/>
      <c r="L1348" s="1030"/>
      <c r="M1348" s="1030"/>
      <c r="N1348" s="1030"/>
      <c r="O1348" s="1030"/>
      <c r="P1348" s="1030"/>
      <c r="Q1348" s="1030"/>
      <c r="R1348" s="1030"/>
      <c r="S1348" s="1031"/>
      <c r="T1348" s="952"/>
      <c r="U1348" s="941"/>
      <c r="V1348" s="941"/>
      <c r="W1348" s="941"/>
    </row>
    <row r="1349" spans="10:23" s="1011" customFormat="1" x14ac:dyDescent="0.2">
      <c r="J1349" s="1030"/>
      <c r="K1349" s="1030"/>
      <c r="L1349" s="1030"/>
      <c r="M1349" s="1030"/>
      <c r="N1349" s="1030"/>
      <c r="O1349" s="1030"/>
      <c r="P1349" s="1030"/>
      <c r="Q1349" s="1030"/>
      <c r="R1349" s="1030"/>
      <c r="S1349" s="1031"/>
      <c r="T1349" s="952"/>
      <c r="U1349" s="941"/>
      <c r="V1349" s="941"/>
      <c r="W1349" s="941"/>
    </row>
    <row r="1350" spans="10:23" s="1011" customFormat="1" x14ac:dyDescent="0.2">
      <c r="J1350" s="1030"/>
      <c r="K1350" s="1030"/>
      <c r="L1350" s="1030"/>
      <c r="M1350" s="1030"/>
      <c r="N1350" s="1030"/>
      <c r="O1350" s="1030"/>
      <c r="P1350" s="1030"/>
      <c r="Q1350" s="1030"/>
      <c r="R1350" s="1030"/>
      <c r="S1350" s="1031"/>
      <c r="T1350" s="952"/>
      <c r="U1350" s="941"/>
      <c r="V1350" s="941"/>
      <c r="W1350" s="941"/>
    </row>
    <row r="1351" spans="10:23" s="1011" customFormat="1" x14ac:dyDescent="0.2">
      <c r="J1351" s="1030"/>
      <c r="K1351" s="1030"/>
      <c r="L1351" s="1030"/>
      <c r="M1351" s="1030"/>
      <c r="N1351" s="1030"/>
      <c r="O1351" s="1030"/>
      <c r="P1351" s="1030"/>
      <c r="Q1351" s="1030"/>
      <c r="R1351" s="1030"/>
      <c r="S1351" s="1031"/>
      <c r="T1351" s="952"/>
      <c r="U1351" s="941"/>
      <c r="V1351" s="941"/>
      <c r="W1351" s="941"/>
    </row>
    <row r="1352" spans="10:23" s="1011" customFormat="1" x14ac:dyDescent="0.2">
      <c r="J1352" s="1030"/>
      <c r="K1352" s="1030"/>
      <c r="L1352" s="1030"/>
      <c r="M1352" s="1030"/>
      <c r="N1352" s="1030"/>
      <c r="O1352" s="1030"/>
      <c r="P1352" s="1030"/>
      <c r="Q1352" s="1030"/>
      <c r="R1352" s="1030"/>
      <c r="S1352" s="1031"/>
      <c r="T1352" s="952"/>
      <c r="U1352" s="941"/>
      <c r="V1352" s="941"/>
      <c r="W1352" s="941"/>
    </row>
    <row r="1353" spans="10:23" s="1011" customFormat="1" x14ac:dyDescent="0.2">
      <c r="J1353" s="1030"/>
      <c r="K1353" s="1030"/>
      <c r="L1353" s="1030"/>
      <c r="M1353" s="1030"/>
      <c r="N1353" s="1030"/>
      <c r="O1353" s="1030"/>
      <c r="P1353" s="1030"/>
      <c r="Q1353" s="1030"/>
      <c r="R1353" s="1030"/>
      <c r="S1353" s="1031"/>
      <c r="T1353" s="952"/>
      <c r="U1353" s="941"/>
      <c r="V1353" s="941"/>
      <c r="W1353" s="941"/>
    </row>
    <row r="1354" spans="10:23" s="1011" customFormat="1" x14ac:dyDescent="0.2">
      <c r="J1354" s="1030"/>
      <c r="K1354" s="1030"/>
      <c r="L1354" s="1030"/>
      <c r="M1354" s="1030"/>
      <c r="N1354" s="1030"/>
      <c r="O1354" s="1030"/>
      <c r="P1354" s="1030"/>
      <c r="Q1354" s="1030"/>
      <c r="R1354" s="1030"/>
      <c r="S1354" s="1031"/>
      <c r="T1354" s="952"/>
      <c r="U1354" s="941"/>
      <c r="V1354" s="941"/>
      <c r="W1354" s="941"/>
    </row>
    <row r="1355" spans="10:23" s="1011" customFormat="1" x14ac:dyDescent="0.2">
      <c r="J1355" s="1030"/>
      <c r="K1355" s="1030"/>
      <c r="L1355" s="1030"/>
      <c r="M1355" s="1030"/>
      <c r="N1355" s="1030"/>
      <c r="O1355" s="1030"/>
      <c r="P1355" s="1030"/>
      <c r="Q1355" s="1030"/>
      <c r="R1355" s="1030"/>
      <c r="S1355" s="1031"/>
      <c r="T1355" s="952"/>
      <c r="U1355" s="941"/>
      <c r="V1355" s="941"/>
      <c r="W1355" s="941"/>
    </row>
    <row r="1356" spans="10:23" s="1011" customFormat="1" x14ac:dyDescent="0.2">
      <c r="J1356" s="1030"/>
      <c r="K1356" s="1030"/>
      <c r="L1356" s="1030"/>
      <c r="M1356" s="1030"/>
      <c r="N1356" s="1030"/>
      <c r="O1356" s="1030"/>
      <c r="P1356" s="1030"/>
      <c r="Q1356" s="1030"/>
      <c r="R1356" s="1030"/>
      <c r="S1356" s="1031"/>
      <c r="T1356" s="952"/>
      <c r="U1356" s="941"/>
      <c r="V1356" s="941"/>
      <c r="W1356" s="941"/>
    </row>
    <row r="1357" spans="10:23" s="1011" customFormat="1" x14ac:dyDescent="0.2">
      <c r="J1357" s="1030"/>
      <c r="K1357" s="1030"/>
      <c r="L1357" s="1030"/>
      <c r="M1357" s="1030"/>
      <c r="N1357" s="1030"/>
      <c r="O1357" s="1030"/>
      <c r="P1357" s="1030"/>
      <c r="Q1357" s="1030"/>
      <c r="R1357" s="1030"/>
      <c r="S1357" s="1031"/>
      <c r="T1357" s="952"/>
      <c r="U1357" s="941"/>
      <c r="V1357" s="941"/>
      <c r="W1357" s="941"/>
    </row>
    <row r="1358" spans="10:23" s="1011" customFormat="1" x14ac:dyDescent="0.2">
      <c r="J1358" s="1030"/>
      <c r="K1358" s="1030"/>
      <c r="L1358" s="1030"/>
      <c r="M1358" s="1030"/>
      <c r="N1358" s="1030"/>
      <c r="O1358" s="1030"/>
      <c r="P1358" s="1030"/>
      <c r="Q1358" s="1030"/>
      <c r="R1358" s="1030"/>
      <c r="S1358" s="1031"/>
      <c r="T1358" s="952"/>
      <c r="U1358" s="941"/>
      <c r="V1358" s="941"/>
      <c r="W1358" s="941"/>
    </row>
    <row r="1359" spans="10:23" s="1011" customFormat="1" x14ac:dyDescent="0.2">
      <c r="J1359" s="1030"/>
      <c r="K1359" s="1030"/>
      <c r="L1359" s="1030"/>
      <c r="M1359" s="1030"/>
      <c r="N1359" s="1030"/>
      <c r="O1359" s="1030"/>
      <c r="P1359" s="1030"/>
      <c r="Q1359" s="1030"/>
      <c r="R1359" s="1030"/>
      <c r="S1359" s="1031"/>
      <c r="T1359" s="952"/>
      <c r="U1359" s="941"/>
      <c r="V1359" s="941"/>
      <c r="W1359" s="941"/>
    </row>
    <row r="1360" spans="10:23" s="1011" customFormat="1" x14ac:dyDescent="0.2">
      <c r="J1360" s="1030"/>
      <c r="K1360" s="1030"/>
      <c r="L1360" s="1030"/>
      <c r="M1360" s="1030"/>
      <c r="N1360" s="1030"/>
      <c r="O1360" s="1030"/>
      <c r="P1360" s="1030"/>
      <c r="Q1360" s="1030"/>
      <c r="R1360" s="1030"/>
      <c r="S1360" s="1031"/>
      <c r="T1360" s="952"/>
      <c r="U1360" s="941"/>
      <c r="V1360" s="941"/>
      <c r="W1360" s="941"/>
    </row>
    <row r="1361" spans="10:23" s="1011" customFormat="1" x14ac:dyDescent="0.2">
      <c r="J1361" s="1030"/>
      <c r="K1361" s="1030"/>
      <c r="L1361" s="1030"/>
      <c r="M1361" s="1030"/>
      <c r="N1361" s="1030"/>
      <c r="O1361" s="1030"/>
      <c r="P1361" s="1030"/>
      <c r="Q1361" s="1030"/>
      <c r="R1361" s="1030"/>
      <c r="S1361" s="1031"/>
      <c r="T1361" s="952"/>
      <c r="U1361" s="941"/>
      <c r="V1361" s="941"/>
      <c r="W1361" s="941"/>
    </row>
    <row r="1362" spans="10:23" s="1011" customFormat="1" x14ac:dyDescent="0.2">
      <c r="J1362" s="1030"/>
      <c r="K1362" s="1030"/>
      <c r="L1362" s="1030"/>
      <c r="M1362" s="1030"/>
      <c r="N1362" s="1030"/>
      <c r="O1362" s="1030"/>
      <c r="P1362" s="1030"/>
      <c r="Q1362" s="1030"/>
      <c r="R1362" s="1030"/>
      <c r="S1362" s="1031"/>
      <c r="T1362" s="952"/>
      <c r="U1362" s="941"/>
      <c r="V1362" s="941"/>
      <c r="W1362" s="941"/>
    </row>
    <row r="1363" spans="10:23" s="1011" customFormat="1" x14ac:dyDescent="0.2">
      <c r="J1363" s="1030"/>
      <c r="K1363" s="1030"/>
      <c r="L1363" s="1030"/>
      <c r="M1363" s="1030"/>
      <c r="N1363" s="1030"/>
      <c r="O1363" s="1030"/>
      <c r="P1363" s="1030"/>
      <c r="Q1363" s="1030"/>
      <c r="R1363" s="1030"/>
      <c r="S1363" s="1031"/>
      <c r="T1363" s="952"/>
      <c r="U1363" s="941"/>
      <c r="V1363" s="941"/>
      <c r="W1363" s="941"/>
    </row>
    <row r="1364" spans="10:23" s="1011" customFormat="1" x14ac:dyDescent="0.2">
      <c r="J1364" s="1030"/>
      <c r="K1364" s="1030"/>
      <c r="L1364" s="1030"/>
      <c r="M1364" s="1030"/>
      <c r="N1364" s="1030"/>
      <c r="O1364" s="1030"/>
      <c r="P1364" s="1030"/>
      <c r="Q1364" s="1030"/>
      <c r="R1364" s="1030"/>
      <c r="S1364" s="1031"/>
      <c r="T1364" s="952"/>
      <c r="U1364" s="941"/>
      <c r="V1364" s="941"/>
      <c r="W1364" s="941"/>
    </row>
    <row r="1365" spans="10:23" s="1011" customFormat="1" x14ac:dyDescent="0.2">
      <c r="J1365" s="1030"/>
      <c r="K1365" s="1030"/>
      <c r="L1365" s="1030"/>
      <c r="M1365" s="1030"/>
      <c r="N1365" s="1030"/>
      <c r="O1365" s="1030"/>
      <c r="P1365" s="1030"/>
      <c r="Q1365" s="1030"/>
      <c r="R1365" s="1030"/>
      <c r="S1365" s="1031"/>
      <c r="T1365" s="952"/>
      <c r="U1365" s="941"/>
      <c r="V1365" s="941"/>
      <c r="W1365" s="941"/>
    </row>
    <row r="1366" spans="10:23" s="1011" customFormat="1" x14ac:dyDescent="0.2">
      <c r="J1366" s="1030"/>
      <c r="K1366" s="1030"/>
      <c r="L1366" s="1030"/>
      <c r="M1366" s="1030"/>
      <c r="N1366" s="1030"/>
      <c r="O1366" s="1030"/>
      <c r="P1366" s="1030"/>
      <c r="Q1366" s="1030"/>
      <c r="R1366" s="1030"/>
      <c r="S1366" s="1031"/>
      <c r="T1366" s="952"/>
      <c r="U1366" s="941"/>
      <c r="V1366" s="941"/>
      <c r="W1366" s="941"/>
    </row>
    <row r="1367" spans="10:23" s="1011" customFormat="1" x14ac:dyDescent="0.2">
      <c r="J1367" s="1030"/>
      <c r="K1367" s="1030"/>
      <c r="L1367" s="1030"/>
      <c r="M1367" s="1030"/>
      <c r="N1367" s="1030"/>
      <c r="O1367" s="1030"/>
      <c r="P1367" s="1030"/>
      <c r="Q1367" s="1030"/>
      <c r="R1367" s="1030"/>
      <c r="S1367" s="1031"/>
      <c r="T1367" s="952"/>
      <c r="U1367" s="941"/>
      <c r="V1367" s="941"/>
      <c r="W1367" s="941"/>
    </row>
    <row r="1368" spans="10:23" s="1011" customFormat="1" x14ac:dyDescent="0.2">
      <c r="J1368" s="1030"/>
      <c r="K1368" s="1030"/>
      <c r="L1368" s="1030"/>
      <c r="M1368" s="1030"/>
      <c r="N1368" s="1030"/>
      <c r="O1368" s="1030"/>
      <c r="P1368" s="1030"/>
      <c r="Q1368" s="1030"/>
      <c r="R1368" s="1030"/>
      <c r="S1368" s="1031"/>
      <c r="T1368" s="952"/>
      <c r="U1368" s="941"/>
      <c r="V1368" s="941"/>
      <c r="W1368" s="941"/>
    </row>
    <row r="1369" spans="10:23" s="1011" customFormat="1" x14ac:dyDescent="0.2">
      <c r="J1369" s="1030"/>
      <c r="K1369" s="1030"/>
      <c r="L1369" s="1030"/>
      <c r="M1369" s="1030"/>
      <c r="N1369" s="1030"/>
      <c r="O1369" s="1030"/>
      <c r="P1369" s="1030"/>
      <c r="Q1369" s="1030"/>
      <c r="R1369" s="1030"/>
      <c r="S1369" s="1031"/>
      <c r="T1369" s="952"/>
      <c r="U1369" s="941"/>
      <c r="V1369" s="941"/>
      <c r="W1369" s="941"/>
    </row>
    <row r="1370" spans="10:23" s="1011" customFormat="1" x14ac:dyDescent="0.2">
      <c r="J1370" s="1030"/>
      <c r="K1370" s="1030"/>
      <c r="L1370" s="1030"/>
      <c r="M1370" s="1030"/>
      <c r="N1370" s="1030"/>
      <c r="O1370" s="1030"/>
      <c r="P1370" s="1030"/>
      <c r="Q1370" s="1030"/>
      <c r="R1370" s="1030"/>
      <c r="S1370" s="1031"/>
      <c r="T1370" s="952"/>
      <c r="U1370" s="941"/>
      <c r="V1370" s="941"/>
      <c r="W1370" s="941"/>
    </row>
    <row r="1371" spans="10:23" s="1011" customFormat="1" x14ac:dyDescent="0.2">
      <c r="J1371" s="1030"/>
      <c r="K1371" s="1030"/>
      <c r="L1371" s="1030"/>
      <c r="M1371" s="1030"/>
      <c r="N1371" s="1030"/>
      <c r="O1371" s="1030"/>
      <c r="P1371" s="1030"/>
      <c r="Q1371" s="1030"/>
      <c r="R1371" s="1030"/>
      <c r="S1371" s="1031"/>
      <c r="T1371" s="952"/>
      <c r="U1371" s="941"/>
      <c r="V1371" s="941"/>
      <c r="W1371" s="941"/>
    </row>
    <row r="1372" spans="10:23" s="1011" customFormat="1" x14ac:dyDescent="0.2">
      <c r="J1372" s="1030"/>
      <c r="K1372" s="1030"/>
      <c r="L1372" s="1030"/>
      <c r="M1372" s="1030"/>
      <c r="N1372" s="1030"/>
      <c r="O1372" s="1030"/>
      <c r="P1372" s="1030"/>
      <c r="Q1372" s="1030"/>
      <c r="R1372" s="1030"/>
      <c r="S1372" s="1031"/>
      <c r="T1372" s="952"/>
      <c r="U1372" s="941"/>
      <c r="V1372" s="941"/>
      <c r="W1372" s="941"/>
    </row>
    <row r="1373" spans="10:23" s="1011" customFormat="1" x14ac:dyDescent="0.2">
      <c r="J1373" s="1030"/>
      <c r="K1373" s="1030"/>
      <c r="L1373" s="1030"/>
      <c r="M1373" s="1030"/>
      <c r="N1373" s="1030"/>
      <c r="O1373" s="1030"/>
      <c r="P1373" s="1030"/>
      <c r="Q1373" s="1030"/>
      <c r="R1373" s="1030"/>
      <c r="S1373" s="1031"/>
      <c r="T1373" s="952"/>
      <c r="U1373" s="941"/>
      <c r="V1373" s="941"/>
      <c r="W1373" s="941"/>
    </row>
    <row r="1374" spans="10:23" s="1011" customFormat="1" x14ac:dyDescent="0.2">
      <c r="J1374" s="1030"/>
      <c r="K1374" s="1030"/>
      <c r="L1374" s="1030"/>
      <c r="M1374" s="1030"/>
      <c r="N1374" s="1030"/>
      <c r="O1374" s="1030"/>
      <c r="P1374" s="1030"/>
      <c r="Q1374" s="1030"/>
      <c r="R1374" s="1030"/>
      <c r="S1374" s="1031"/>
      <c r="T1374" s="952"/>
      <c r="U1374" s="941"/>
      <c r="V1374" s="941"/>
      <c r="W1374" s="941"/>
    </row>
    <row r="1375" spans="10:23" s="1011" customFormat="1" x14ac:dyDescent="0.2">
      <c r="J1375" s="1030"/>
      <c r="K1375" s="1030"/>
      <c r="L1375" s="1030"/>
      <c r="M1375" s="1030"/>
      <c r="N1375" s="1030"/>
      <c r="O1375" s="1030"/>
      <c r="P1375" s="1030"/>
      <c r="Q1375" s="1030"/>
      <c r="R1375" s="1030"/>
      <c r="S1375" s="1031"/>
      <c r="T1375" s="952"/>
      <c r="U1375" s="941"/>
      <c r="V1375" s="941"/>
      <c r="W1375" s="941"/>
    </row>
    <row r="1376" spans="10:23" s="1011" customFormat="1" x14ac:dyDescent="0.2">
      <c r="J1376" s="1030"/>
      <c r="K1376" s="1030"/>
      <c r="L1376" s="1030"/>
      <c r="M1376" s="1030"/>
      <c r="N1376" s="1030"/>
      <c r="O1376" s="1030"/>
      <c r="P1376" s="1030"/>
      <c r="Q1376" s="1030"/>
      <c r="R1376" s="1030"/>
      <c r="S1376" s="1031"/>
      <c r="T1376" s="952"/>
      <c r="U1376" s="941"/>
      <c r="V1376" s="941"/>
      <c r="W1376" s="941"/>
    </row>
    <row r="1377" spans="10:23" s="1011" customFormat="1" x14ac:dyDescent="0.2">
      <c r="J1377" s="1030"/>
      <c r="K1377" s="1030"/>
      <c r="L1377" s="1030"/>
      <c r="M1377" s="1030"/>
      <c r="N1377" s="1030"/>
      <c r="O1377" s="1030"/>
      <c r="P1377" s="1030"/>
      <c r="Q1377" s="1030"/>
      <c r="R1377" s="1030"/>
      <c r="S1377" s="1031"/>
      <c r="T1377" s="952"/>
      <c r="U1377" s="941"/>
      <c r="V1377" s="941"/>
      <c r="W1377" s="941"/>
    </row>
    <row r="1378" spans="10:23" s="1011" customFormat="1" x14ac:dyDescent="0.2">
      <c r="J1378" s="1030"/>
      <c r="K1378" s="1030"/>
      <c r="L1378" s="1030"/>
      <c r="M1378" s="1030"/>
      <c r="N1378" s="1030"/>
      <c r="O1378" s="1030"/>
      <c r="P1378" s="1030"/>
      <c r="Q1378" s="1030"/>
      <c r="R1378" s="1030"/>
      <c r="S1378" s="1031"/>
      <c r="T1378" s="952"/>
      <c r="U1378" s="941"/>
      <c r="V1378" s="941"/>
      <c r="W1378" s="941"/>
    </row>
    <row r="1379" spans="10:23" s="1011" customFormat="1" x14ac:dyDescent="0.2">
      <c r="J1379" s="1030"/>
      <c r="K1379" s="1030"/>
      <c r="L1379" s="1030"/>
      <c r="M1379" s="1030"/>
      <c r="N1379" s="1030"/>
      <c r="O1379" s="1030"/>
      <c r="P1379" s="1030"/>
      <c r="Q1379" s="1030"/>
      <c r="R1379" s="1030"/>
      <c r="S1379" s="1031"/>
      <c r="T1379" s="952"/>
      <c r="U1379" s="941"/>
      <c r="V1379" s="941"/>
      <c r="W1379" s="941"/>
    </row>
    <row r="1380" spans="10:23" s="1011" customFormat="1" x14ac:dyDescent="0.2">
      <c r="J1380" s="1030"/>
      <c r="K1380" s="1030"/>
      <c r="L1380" s="1030"/>
      <c r="M1380" s="1030"/>
      <c r="N1380" s="1030"/>
      <c r="O1380" s="1030"/>
      <c r="P1380" s="1030"/>
      <c r="Q1380" s="1030"/>
      <c r="R1380" s="1030"/>
      <c r="S1380" s="1031"/>
      <c r="T1380" s="952"/>
      <c r="U1380" s="941"/>
      <c r="V1380" s="941"/>
      <c r="W1380" s="941"/>
    </row>
    <row r="1381" spans="10:23" s="1011" customFormat="1" x14ac:dyDescent="0.2">
      <c r="J1381" s="1030"/>
      <c r="K1381" s="1030"/>
      <c r="L1381" s="1030"/>
      <c r="M1381" s="1030"/>
      <c r="N1381" s="1030"/>
      <c r="O1381" s="1030"/>
      <c r="P1381" s="1030"/>
      <c r="Q1381" s="1030"/>
      <c r="R1381" s="1030"/>
      <c r="S1381" s="1031"/>
      <c r="T1381" s="952"/>
      <c r="U1381" s="941"/>
      <c r="V1381" s="941"/>
      <c r="W1381" s="941"/>
    </row>
    <row r="1382" spans="10:23" s="1011" customFormat="1" x14ac:dyDescent="0.2">
      <c r="J1382" s="1030"/>
      <c r="K1382" s="1030"/>
      <c r="L1382" s="1030"/>
      <c r="M1382" s="1030"/>
      <c r="N1382" s="1030"/>
      <c r="O1382" s="1030"/>
      <c r="P1382" s="1030"/>
      <c r="Q1382" s="1030"/>
      <c r="R1382" s="1030"/>
      <c r="S1382" s="1031"/>
      <c r="T1382" s="952"/>
      <c r="U1382" s="941"/>
      <c r="V1382" s="941"/>
      <c r="W1382" s="941"/>
    </row>
    <row r="1383" spans="10:23" s="1011" customFormat="1" x14ac:dyDescent="0.2">
      <c r="J1383" s="1030"/>
      <c r="K1383" s="1030"/>
      <c r="L1383" s="1030"/>
      <c r="M1383" s="1030"/>
      <c r="N1383" s="1030"/>
      <c r="O1383" s="1030"/>
      <c r="P1383" s="1030"/>
      <c r="Q1383" s="1030"/>
      <c r="R1383" s="1030"/>
      <c r="S1383" s="1031"/>
      <c r="T1383" s="952"/>
      <c r="U1383" s="941"/>
      <c r="V1383" s="941"/>
      <c r="W1383" s="941"/>
    </row>
    <row r="1384" spans="10:23" s="1011" customFormat="1" x14ac:dyDescent="0.2">
      <c r="J1384" s="1030"/>
      <c r="K1384" s="1030"/>
      <c r="L1384" s="1030"/>
      <c r="M1384" s="1030"/>
      <c r="N1384" s="1030"/>
      <c r="O1384" s="1030"/>
      <c r="P1384" s="1030"/>
      <c r="Q1384" s="1030"/>
      <c r="R1384" s="1030"/>
      <c r="S1384" s="1031"/>
      <c r="T1384" s="952"/>
      <c r="U1384" s="941"/>
      <c r="V1384" s="941"/>
      <c r="W1384" s="941"/>
    </row>
    <row r="1385" spans="10:23" s="1011" customFormat="1" x14ac:dyDescent="0.2">
      <c r="J1385" s="1030"/>
      <c r="K1385" s="1030"/>
      <c r="L1385" s="1030"/>
      <c r="M1385" s="1030"/>
      <c r="N1385" s="1030"/>
      <c r="O1385" s="1030"/>
      <c r="P1385" s="1030"/>
      <c r="Q1385" s="1030"/>
      <c r="R1385" s="1030"/>
      <c r="S1385" s="1031"/>
      <c r="T1385" s="952"/>
      <c r="U1385" s="941"/>
      <c r="V1385" s="941"/>
      <c r="W1385" s="941"/>
    </row>
    <row r="1386" spans="10:23" s="1011" customFormat="1" x14ac:dyDescent="0.2">
      <c r="J1386" s="1030"/>
      <c r="K1386" s="1030"/>
      <c r="L1386" s="1030"/>
      <c r="M1386" s="1030"/>
      <c r="N1386" s="1030"/>
      <c r="O1386" s="1030"/>
      <c r="P1386" s="1030"/>
      <c r="Q1386" s="1030"/>
      <c r="R1386" s="1030"/>
      <c r="S1386" s="1031"/>
      <c r="T1386" s="952"/>
      <c r="U1386" s="941"/>
      <c r="V1386" s="941"/>
      <c r="W1386" s="941"/>
    </row>
    <row r="1387" spans="10:23" s="1011" customFormat="1" x14ac:dyDescent="0.2">
      <c r="J1387" s="1030"/>
      <c r="K1387" s="1030"/>
      <c r="L1387" s="1030"/>
      <c r="M1387" s="1030"/>
      <c r="N1387" s="1030"/>
      <c r="O1387" s="1030"/>
      <c r="P1387" s="1030"/>
      <c r="Q1387" s="1030"/>
      <c r="R1387" s="1030"/>
      <c r="S1387" s="1031"/>
      <c r="T1387" s="952"/>
      <c r="U1387" s="941"/>
      <c r="V1387" s="941"/>
      <c r="W1387" s="941"/>
    </row>
    <row r="1388" spans="10:23" s="1011" customFormat="1" x14ac:dyDescent="0.2">
      <c r="J1388" s="1030"/>
      <c r="K1388" s="1030"/>
      <c r="L1388" s="1030"/>
      <c r="M1388" s="1030"/>
      <c r="N1388" s="1030"/>
      <c r="O1388" s="1030"/>
      <c r="P1388" s="1030"/>
      <c r="Q1388" s="1030"/>
      <c r="R1388" s="1030"/>
      <c r="S1388" s="1031"/>
      <c r="T1388" s="952"/>
      <c r="U1388" s="941"/>
      <c r="V1388" s="941"/>
      <c r="W1388" s="941"/>
    </row>
    <row r="1389" spans="10:23" s="1011" customFormat="1" x14ac:dyDescent="0.2">
      <c r="J1389" s="1030"/>
      <c r="K1389" s="1030"/>
      <c r="L1389" s="1030"/>
      <c r="M1389" s="1030"/>
      <c r="N1389" s="1030"/>
      <c r="O1389" s="1030"/>
      <c r="P1389" s="1030"/>
      <c r="Q1389" s="1030"/>
      <c r="R1389" s="1030"/>
      <c r="S1389" s="1031"/>
      <c r="T1389" s="952"/>
      <c r="U1389" s="941"/>
      <c r="V1389" s="941"/>
      <c r="W1389" s="941"/>
    </row>
    <row r="1390" spans="10:23" s="1011" customFormat="1" x14ac:dyDescent="0.2">
      <c r="J1390" s="1030"/>
      <c r="K1390" s="1030"/>
      <c r="L1390" s="1030"/>
      <c r="M1390" s="1030"/>
      <c r="N1390" s="1030"/>
      <c r="O1390" s="1030"/>
      <c r="P1390" s="1030"/>
      <c r="Q1390" s="1030"/>
      <c r="R1390" s="1030"/>
      <c r="S1390" s="1031"/>
      <c r="T1390" s="952"/>
      <c r="U1390" s="941"/>
      <c r="V1390" s="941"/>
      <c r="W1390" s="941"/>
    </row>
    <row r="1391" spans="10:23" s="1011" customFormat="1" x14ac:dyDescent="0.2">
      <c r="J1391" s="1030"/>
      <c r="K1391" s="1030"/>
      <c r="L1391" s="1030"/>
      <c r="M1391" s="1030"/>
      <c r="N1391" s="1030"/>
      <c r="O1391" s="1030"/>
      <c r="P1391" s="1030"/>
      <c r="Q1391" s="1030"/>
      <c r="R1391" s="1030"/>
      <c r="S1391" s="1031"/>
      <c r="T1391" s="952"/>
      <c r="U1391" s="941"/>
      <c r="V1391" s="941"/>
      <c r="W1391" s="941"/>
    </row>
    <row r="1392" spans="10:23" s="1011" customFormat="1" x14ac:dyDescent="0.2">
      <c r="J1392" s="1030"/>
      <c r="K1392" s="1030"/>
      <c r="L1392" s="1030"/>
      <c r="M1392" s="1030"/>
      <c r="N1392" s="1030"/>
      <c r="O1392" s="1030"/>
      <c r="P1392" s="1030"/>
      <c r="Q1392" s="1030"/>
      <c r="R1392" s="1030"/>
      <c r="S1392" s="1031"/>
      <c r="T1392" s="952"/>
      <c r="U1392" s="941"/>
      <c r="V1392" s="941"/>
      <c r="W1392" s="941"/>
    </row>
    <row r="1393" spans="10:23" s="1011" customFormat="1" x14ac:dyDescent="0.2">
      <c r="J1393" s="1030"/>
      <c r="K1393" s="1030"/>
      <c r="L1393" s="1030"/>
      <c r="M1393" s="1030"/>
      <c r="N1393" s="1030"/>
      <c r="O1393" s="1030"/>
      <c r="P1393" s="1030"/>
      <c r="Q1393" s="1030"/>
      <c r="R1393" s="1030"/>
      <c r="S1393" s="1031"/>
      <c r="T1393" s="952"/>
      <c r="U1393" s="941"/>
      <c r="V1393" s="941"/>
      <c r="W1393" s="941"/>
    </row>
    <row r="1394" spans="10:23" s="1011" customFormat="1" x14ac:dyDescent="0.2">
      <c r="J1394" s="1030"/>
      <c r="K1394" s="1030"/>
      <c r="L1394" s="1030"/>
      <c r="M1394" s="1030"/>
      <c r="N1394" s="1030"/>
      <c r="O1394" s="1030"/>
      <c r="P1394" s="1030"/>
      <c r="Q1394" s="1030"/>
      <c r="R1394" s="1030"/>
      <c r="S1394" s="1031"/>
      <c r="T1394" s="952"/>
      <c r="U1394" s="941"/>
      <c r="V1394" s="941"/>
      <c r="W1394" s="941"/>
    </row>
    <row r="1395" spans="10:23" s="1011" customFormat="1" x14ac:dyDescent="0.2">
      <c r="J1395" s="1030"/>
      <c r="K1395" s="1030"/>
      <c r="L1395" s="1030"/>
      <c r="M1395" s="1030"/>
      <c r="N1395" s="1030"/>
      <c r="O1395" s="1030"/>
      <c r="P1395" s="1030"/>
      <c r="Q1395" s="1030"/>
      <c r="R1395" s="1030"/>
      <c r="S1395" s="1031"/>
      <c r="T1395" s="952"/>
      <c r="U1395" s="941"/>
      <c r="V1395" s="941"/>
      <c r="W1395" s="941"/>
    </row>
    <row r="1396" spans="10:23" s="1011" customFormat="1" x14ac:dyDescent="0.2">
      <c r="J1396" s="1030"/>
      <c r="K1396" s="1030"/>
      <c r="L1396" s="1030"/>
      <c r="M1396" s="1030"/>
      <c r="N1396" s="1030"/>
      <c r="O1396" s="1030"/>
      <c r="P1396" s="1030"/>
      <c r="Q1396" s="1030"/>
      <c r="R1396" s="1030"/>
      <c r="S1396" s="1031"/>
      <c r="T1396" s="952"/>
      <c r="U1396" s="941"/>
      <c r="V1396" s="941"/>
      <c r="W1396" s="941"/>
    </row>
    <row r="1397" spans="10:23" s="1011" customFormat="1" x14ac:dyDescent="0.2">
      <c r="J1397" s="1030"/>
      <c r="K1397" s="1030"/>
      <c r="L1397" s="1030"/>
      <c r="M1397" s="1030"/>
      <c r="N1397" s="1030"/>
      <c r="O1397" s="1030"/>
      <c r="P1397" s="1030"/>
      <c r="Q1397" s="1030"/>
      <c r="R1397" s="1030"/>
      <c r="S1397" s="1031"/>
      <c r="T1397" s="952"/>
      <c r="U1397" s="941"/>
      <c r="V1397" s="941"/>
      <c r="W1397" s="941"/>
    </row>
    <row r="1398" spans="10:23" s="1011" customFormat="1" x14ac:dyDescent="0.2">
      <c r="J1398" s="1030"/>
      <c r="K1398" s="1030"/>
      <c r="L1398" s="1030"/>
      <c r="M1398" s="1030"/>
      <c r="N1398" s="1030"/>
      <c r="O1398" s="1030"/>
      <c r="P1398" s="1030"/>
      <c r="Q1398" s="1030"/>
      <c r="R1398" s="1030"/>
      <c r="S1398" s="1031"/>
      <c r="T1398" s="952"/>
      <c r="U1398" s="941"/>
      <c r="V1398" s="941"/>
      <c r="W1398" s="941"/>
    </row>
    <row r="1399" spans="10:23" s="1011" customFormat="1" x14ac:dyDescent="0.2">
      <c r="J1399" s="1030"/>
      <c r="K1399" s="1030"/>
      <c r="L1399" s="1030"/>
      <c r="M1399" s="1030"/>
      <c r="N1399" s="1030"/>
      <c r="O1399" s="1030"/>
      <c r="P1399" s="1030"/>
      <c r="Q1399" s="1030"/>
      <c r="R1399" s="1030"/>
      <c r="S1399" s="1031"/>
      <c r="T1399" s="952"/>
      <c r="U1399" s="941"/>
      <c r="V1399" s="941"/>
      <c r="W1399" s="941"/>
    </row>
    <row r="1400" spans="10:23" s="1011" customFormat="1" x14ac:dyDescent="0.2">
      <c r="J1400" s="1030"/>
      <c r="K1400" s="1030"/>
      <c r="L1400" s="1030"/>
      <c r="M1400" s="1030"/>
      <c r="N1400" s="1030"/>
      <c r="O1400" s="1030"/>
      <c r="P1400" s="1030"/>
      <c r="Q1400" s="1030"/>
      <c r="R1400" s="1030"/>
      <c r="S1400" s="1031"/>
      <c r="T1400" s="952"/>
      <c r="U1400" s="941"/>
      <c r="V1400" s="941"/>
      <c r="W1400" s="941"/>
    </row>
    <row r="1401" spans="10:23" s="1011" customFormat="1" x14ac:dyDescent="0.2">
      <c r="J1401" s="1030"/>
      <c r="K1401" s="1030"/>
      <c r="L1401" s="1030"/>
      <c r="M1401" s="1030"/>
      <c r="N1401" s="1030"/>
      <c r="O1401" s="1030"/>
      <c r="P1401" s="1030"/>
      <c r="Q1401" s="1030"/>
      <c r="R1401" s="1030"/>
      <c r="S1401" s="1031"/>
      <c r="T1401" s="952"/>
      <c r="U1401" s="941"/>
      <c r="V1401" s="941"/>
      <c r="W1401" s="941"/>
    </row>
    <row r="1402" spans="10:23" s="1011" customFormat="1" x14ac:dyDescent="0.2">
      <c r="J1402" s="1030"/>
      <c r="K1402" s="1030"/>
      <c r="L1402" s="1030"/>
      <c r="M1402" s="1030"/>
      <c r="N1402" s="1030"/>
      <c r="O1402" s="1030"/>
      <c r="P1402" s="1030"/>
      <c r="Q1402" s="1030"/>
      <c r="R1402" s="1030"/>
      <c r="S1402" s="1031"/>
      <c r="T1402" s="952"/>
      <c r="U1402" s="941"/>
      <c r="V1402" s="941"/>
      <c r="W1402" s="941"/>
    </row>
    <row r="1403" spans="10:23" s="1011" customFormat="1" x14ac:dyDescent="0.2">
      <c r="J1403" s="1030"/>
      <c r="K1403" s="1030"/>
      <c r="L1403" s="1030"/>
      <c r="M1403" s="1030"/>
      <c r="N1403" s="1030"/>
      <c r="O1403" s="1030"/>
      <c r="P1403" s="1030"/>
      <c r="Q1403" s="1030"/>
      <c r="R1403" s="1030"/>
      <c r="S1403" s="1031"/>
      <c r="T1403" s="952"/>
      <c r="U1403" s="941"/>
      <c r="V1403" s="941"/>
      <c r="W1403" s="941"/>
    </row>
    <row r="1404" spans="10:23" s="1011" customFormat="1" x14ac:dyDescent="0.2">
      <c r="J1404" s="1030"/>
      <c r="K1404" s="1030"/>
      <c r="L1404" s="1030"/>
      <c r="M1404" s="1030"/>
      <c r="N1404" s="1030"/>
      <c r="O1404" s="1030"/>
      <c r="P1404" s="1030"/>
      <c r="Q1404" s="1030"/>
      <c r="R1404" s="1030"/>
      <c r="S1404" s="1031"/>
      <c r="T1404" s="952"/>
      <c r="U1404" s="941"/>
      <c r="V1404" s="941"/>
      <c r="W1404" s="941"/>
    </row>
    <row r="1405" spans="10:23" s="1011" customFormat="1" x14ac:dyDescent="0.2">
      <c r="J1405" s="1030"/>
      <c r="K1405" s="1030"/>
      <c r="L1405" s="1030"/>
      <c r="M1405" s="1030"/>
      <c r="N1405" s="1030"/>
      <c r="O1405" s="1030"/>
      <c r="P1405" s="1030"/>
      <c r="Q1405" s="1030"/>
      <c r="R1405" s="1030"/>
      <c r="S1405" s="1031"/>
      <c r="T1405" s="952"/>
      <c r="U1405" s="941"/>
      <c r="V1405" s="941"/>
      <c r="W1405" s="941"/>
    </row>
    <row r="1406" spans="10:23" s="1011" customFormat="1" x14ac:dyDescent="0.2">
      <c r="J1406" s="1030"/>
      <c r="K1406" s="1030"/>
      <c r="L1406" s="1030"/>
      <c r="M1406" s="1030"/>
      <c r="N1406" s="1030"/>
      <c r="O1406" s="1030"/>
      <c r="P1406" s="1030"/>
      <c r="Q1406" s="1030"/>
      <c r="R1406" s="1030"/>
      <c r="S1406" s="1031"/>
      <c r="T1406" s="952"/>
      <c r="U1406" s="941"/>
      <c r="V1406" s="941"/>
      <c r="W1406" s="941"/>
    </row>
    <row r="1407" spans="10:23" s="1011" customFormat="1" x14ac:dyDescent="0.2">
      <c r="J1407" s="1030"/>
      <c r="K1407" s="1030"/>
      <c r="L1407" s="1030"/>
      <c r="M1407" s="1030"/>
      <c r="N1407" s="1030"/>
      <c r="O1407" s="1030"/>
      <c r="P1407" s="1030"/>
      <c r="Q1407" s="1030"/>
      <c r="R1407" s="1030"/>
      <c r="S1407" s="1031"/>
      <c r="T1407" s="952"/>
      <c r="U1407" s="941"/>
      <c r="V1407" s="941"/>
      <c r="W1407" s="941"/>
    </row>
    <row r="1408" spans="10:23" s="1011" customFormat="1" x14ac:dyDescent="0.2">
      <c r="J1408" s="1030"/>
      <c r="K1408" s="1030"/>
      <c r="L1408" s="1030"/>
      <c r="M1408" s="1030"/>
      <c r="N1408" s="1030"/>
      <c r="O1408" s="1030"/>
      <c r="P1408" s="1030"/>
      <c r="Q1408" s="1030"/>
      <c r="R1408" s="1030"/>
      <c r="S1408" s="1031"/>
      <c r="T1408" s="952"/>
      <c r="U1408" s="941"/>
      <c r="V1408" s="941"/>
      <c r="W1408" s="941"/>
    </row>
    <row r="1409" spans="10:23" s="1011" customFormat="1" x14ac:dyDescent="0.2">
      <c r="J1409" s="1030"/>
      <c r="K1409" s="1030"/>
      <c r="L1409" s="1030"/>
      <c r="M1409" s="1030"/>
      <c r="N1409" s="1030"/>
      <c r="O1409" s="1030"/>
      <c r="P1409" s="1030"/>
      <c r="Q1409" s="1030"/>
      <c r="R1409" s="1030"/>
      <c r="S1409" s="1031"/>
      <c r="T1409" s="952"/>
      <c r="U1409" s="941"/>
      <c r="V1409" s="941"/>
      <c r="W1409" s="941"/>
    </row>
    <row r="1410" spans="10:23" s="1011" customFormat="1" x14ac:dyDescent="0.2">
      <c r="J1410" s="1030"/>
      <c r="K1410" s="1030"/>
      <c r="L1410" s="1030"/>
      <c r="M1410" s="1030"/>
      <c r="N1410" s="1030"/>
      <c r="O1410" s="1030"/>
      <c r="P1410" s="1030"/>
      <c r="Q1410" s="1030"/>
      <c r="R1410" s="1030"/>
      <c r="S1410" s="1031"/>
      <c r="T1410" s="952"/>
      <c r="U1410" s="941"/>
      <c r="V1410" s="941"/>
      <c r="W1410" s="941"/>
    </row>
    <row r="1411" spans="10:23" s="1011" customFormat="1" x14ac:dyDescent="0.2">
      <c r="J1411" s="1030"/>
      <c r="K1411" s="1030"/>
      <c r="L1411" s="1030"/>
      <c r="M1411" s="1030"/>
      <c r="N1411" s="1030"/>
      <c r="O1411" s="1030"/>
      <c r="P1411" s="1030"/>
      <c r="Q1411" s="1030"/>
      <c r="R1411" s="1030"/>
      <c r="S1411" s="1031"/>
      <c r="T1411" s="952"/>
      <c r="U1411" s="941"/>
      <c r="V1411" s="941"/>
      <c r="W1411" s="941"/>
    </row>
    <row r="1412" spans="10:23" s="1011" customFormat="1" x14ac:dyDescent="0.2">
      <c r="J1412" s="1030"/>
      <c r="K1412" s="1030"/>
      <c r="L1412" s="1030"/>
      <c r="M1412" s="1030"/>
      <c r="N1412" s="1030"/>
      <c r="O1412" s="1030"/>
      <c r="P1412" s="1030"/>
      <c r="Q1412" s="1030"/>
      <c r="R1412" s="1030"/>
      <c r="S1412" s="1031"/>
      <c r="T1412" s="952"/>
      <c r="U1412" s="941"/>
      <c r="V1412" s="941"/>
      <c r="W1412" s="941"/>
    </row>
    <row r="1413" spans="10:23" s="1011" customFormat="1" x14ac:dyDescent="0.2">
      <c r="J1413" s="1030"/>
      <c r="K1413" s="1030"/>
      <c r="L1413" s="1030"/>
      <c r="M1413" s="1030"/>
      <c r="N1413" s="1030"/>
      <c r="O1413" s="1030"/>
      <c r="P1413" s="1030"/>
      <c r="Q1413" s="1030"/>
      <c r="R1413" s="1030"/>
      <c r="S1413" s="1031"/>
      <c r="T1413" s="952"/>
      <c r="U1413" s="941"/>
      <c r="V1413" s="941"/>
      <c r="W1413" s="941"/>
    </row>
    <row r="1414" spans="10:23" s="1011" customFormat="1" x14ac:dyDescent="0.2">
      <c r="J1414" s="1030"/>
      <c r="K1414" s="1030"/>
      <c r="L1414" s="1030"/>
      <c r="M1414" s="1030"/>
      <c r="N1414" s="1030"/>
      <c r="O1414" s="1030"/>
      <c r="P1414" s="1030"/>
      <c r="Q1414" s="1030"/>
      <c r="R1414" s="1030"/>
      <c r="S1414" s="1031"/>
      <c r="T1414" s="952"/>
      <c r="U1414" s="941"/>
      <c r="V1414" s="941"/>
      <c r="W1414" s="941"/>
    </row>
    <row r="1415" spans="10:23" s="1011" customFormat="1" x14ac:dyDescent="0.2">
      <c r="J1415" s="1030"/>
      <c r="K1415" s="1030"/>
      <c r="L1415" s="1030"/>
      <c r="M1415" s="1030"/>
      <c r="N1415" s="1030"/>
      <c r="O1415" s="1030"/>
      <c r="P1415" s="1030"/>
      <c r="Q1415" s="1030"/>
      <c r="R1415" s="1030"/>
      <c r="S1415" s="1031"/>
      <c r="T1415" s="952"/>
      <c r="U1415" s="941"/>
      <c r="V1415" s="941"/>
      <c r="W1415" s="941"/>
    </row>
    <row r="1416" spans="10:23" s="1011" customFormat="1" x14ac:dyDescent="0.2">
      <c r="J1416" s="1030"/>
      <c r="K1416" s="1030"/>
      <c r="L1416" s="1030"/>
      <c r="M1416" s="1030"/>
      <c r="N1416" s="1030"/>
      <c r="O1416" s="1030"/>
      <c r="P1416" s="1030"/>
      <c r="Q1416" s="1030"/>
      <c r="R1416" s="1030"/>
      <c r="S1416" s="1031"/>
      <c r="T1416" s="952"/>
      <c r="U1416" s="941"/>
      <c r="V1416" s="941"/>
      <c r="W1416" s="941"/>
    </row>
    <row r="1417" spans="10:23" s="1011" customFormat="1" x14ac:dyDescent="0.2">
      <c r="J1417" s="1030"/>
      <c r="K1417" s="1030"/>
      <c r="L1417" s="1030"/>
      <c r="M1417" s="1030"/>
      <c r="N1417" s="1030"/>
      <c r="O1417" s="1030"/>
      <c r="P1417" s="1030"/>
      <c r="Q1417" s="1030"/>
      <c r="R1417" s="1030"/>
      <c r="S1417" s="1031"/>
      <c r="T1417" s="952"/>
      <c r="U1417" s="941"/>
      <c r="V1417" s="941"/>
      <c r="W1417" s="941"/>
    </row>
    <row r="1418" spans="10:23" s="1011" customFormat="1" x14ac:dyDescent="0.2">
      <c r="J1418" s="1030"/>
      <c r="K1418" s="1030"/>
      <c r="L1418" s="1030"/>
      <c r="M1418" s="1030"/>
      <c r="N1418" s="1030"/>
      <c r="O1418" s="1030"/>
      <c r="P1418" s="1030"/>
      <c r="Q1418" s="1030"/>
      <c r="R1418" s="1030"/>
      <c r="S1418" s="1031"/>
      <c r="T1418" s="952"/>
      <c r="U1418" s="941"/>
      <c r="V1418" s="941"/>
      <c r="W1418" s="941"/>
    </row>
    <row r="1419" spans="10:23" s="1011" customFormat="1" x14ac:dyDescent="0.2">
      <c r="J1419" s="1030"/>
      <c r="K1419" s="1030"/>
      <c r="L1419" s="1030"/>
      <c r="M1419" s="1030"/>
      <c r="N1419" s="1030"/>
      <c r="O1419" s="1030"/>
      <c r="P1419" s="1030"/>
      <c r="Q1419" s="1030"/>
      <c r="R1419" s="1030"/>
      <c r="S1419" s="1031"/>
      <c r="T1419" s="952"/>
      <c r="U1419" s="941"/>
      <c r="V1419" s="941"/>
      <c r="W1419" s="941"/>
    </row>
    <row r="1420" spans="10:23" s="1011" customFormat="1" x14ac:dyDescent="0.2">
      <c r="J1420" s="1030"/>
      <c r="K1420" s="1030"/>
      <c r="L1420" s="1030"/>
      <c r="M1420" s="1030"/>
      <c r="N1420" s="1030"/>
      <c r="O1420" s="1030"/>
      <c r="P1420" s="1030"/>
      <c r="Q1420" s="1030"/>
      <c r="R1420" s="1030"/>
      <c r="S1420" s="1031"/>
      <c r="T1420" s="952"/>
      <c r="U1420" s="941"/>
      <c r="V1420" s="941"/>
      <c r="W1420" s="941"/>
    </row>
    <row r="1421" spans="10:23" s="1011" customFormat="1" x14ac:dyDescent="0.2">
      <c r="J1421" s="1030"/>
      <c r="K1421" s="1030"/>
      <c r="L1421" s="1030"/>
      <c r="M1421" s="1030"/>
      <c r="N1421" s="1030"/>
      <c r="O1421" s="1030"/>
      <c r="P1421" s="1030"/>
      <c r="Q1421" s="1030"/>
      <c r="R1421" s="1030"/>
      <c r="S1421" s="1031"/>
      <c r="T1421" s="952"/>
      <c r="U1421" s="941"/>
      <c r="V1421" s="941"/>
      <c r="W1421" s="941"/>
    </row>
    <row r="1422" spans="10:23" s="1011" customFormat="1" x14ac:dyDescent="0.2">
      <c r="J1422" s="1030"/>
      <c r="K1422" s="1030"/>
      <c r="L1422" s="1030"/>
      <c r="M1422" s="1030"/>
      <c r="N1422" s="1030"/>
      <c r="O1422" s="1030"/>
      <c r="P1422" s="1030"/>
      <c r="Q1422" s="1030"/>
      <c r="R1422" s="1030"/>
      <c r="S1422" s="1031"/>
      <c r="T1422" s="952"/>
      <c r="U1422" s="941"/>
      <c r="V1422" s="941"/>
      <c r="W1422" s="941"/>
    </row>
    <row r="1423" spans="10:23" s="1011" customFormat="1" x14ac:dyDescent="0.2">
      <c r="J1423" s="1030"/>
      <c r="K1423" s="1030"/>
      <c r="L1423" s="1030"/>
      <c r="M1423" s="1030"/>
      <c r="N1423" s="1030"/>
      <c r="O1423" s="1030"/>
      <c r="P1423" s="1030"/>
      <c r="Q1423" s="1030"/>
      <c r="R1423" s="1030"/>
      <c r="S1423" s="1031"/>
      <c r="T1423" s="952"/>
      <c r="U1423" s="941"/>
      <c r="V1423" s="941"/>
      <c r="W1423" s="941"/>
    </row>
    <row r="1424" spans="10:23" s="1011" customFormat="1" x14ac:dyDescent="0.2">
      <c r="J1424" s="1030"/>
      <c r="K1424" s="1030"/>
      <c r="L1424" s="1030"/>
      <c r="M1424" s="1030"/>
      <c r="N1424" s="1030"/>
      <c r="O1424" s="1030"/>
      <c r="P1424" s="1030"/>
      <c r="Q1424" s="1030"/>
      <c r="R1424" s="1030"/>
      <c r="S1424" s="1031"/>
      <c r="T1424" s="952"/>
      <c r="U1424" s="941"/>
      <c r="V1424" s="941"/>
      <c r="W1424" s="941"/>
    </row>
    <row r="1425" spans="10:23" s="1011" customFormat="1" x14ac:dyDescent="0.2">
      <c r="J1425" s="1030"/>
      <c r="K1425" s="1030"/>
      <c r="L1425" s="1030"/>
      <c r="M1425" s="1030"/>
      <c r="N1425" s="1030"/>
      <c r="O1425" s="1030"/>
      <c r="P1425" s="1030"/>
      <c r="Q1425" s="1030"/>
      <c r="R1425" s="1030"/>
      <c r="S1425" s="1031"/>
      <c r="T1425" s="952"/>
      <c r="U1425" s="941"/>
      <c r="V1425" s="941"/>
      <c r="W1425" s="941"/>
    </row>
    <row r="1426" spans="10:23" s="1011" customFormat="1" x14ac:dyDescent="0.2">
      <c r="J1426" s="1030"/>
      <c r="K1426" s="1030"/>
      <c r="L1426" s="1030"/>
      <c r="M1426" s="1030"/>
      <c r="N1426" s="1030"/>
      <c r="O1426" s="1030"/>
      <c r="P1426" s="1030"/>
      <c r="Q1426" s="1030"/>
      <c r="R1426" s="1030"/>
      <c r="S1426" s="1031"/>
      <c r="T1426" s="952"/>
      <c r="U1426" s="941"/>
      <c r="V1426" s="941"/>
      <c r="W1426" s="941"/>
    </row>
    <row r="1427" spans="10:23" s="1011" customFormat="1" x14ac:dyDescent="0.2">
      <c r="J1427" s="1030"/>
      <c r="K1427" s="1030"/>
      <c r="L1427" s="1030"/>
      <c r="M1427" s="1030"/>
      <c r="N1427" s="1030"/>
      <c r="O1427" s="1030"/>
      <c r="P1427" s="1030"/>
      <c r="Q1427" s="1030"/>
      <c r="R1427" s="1030"/>
      <c r="S1427" s="1031"/>
      <c r="T1427" s="952"/>
      <c r="U1427" s="941"/>
      <c r="V1427" s="941"/>
      <c r="W1427" s="941"/>
    </row>
    <row r="1428" spans="10:23" s="1011" customFormat="1" x14ac:dyDescent="0.2">
      <c r="J1428" s="1030"/>
      <c r="K1428" s="1030"/>
      <c r="L1428" s="1030"/>
      <c r="M1428" s="1030"/>
      <c r="N1428" s="1030"/>
      <c r="O1428" s="1030"/>
      <c r="P1428" s="1030"/>
      <c r="Q1428" s="1030"/>
      <c r="R1428" s="1030"/>
      <c r="S1428" s="1031"/>
      <c r="T1428" s="952"/>
      <c r="U1428" s="941"/>
      <c r="V1428" s="941"/>
      <c r="W1428" s="941"/>
    </row>
    <row r="1429" spans="10:23" s="1011" customFormat="1" x14ac:dyDescent="0.2">
      <c r="J1429" s="1030"/>
      <c r="K1429" s="1030"/>
      <c r="L1429" s="1030"/>
      <c r="M1429" s="1030"/>
      <c r="N1429" s="1030"/>
      <c r="O1429" s="1030"/>
      <c r="P1429" s="1030"/>
      <c r="Q1429" s="1030"/>
      <c r="R1429" s="1030"/>
      <c r="S1429" s="1031"/>
      <c r="T1429" s="952"/>
      <c r="U1429" s="941"/>
      <c r="V1429" s="941"/>
      <c r="W1429" s="941"/>
    </row>
    <row r="1430" spans="10:23" s="1011" customFormat="1" x14ac:dyDescent="0.2">
      <c r="J1430" s="1030"/>
      <c r="K1430" s="1030"/>
      <c r="L1430" s="1030"/>
      <c r="M1430" s="1030"/>
      <c r="N1430" s="1030"/>
      <c r="O1430" s="1030"/>
      <c r="P1430" s="1030"/>
      <c r="Q1430" s="1030"/>
      <c r="R1430" s="1030"/>
      <c r="S1430" s="1031"/>
      <c r="T1430" s="952"/>
      <c r="U1430" s="941"/>
      <c r="V1430" s="941"/>
      <c r="W1430" s="941"/>
    </row>
    <row r="1431" spans="10:23" s="1011" customFormat="1" x14ac:dyDescent="0.2">
      <c r="J1431" s="1030"/>
      <c r="K1431" s="1030"/>
      <c r="L1431" s="1030"/>
      <c r="M1431" s="1030"/>
      <c r="N1431" s="1030"/>
      <c r="O1431" s="1030"/>
      <c r="P1431" s="1030"/>
      <c r="Q1431" s="1030"/>
      <c r="R1431" s="1030"/>
      <c r="S1431" s="1031"/>
      <c r="T1431" s="952"/>
      <c r="U1431" s="941"/>
      <c r="V1431" s="941"/>
      <c r="W1431" s="941"/>
    </row>
    <row r="1432" spans="10:23" s="1011" customFormat="1" x14ac:dyDescent="0.2">
      <c r="J1432" s="1030"/>
      <c r="K1432" s="1030"/>
      <c r="L1432" s="1030"/>
      <c r="M1432" s="1030"/>
      <c r="N1432" s="1030"/>
      <c r="O1432" s="1030"/>
      <c r="P1432" s="1030"/>
      <c r="Q1432" s="1030"/>
      <c r="R1432" s="1030"/>
      <c r="S1432" s="1031"/>
      <c r="T1432" s="952"/>
      <c r="U1432" s="941"/>
      <c r="V1432" s="941"/>
      <c r="W1432" s="941"/>
    </row>
    <row r="1433" spans="10:23" s="1011" customFormat="1" x14ac:dyDescent="0.2">
      <c r="J1433" s="1030"/>
      <c r="K1433" s="1030"/>
      <c r="L1433" s="1030"/>
      <c r="M1433" s="1030"/>
      <c r="N1433" s="1030"/>
      <c r="O1433" s="1030"/>
      <c r="P1433" s="1030"/>
      <c r="Q1433" s="1030"/>
      <c r="R1433" s="1030"/>
      <c r="S1433" s="1031"/>
      <c r="T1433" s="952"/>
      <c r="U1433" s="941"/>
      <c r="V1433" s="941"/>
      <c r="W1433" s="941"/>
    </row>
    <row r="1434" spans="10:23" s="1011" customFormat="1" x14ac:dyDescent="0.2">
      <c r="J1434" s="1030"/>
      <c r="K1434" s="1030"/>
      <c r="L1434" s="1030"/>
      <c r="M1434" s="1030"/>
      <c r="N1434" s="1030"/>
      <c r="O1434" s="1030"/>
      <c r="P1434" s="1030"/>
      <c r="Q1434" s="1030"/>
      <c r="R1434" s="1030"/>
      <c r="S1434" s="1031"/>
      <c r="T1434" s="952"/>
      <c r="U1434" s="941"/>
      <c r="V1434" s="941"/>
      <c r="W1434" s="941"/>
    </row>
    <row r="1435" spans="10:23" s="1011" customFormat="1" x14ac:dyDescent="0.2">
      <c r="J1435" s="1030"/>
      <c r="K1435" s="1030"/>
      <c r="L1435" s="1030"/>
      <c r="M1435" s="1030"/>
      <c r="N1435" s="1030"/>
      <c r="O1435" s="1030"/>
      <c r="P1435" s="1030"/>
      <c r="Q1435" s="1030"/>
      <c r="R1435" s="1030"/>
      <c r="S1435" s="1031"/>
      <c r="T1435" s="952"/>
      <c r="U1435" s="941"/>
      <c r="V1435" s="941"/>
      <c r="W1435" s="941"/>
    </row>
    <row r="1436" spans="10:23" s="1011" customFormat="1" x14ac:dyDescent="0.2">
      <c r="J1436" s="1030"/>
      <c r="K1436" s="1030"/>
      <c r="L1436" s="1030"/>
      <c r="M1436" s="1030"/>
      <c r="N1436" s="1030"/>
      <c r="O1436" s="1030"/>
      <c r="P1436" s="1030"/>
      <c r="Q1436" s="1030"/>
      <c r="R1436" s="1030"/>
      <c r="S1436" s="1031"/>
      <c r="T1436" s="952"/>
      <c r="U1436" s="941"/>
      <c r="V1436" s="941"/>
      <c r="W1436" s="941"/>
    </row>
    <row r="1437" spans="10:23" s="1011" customFormat="1" x14ac:dyDescent="0.2">
      <c r="J1437" s="1030"/>
      <c r="K1437" s="1030"/>
      <c r="L1437" s="1030"/>
      <c r="M1437" s="1030"/>
      <c r="N1437" s="1030"/>
      <c r="O1437" s="1030"/>
      <c r="P1437" s="1030"/>
      <c r="Q1437" s="1030"/>
      <c r="R1437" s="1030"/>
      <c r="S1437" s="1031"/>
      <c r="T1437" s="952"/>
      <c r="U1437" s="941"/>
      <c r="V1437" s="941"/>
      <c r="W1437" s="941"/>
    </row>
    <row r="1438" spans="10:23" s="1011" customFormat="1" x14ac:dyDescent="0.2">
      <c r="J1438" s="1030"/>
      <c r="K1438" s="1030"/>
      <c r="L1438" s="1030"/>
      <c r="M1438" s="1030"/>
      <c r="N1438" s="1030"/>
      <c r="O1438" s="1030"/>
      <c r="P1438" s="1030"/>
      <c r="Q1438" s="1030"/>
      <c r="R1438" s="1030"/>
      <c r="S1438" s="1031"/>
      <c r="T1438" s="952"/>
      <c r="U1438" s="941"/>
      <c r="V1438" s="941"/>
      <c r="W1438" s="941"/>
    </row>
    <row r="1439" spans="10:23" s="1011" customFormat="1" x14ac:dyDescent="0.2">
      <c r="J1439" s="1030"/>
      <c r="K1439" s="1030"/>
      <c r="L1439" s="1030"/>
      <c r="M1439" s="1030"/>
      <c r="N1439" s="1030"/>
      <c r="O1439" s="1030"/>
      <c r="P1439" s="1030"/>
      <c r="Q1439" s="1030"/>
      <c r="R1439" s="1030"/>
      <c r="S1439" s="1031"/>
      <c r="T1439" s="952"/>
      <c r="U1439" s="941"/>
      <c r="V1439" s="941"/>
      <c r="W1439" s="941"/>
    </row>
    <row r="1440" spans="10:23" s="1011" customFormat="1" x14ac:dyDescent="0.2">
      <c r="J1440" s="1030"/>
      <c r="K1440" s="1030"/>
      <c r="L1440" s="1030"/>
      <c r="M1440" s="1030"/>
      <c r="N1440" s="1030"/>
      <c r="O1440" s="1030"/>
      <c r="P1440" s="1030"/>
      <c r="Q1440" s="1030"/>
      <c r="R1440" s="1030"/>
      <c r="S1440" s="1031"/>
      <c r="T1440" s="952"/>
      <c r="U1440" s="941"/>
      <c r="V1440" s="941"/>
      <c r="W1440" s="941"/>
    </row>
    <row r="1441" spans="10:23" s="1011" customFormat="1" x14ac:dyDescent="0.2">
      <c r="J1441" s="1030"/>
      <c r="K1441" s="1030"/>
      <c r="L1441" s="1030"/>
      <c r="M1441" s="1030"/>
      <c r="N1441" s="1030"/>
      <c r="O1441" s="1030"/>
      <c r="P1441" s="1030"/>
      <c r="Q1441" s="1030"/>
      <c r="R1441" s="1030"/>
      <c r="S1441" s="1031"/>
      <c r="T1441" s="952"/>
      <c r="U1441" s="941"/>
      <c r="V1441" s="941"/>
      <c r="W1441" s="941"/>
    </row>
    <row r="1442" spans="10:23" s="1011" customFormat="1" x14ac:dyDescent="0.2">
      <c r="J1442" s="1030"/>
      <c r="K1442" s="1030"/>
      <c r="L1442" s="1030"/>
      <c r="M1442" s="1030"/>
      <c r="N1442" s="1030"/>
      <c r="O1442" s="1030"/>
      <c r="P1442" s="1030"/>
      <c r="Q1442" s="1030"/>
      <c r="R1442" s="1030"/>
      <c r="S1442" s="1031"/>
      <c r="T1442" s="952"/>
      <c r="U1442" s="941"/>
      <c r="V1442" s="941"/>
      <c r="W1442" s="941"/>
    </row>
    <row r="1443" spans="10:23" s="1011" customFormat="1" x14ac:dyDescent="0.2">
      <c r="J1443" s="1030"/>
      <c r="K1443" s="1030"/>
      <c r="L1443" s="1030"/>
      <c r="M1443" s="1030"/>
      <c r="N1443" s="1030"/>
      <c r="O1443" s="1030"/>
      <c r="P1443" s="1030"/>
      <c r="Q1443" s="1030"/>
      <c r="R1443" s="1030"/>
      <c r="S1443" s="1031"/>
      <c r="T1443" s="952"/>
      <c r="U1443" s="941"/>
      <c r="V1443" s="941"/>
      <c r="W1443" s="941"/>
    </row>
    <row r="1444" spans="10:23" s="1011" customFormat="1" x14ac:dyDescent="0.2">
      <c r="J1444" s="1030"/>
      <c r="K1444" s="1030"/>
      <c r="L1444" s="1030"/>
      <c r="M1444" s="1030"/>
      <c r="N1444" s="1030"/>
      <c r="O1444" s="1030"/>
      <c r="P1444" s="1030"/>
      <c r="Q1444" s="1030"/>
      <c r="R1444" s="1030"/>
      <c r="S1444" s="1031"/>
      <c r="T1444" s="952"/>
      <c r="U1444" s="941"/>
      <c r="V1444" s="941"/>
      <c r="W1444" s="941"/>
    </row>
    <row r="1445" spans="10:23" s="1011" customFormat="1" x14ac:dyDescent="0.2">
      <c r="J1445" s="1030"/>
      <c r="K1445" s="1030"/>
      <c r="L1445" s="1030"/>
      <c r="M1445" s="1030"/>
      <c r="N1445" s="1030"/>
      <c r="O1445" s="1030"/>
      <c r="P1445" s="1030"/>
      <c r="Q1445" s="1030"/>
      <c r="R1445" s="1030"/>
      <c r="S1445" s="1031"/>
      <c r="T1445" s="952"/>
      <c r="U1445" s="941"/>
      <c r="V1445" s="941"/>
      <c r="W1445" s="941"/>
    </row>
    <row r="1446" spans="10:23" s="1011" customFormat="1" x14ac:dyDescent="0.2">
      <c r="J1446" s="1030"/>
      <c r="K1446" s="1030"/>
      <c r="L1446" s="1030"/>
      <c r="M1446" s="1030"/>
      <c r="N1446" s="1030"/>
      <c r="O1446" s="1030"/>
      <c r="P1446" s="1030"/>
      <c r="Q1446" s="1030"/>
      <c r="R1446" s="1030"/>
      <c r="S1446" s="1031"/>
      <c r="T1446" s="952"/>
      <c r="U1446" s="941"/>
      <c r="V1446" s="941"/>
      <c r="W1446" s="941"/>
    </row>
    <row r="1447" spans="10:23" s="1011" customFormat="1" x14ac:dyDescent="0.2">
      <c r="J1447" s="1030"/>
      <c r="K1447" s="1030"/>
      <c r="L1447" s="1030"/>
      <c r="M1447" s="1030"/>
      <c r="N1447" s="1030"/>
      <c r="O1447" s="1030"/>
      <c r="P1447" s="1030"/>
      <c r="Q1447" s="1030"/>
      <c r="R1447" s="1030"/>
      <c r="S1447" s="1031"/>
      <c r="T1447" s="952"/>
      <c r="U1447" s="941"/>
      <c r="V1447" s="941"/>
      <c r="W1447" s="941"/>
    </row>
    <row r="1448" spans="10:23" s="1011" customFormat="1" x14ac:dyDescent="0.2">
      <c r="J1448" s="1030"/>
      <c r="K1448" s="1030"/>
      <c r="L1448" s="1030"/>
      <c r="M1448" s="1030"/>
      <c r="N1448" s="1030"/>
      <c r="O1448" s="1030"/>
      <c r="P1448" s="1030"/>
      <c r="Q1448" s="1030"/>
      <c r="R1448" s="1030"/>
      <c r="S1448" s="1031"/>
      <c r="T1448" s="952"/>
      <c r="U1448" s="941"/>
      <c r="V1448" s="941"/>
      <c r="W1448" s="941"/>
    </row>
    <row r="1449" spans="10:23" s="1011" customFormat="1" x14ac:dyDescent="0.2">
      <c r="J1449" s="1030"/>
      <c r="K1449" s="1030"/>
      <c r="L1449" s="1030"/>
      <c r="M1449" s="1030"/>
      <c r="N1449" s="1030"/>
      <c r="O1449" s="1030"/>
      <c r="P1449" s="1030"/>
      <c r="Q1449" s="1030"/>
      <c r="R1449" s="1030"/>
      <c r="S1449" s="1031"/>
      <c r="T1449" s="952"/>
      <c r="U1449" s="941"/>
      <c r="V1449" s="941"/>
      <c r="W1449" s="941"/>
    </row>
    <row r="1450" spans="10:23" s="1011" customFormat="1" x14ac:dyDescent="0.2">
      <c r="J1450" s="1030"/>
      <c r="K1450" s="1030"/>
      <c r="L1450" s="1030"/>
      <c r="M1450" s="1030"/>
      <c r="N1450" s="1030"/>
      <c r="O1450" s="1030"/>
      <c r="P1450" s="1030"/>
      <c r="Q1450" s="1030"/>
      <c r="R1450" s="1030"/>
      <c r="S1450" s="1031"/>
      <c r="T1450" s="952"/>
      <c r="U1450" s="941"/>
      <c r="V1450" s="941"/>
      <c r="W1450" s="941"/>
    </row>
    <row r="1451" spans="10:23" s="1011" customFormat="1" x14ac:dyDescent="0.2">
      <c r="J1451" s="1030"/>
      <c r="K1451" s="1030"/>
      <c r="L1451" s="1030"/>
      <c r="M1451" s="1030"/>
      <c r="N1451" s="1030"/>
      <c r="O1451" s="1030"/>
      <c r="P1451" s="1030"/>
      <c r="Q1451" s="1030"/>
      <c r="R1451" s="1030"/>
      <c r="S1451" s="1031"/>
      <c r="T1451" s="952"/>
      <c r="U1451" s="941"/>
      <c r="V1451" s="941"/>
      <c r="W1451" s="941"/>
    </row>
    <row r="1452" spans="10:23" s="1011" customFormat="1" x14ac:dyDescent="0.2">
      <c r="J1452" s="1030"/>
      <c r="K1452" s="1030"/>
      <c r="L1452" s="1030"/>
      <c r="M1452" s="1030"/>
      <c r="N1452" s="1030"/>
      <c r="O1452" s="1030"/>
      <c r="P1452" s="1030"/>
      <c r="Q1452" s="1030"/>
      <c r="R1452" s="1030"/>
      <c r="S1452" s="1031"/>
      <c r="T1452" s="952"/>
      <c r="U1452" s="941"/>
      <c r="V1452" s="941"/>
      <c r="W1452" s="941"/>
    </row>
    <row r="1453" spans="10:23" s="1011" customFormat="1" x14ac:dyDescent="0.2">
      <c r="J1453" s="1030"/>
      <c r="K1453" s="1030"/>
      <c r="L1453" s="1030"/>
      <c r="M1453" s="1030"/>
      <c r="N1453" s="1030"/>
      <c r="O1453" s="1030"/>
      <c r="P1453" s="1030"/>
      <c r="Q1453" s="1030"/>
      <c r="R1453" s="1030"/>
      <c r="S1453" s="1031"/>
      <c r="T1453" s="952"/>
      <c r="U1453" s="941"/>
      <c r="V1453" s="941"/>
      <c r="W1453" s="941"/>
    </row>
    <row r="1454" spans="10:23" s="1011" customFormat="1" x14ac:dyDescent="0.2">
      <c r="J1454" s="1030"/>
      <c r="K1454" s="1030"/>
      <c r="L1454" s="1030"/>
      <c r="M1454" s="1030"/>
      <c r="N1454" s="1030"/>
      <c r="O1454" s="1030"/>
      <c r="P1454" s="1030"/>
      <c r="Q1454" s="1030"/>
      <c r="R1454" s="1030"/>
      <c r="S1454" s="1031"/>
      <c r="T1454" s="952"/>
      <c r="U1454" s="941"/>
      <c r="V1454" s="941"/>
      <c r="W1454" s="941"/>
    </row>
    <row r="1455" spans="10:23" s="1011" customFormat="1" x14ac:dyDescent="0.2">
      <c r="J1455" s="1030"/>
      <c r="K1455" s="1030"/>
      <c r="L1455" s="1030"/>
      <c r="M1455" s="1030"/>
      <c r="N1455" s="1030"/>
      <c r="O1455" s="1030"/>
      <c r="P1455" s="1030"/>
      <c r="Q1455" s="1030"/>
      <c r="R1455" s="1030"/>
      <c r="S1455" s="1031"/>
      <c r="T1455" s="952"/>
      <c r="U1455" s="941"/>
      <c r="V1455" s="941"/>
      <c r="W1455" s="941"/>
    </row>
    <row r="1456" spans="10:23" s="1011" customFormat="1" x14ac:dyDescent="0.2">
      <c r="J1456" s="1030"/>
      <c r="K1456" s="1030"/>
      <c r="L1456" s="1030"/>
      <c r="M1456" s="1030"/>
      <c r="N1456" s="1030"/>
      <c r="O1456" s="1030"/>
      <c r="P1456" s="1030"/>
      <c r="Q1456" s="1030"/>
      <c r="R1456" s="1030"/>
      <c r="S1456" s="1031"/>
      <c r="T1456" s="952"/>
      <c r="U1456" s="941"/>
      <c r="V1456" s="941"/>
      <c r="W1456" s="941"/>
    </row>
    <row r="1457" spans="10:23" s="1011" customFormat="1" x14ac:dyDescent="0.2">
      <c r="J1457" s="1030"/>
      <c r="K1457" s="1030"/>
      <c r="L1457" s="1030"/>
      <c r="M1457" s="1030"/>
      <c r="N1457" s="1030"/>
      <c r="O1457" s="1030"/>
      <c r="P1457" s="1030"/>
      <c r="Q1457" s="1030"/>
      <c r="R1457" s="1030"/>
      <c r="S1457" s="1031"/>
      <c r="T1457" s="952"/>
      <c r="U1457" s="941"/>
      <c r="V1457" s="941"/>
      <c r="W1457" s="941"/>
    </row>
    <row r="1458" spans="10:23" s="1011" customFormat="1" x14ac:dyDescent="0.2">
      <c r="J1458" s="1030"/>
      <c r="K1458" s="1030"/>
      <c r="L1458" s="1030"/>
      <c r="M1458" s="1030"/>
      <c r="N1458" s="1030"/>
      <c r="O1458" s="1030"/>
      <c r="P1458" s="1030"/>
      <c r="Q1458" s="1030"/>
      <c r="R1458" s="1030"/>
      <c r="S1458" s="1031"/>
      <c r="T1458" s="952"/>
      <c r="U1458" s="941"/>
      <c r="V1458" s="941"/>
      <c r="W1458" s="941"/>
    </row>
    <row r="1459" spans="10:23" s="1011" customFormat="1" x14ac:dyDescent="0.2">
      <c r="J1459" s="1030"/>
      <c r="K1459" s="1030"/>
      <c r="L1459" s="1030"/>
      <c r="M1459" s="1030"/>
      <c r="N1459" s="1030"/>
      <c r="O1459" s="1030"/>
      <c r="P1459" s="1030"/>
      <c r="Q1459" s="1030"/>
      <c r="R1459" s="1030"/>
      <c r="S1459" s="1031"/>
      <c r="T1459" s="952"/>
      <c r="U1459" s="941"/>
      <c r="V1459" s="941"/>
      <c r="W1459" s="941"/>
    </row>
    <row r="1460" spans="10:23" s="1011" customFormat="1" x14ac:dyDescent="0.2">
      <c r="J1460" s="1030"/>
      <c r="K1460" s="1030"/>
      <c r="L1460" s="1030"/>
      <c r="M1460" s="1030"/>
      <c r="N1460" s="1030"/>
      <c r="O1460" s="1030"/>
      <c r="P1460" s="1030"/>
      <c r="Q1460" s="1030"/>
      <c r="R1460" s="1030"/>
      <c r="S1460" s="1031"/>
      <c r="T1460" s="952"/>
      <c r="U1460" s="941"/>
      <c r="V1460" s="941"/>
      <c r="W1460" s="941"/>
    </row>
    <row r="1461" spans="10:23" s="1011" customFormat="1" x14ac:dyDescent="0.2">
      <c r="J1461" s="1030"/>
      <c r="K1461" s="1030"/>
      <c r="L1461" s="1030"/>
      <c r="M1461" s="1030"/>
      <c r="N1461" s="1030"/>
      <c r="O1461" s="1030"/>
      <c r="P1461" s="1030"/>
      <c r="Q1461" s="1030"/>
      <c r="R1461" s="1030"/>
      <c r="S1461" s="1031"/>
      <c r="T1461" s="952"/>
      <c r="U1461" s="941"/>
      <c r="V1461" s="941"/>
      <c r="W1461" s="941"/>
    </row>
    <row r="1462" spans="10:23" s="1011" customFormat="1" x14ac:dyDescent="0.2">
      <c r="J1462" s="1030"/>
      <c r="K1462" s="1030"/>
      <c r="L1462" s="1030"/>
      <c r="M1462" s="1030"/>
      <c r="N1462" s="1030"/>
      <c r="O1462" s="1030"/>
      <c r="P1462" s="1030"/>
      <c r="Q1462" s="1030"/>
      <c r="R1462" s="1030"/>
      <c r="S1462" s="1031"/>
      <c r="T1462" s="952"/>
      <c r="U1462" s="941"/>
      <c r="V1462" s="941"/>
      <c r="W1462" s="941"/>
    </row>
    <row r="1463" spans="10:23" s="1011" customFormat="1" x14ac:dyDescent="0.2">
      <c r="J1463" s="1030"/>
      <c r="K1463" s="1030"/>
      <c r="L1463" s="1030"/>
      <c r="M1463" s="1030"/>
      <c r="N1463" s="1030"/>
      <c r="O1463" s="1030"/>
      <c r="P1463" s="1030"/>
      <c r="Q1463" s="1030"/>
      <c r="R1463" s="1030"/>
      <c r="S1463" s="1031"/>
      <c r="T1463" s="952"/>
      <c r="U1463" s="941"/>
      <c r="V1463" s="941"/>
      <c r="W1463" s="941"/>
    </row>
    <row r="1464" spans="10:23" s="1011" customFormat="1" x14ac:dyDescent="0.2">
      <c r="J1464" s="1030"/>
      <c r="K1464" s="1030"/>
      <c r="L1464" s="1030"/>
      <c r="M1464" s="1030"/>
      <c r="N1464" s="1030"/>
      <c r="O1464" s="1030"/>
      <c r="P1464" s="1030"/>
      <c r="Q1464" s="1030"/>
      <c r="R1464" s="1030"/>
      <c r="S1464" s="1031"/>
      <c r="T1464" s="952"/>
      <c r="U1464" s="941"/>
      <c r="V1464" s="941"/>
      <c r="W1464" s="941"/>
    </row>
    <row r="1465" spans="10:23" s="1011" customFormat="1" x14ac:dyDescent="0.2">
      <c r="J1465" s="1030"/>
      <c r="K1465" s="1030"/>
      <c r="L1465" s="1030"/>
      <c r="M1465" s="1030"/>
      <c r="N1465" s="1030"/>
      <c r="O1465" s="1030"/>
      <c r="P1465" s="1030"/>
      <c r="Q1465" s="1030"/>
      <c r="R1465" s="1030"/>
      <c r="S1465" s="1031"/>
      <c r="T1465" s="952"/>
      <c r="U1465" s="941"/>
      <c r="V1465" s="941"/>
      <c r="W1465" s="941"/>
    </row>
    <row r="1466" spans="10:23" s="1011" customFormat="1" x14ac:dyDescent="0.2">
      <c r="J1466" s="1030"/>
      <c r="K1466" s="1030"/>
      <c r="L1466" s="1030"/>
      <c r="M1466" s="1030"/>
      <c r="N1466" s="1030"/>
      <c r="O1466" s="1030"/>
      <c r="P1466" s="1030"/>
      <c r="Q1466" s="1030"/>
      <c r="R1466" s="1030"/>
      <c r="S1466" s="1031"/>
      <c r="T1466" s="952"/>
      <c r="U1466" s="941"/>
      <c r="V1466" s="941"/>
      <c r="W1466" s="941"/>
    </row>
    <row r="1467" spans="10:23" s="1011" customFormat="1" x14ac:dyDescent="0.2">
      <c r="J1467" s="1030"/>
      <c r="K1467" s="1030"/>
      <c r="L1467" s="1030"/>
      <c r="M1467" s="1030"/>
      <c r="N1467" s="1030"/>
      <c r="O1467" s="1030"/>
      <c r="P1467" s="1030"/>
      <c r="Q1467" s="1030"/>
      <c r="R1467" s="1030"/>
      <c r="S1467" s="1031"/>
      <c r="T1467" s="952"/>
      <c r="U1467" s="941"/>
      <c r="V1467" s="941"/>
      <c r="W1467" s="941"/>
    </row>
    <row r="1468" spans="10:23" s="1011" customFormat="1" x14ac:dyDescent="0.2">
      <c r="J1468" s="1030"/>
      <c r="K1468" s="1030"/>
      <c r="L1468" s="1030"/>
      <c r="M1468" s="1030"/>
      <c r="N1468" s="1030"/>
      <c r="O1468" s="1030"/>
      <c r="P1468" s="1030"/>
      <c r="Q1468" s="1030"/>
      <c r="R1468" s="1030"/>
      <c r="S1468" s="1031"/>
      <c r="T1468" s="952"/>
      <c r="U1468" s="941"/>
      <c r="V1468" s="941"/>
      <c r="W1468" s="941"/>
    </row>
    <row r="1469" spans="10:23" s="1011" customFormat="1" x14ac:dyDescent="0.2">
      <c r="J1469" s="1030"/>
      <c r="K1469" s="1030"/>
      <c r="L1469" s="1030"/>
      <c r="M1469" s="1030"/>
      <c r="N1469" s="1030"/>
      <c r="O1469" s="1030"/>
      <c r="P1469" s="1030"/>
      <c r="Q1469" s="1030"/>
      <c r="R1469" s="1030"/>
      <c r="S1469" s="1031"/>
      <c r="T1469" s="952"/>
      <c r="U1469" s="941"/>
      <c r="V1469" s="941"/>
      <c r="W1469" s="941"/>
    </row>
    <row r="1470" spans="10:23" s="1011" customFormat="1" x14ac:dyDescent="0.2">
      <c r="J1470" s="1030"/>
      <c r="K1470" s="1030"/>
      <c r="L1470" s="1030"/>
      <c r="M1470" s="1030"/>
      <c r="N1470" s="1030"/>
      <c r="O1470" s="1030"/>
      <c r="P1470" s="1030"/>
      <c r="Q1470" s="1030"/>
      <c r="R1470" s="1030"/>
      <c r="S1470" s="1031"/>
      <c r="T1470" s="952"/>
      <c r="U1470" s="941"/>
      <c r="V1470" s="941"/>
      <c r="W1470" s="941"/>
    </row>
    <row r="1471" spans="10:23" s="1011" customFormat="1" x14ac:dyDescent="0.2">
      <c r="J1471" s="1030"/>
      <c r="K1471" s="1030"/>
      <c r="L1471" s="1030"/>
      <c r="M1471" s="1030"/>
      <c r="N1471" s="1030"/>
      <c r="O1471" s="1030"/>
      <c r="P1471" s="1030"/>
      <c r="Q1471" s="1030"/>
      <c r="R1471" s="1030"/>
      <c r="S1471" s="1031"/>
      <c r="T1471" s="952"/>
      <c r="U1471" s="941"/>
      <c r="V1471" s="941"/>
      <c r="W1471" s="941"/>
    </row>
    <row r="1472" spans="10:23" s="1011" customFormat="1" x14ac:dyDescent="0.2">
      <c r="J1472" s="1030"/>
      <c r="K1472" s="1030"/>
      <c r="L1472" s="1030"/>
      <c r="M1472" s="1030"/>
      <c r="N1472" s="1030"/>
      <c r="O1472" s="1030"/>
      <c r="P1472" s="1030"/>
      <c r="Q1472" s="1030"/>
      <c r="R1472" s="1030"/>
      <c r="S1472" s="1031"/>
      <c r="T1472" s="952"/>
      <c r="U1472" s="941"/>
      <c r="V1472" s="941"/>
      <c r="W1472" s="941"/>
    </row>
    <row r="1473" spans="10:23" s="1011" customFormat="1" x14ac:dyDescent="0.2">
      <c r="J1473" s="1030"/>
      <c r="K1473" s="1030"/>
      <c r="L1473" s="1030"/>
      <c r="M1473" s="1030"/>
      <c r="N1473" s="1030"/>
      <c r="O1473" s="1030"/>
      <c r="P1473" s="1030"/>
      <c r="Q1473" s="1030"/>
      <c r="R1473" s="1030"/>
      <c r="S1473" s="1031"/>
      <c r="T1473" s="952"/>
      <c r="U1473" s="941"/>
      <c r="V1473" s="941"/>
      <c r="W1473" s="941"/>
    </row>
    <row r="1474" spans="10:23" s="1011" customFormat="1" x14ac:dyDescent="0.2">
      <c r="J1474" s="1030"/>
      <c r="K1474" s="1030"/>
      <c r="L1474" s="1030"/>
      <c r="M1474" s="1030"/>
      <c r="N1474" s="1030"/>
      <c r="O1474" s="1030"/>
      <c r="P1474" s="1030"/>
      <c r="Q1474" s="1030"/>
      <c r="R1474" s="1030"/>
      <c r="S1474" s="1031"/>
      <c r="T1474" s="952"/>
      <c r="U1474" s="941"/>
      <c r="V1474" s="941"/>
      <c r="W1474" s="941"/>
    </row>
    <row r="1475" spans="10:23" s="1011" customFormat="1" x14ac:dyDescent="0.2">
      <c r="J1475" s="1030"/>
      <c r="K1475" s="1030"/>
      <c r="L1475" s="1030"/>
      <c r="M1475" s="1030"/>
      <c r="N1475" s="1030"/>
      <c r="O1475" s="1030"/>
      <c r="P1475" s="1030"/>
      <c r="Q1475" s="1030"/>
      <c r="R1475" s="1030"/>
      <c r="S1475" s="1031"/>
      <c r="T1475" s="952"/>
      <c r="U1475" s="941"/>
      <c r="V1475" s="941"/>
      <c r="W1475" s="941"/>
    </row>
    <row r="1476" spans="10:23" s="1011" customFormat="1" x14ac:dyDescent="0.2">
      <c r="J1476" s="1030"/>
      <c r="K1476" s="1030"/>
      <c r="L1476" s="1030"/>
      <c r="M1476" s="1030"/>
      <c r="N1476" s="1030"/>
      <c r="O1476" s="1030"/>
      <c r="P1476" s="1030"/>
      <c r="Q1476" s="1030"/>
      <c r="R1476" s="1030"/>
      <c r="S1476" s="1031"/>
      <c r="T1476" s="952"/>
      <c r="U1476" s="941"/>
      <c r="V1476" s="941"/>
      <c r="W1476" s="941"/>
    </row>
    <row r="1477" spans="10:23" s="1011" customFormat="1" x14ac:dyDescent="0.2">
      <c r="J1477" s="1030"/>
      <c r="K1477" s="1030"/>
      <c r="L1477" s="1030"/>
      <c r="M1477" s="1030"/>
      <c r="N1477" s="1030"/>
      <c r="O1477" s="1030"/>
      <c r="P1477" s="1030"/>
      <c r="Q1477" s="1030"/>
      <c r="R1477" s="1030"/>
      <c r="S1477" s="1031"/>
      <c r="T1477" s="952"/>
      <c r="U1477" s="941"/>
      <c r="V1477" s="941"/>
      <c r="W1477" s="941"/>
    </row>
    <row r="1478" spans="10:23" s="1011" customFormat="1" x14ac:dyDescent="0.2">
      <c r="J1478" s="1030"/>
      <c r="K1478" s="1030"/>
      <c r="L1478" s="1030"/>
      <c r="M1478" s="1030"/>
      <c r="N1478" s="1030"/>
      <c r="O1478" s="1030"/>
      <c r="P1478" s="1030"/>
      <c r="Q1478" s="1030"/>
      <c r="R1478" s="1030"/>
      <c r="S1478" s="1031"/>
      <c r="T1478" s="952"/>
      <c r="U1478" s="941"/>
      <c r="V1478" s="941"/>
      <c r="W1478" s="941"/>
    </row>
    <row r="1479" spans="10:23" s="1011" customFormat="1" x14ac:dyDescent="0.2">
      <c r="J1479" s="1030"/>
      <c r="K1479" s="1030"/>
      <c r="L1479" s="1030"/>
      <c r="M1479" s="1030"/>
      <c r="N1479" s="1030"/>
      <c r="O1479" s="1030"/>
      <c r="P1479" s="1030"/>
      <c r="Q1479" s="1030"/>
      <c r="R1479" s="1030"/>
      <c r="S1479" s="1031"/>
      <c r="T1479" s="952"/>
      <c r="U1479" s="941"/>
      <c r="V1479" s="941"/>
      <c r="W1479" s="941"/>
    </row>
    <row r="1480" spans="10:23" s="1011" customFormat="1" x14ac:dyDescent="0.2">
      <c r="J1480" s="1030"/>
      <c r="K1480" s="1030"/>
      <c r="L1480" s="1030"/>
      <c r="M1480" s="1030"/>
      <c r="N1480" s="1030"/>
      <c r="O1480" s="1030"/>
      <c r="P1480" s="1030"/>
      <c r="Q1480" s="1030"/>
      <c r="R1480" s="1030"/>
      <c r="S1480" s="1031"/>
      <c r="T1480" s="952"/>
      <c r="U1480" s="941"/>
      <c r="V1480" s="941"/>
      <c r="W1480" s="941"/>
    </row>
    <row r="1481" spans="10:23" s="1011" customFormat="1" x14ac:dyDescent="0.2">
      <c r="J1481" s="1030"/>
      <c r="K1481" s="1030"/>
      <c r="L1481" s="1030"/>
      <c r="M1481" s="1030"/>
      <c r="N1481" s="1030"/>
      <c r="O1481" s="1030"/>
      <c r="P1481" s="1030"/>
      <c r="Q1481" s="1030"/>
      <c r="R1481" s="1030"/>
      <c r="S1481" s="1031"/>
      <c r="T1481" s="952"/>
      <c r="U1481" s="941"/>
      <c r="V1481" s="941"/>
      <c r="W1481" s="941"/>
    </row>
    <row r="1482" spans="10:23" s="1011" customFormat="1" x14ac:dyDescent="0.2">
      <c r="J1482" s="1030"/>
      <c r="K1482" s="1030"/>
      <c r="L1482" s="1030"/>
      <c r="M1482" s="1030"/>
      <c r="N1482" s="1030"/>
      <c r="O1482" s="1030"/>
      <c r="P1482" s="1030"/>
      <c r="Q1482" s="1030"/>
      <c r="R1482" s="1030"/>
      <c r="S1482" s="1031"/>
      <c r="T1482" s="952"/>
      <c r="U1482" s="941"/>
      <c r="V1482" s="941"/>
      <c r="W1482" s="941"/>
    </row>
    <row r="1483" spans="10:23" s="1011" customFormat="1" x14ac:dyDescent="0.2">
      <c r="J1483" s="1030"/>
      <c r="K1483" s="1030"/>
      <c r="L1483" s="1030"/>
      <c r="M1483" s="1030"/>
      <c r="N1483" s="1030"/>
      <c r="O1483" s="1030"/>
      <c r="P1483" s="1030"/>
      <c r="Q1483" s="1030"/>
      <c r="R1483" s="1030"/>
      <c r="S1483" s="1031"/>
      <c r="T1483" s="952"/>
      <c r="U1483" s="941"/>
      <c r="V1483" s="941"/>
      <c r="W1483" s="941"/>
    </row>
    <row r="1484" spans="10:23" s="1011" customFormat="1" x14ac:dyDescent="0.2">
      <c r="J1484" s="1030"/>
      <c r="K1484" s="1030"/>
      <c r="L1484" s="1030"/>
      <c r="M1484" s="1030"/>
      <c r="N1484" s="1030"/>
      <c r="O1484" s="1030"/>
      <c r="P1484" s="1030"/>
      <c r="Q1484" s="1030"/>
      <c r="R1484" s="1030"/>
      <c r="S1484" s="1031"/>
      <c r="T1484" s="952"/>
      <c r="U1484" s="941"/>
      <c r="V1484" s="941"/>
      <c r="W1484" s="941"/>
    </row>
    <row r="1485" spans="10:23" s="1011" customFormat="1" x14ac:dyDescent="0.2">
      <c r="J1485" s="1030"/>
      <c r="K1485" s="1030"/>
      <c r="L1485" s="1030"/>
      <c r="M1485" s="1030"/>
      <c r="N1485" s="1030"/>
      <c r="O1485" s="1030"/>
      <c r="P1485" s="1030"/>
      <c r="Q1485" s="1030"/>
      <c r="R1485" s="1030"/>
      <c r="S1485" s="1031"/>
      <c r="T1485" s="952"/>
      <c r="U1485" s="941"/>
      <c r="V1485" s="941"/>
      <c r="W1485" s="941"/>
    </row>
    <row r="1486" spans="10:23" s="1011" customFormat="1" x14ac:dyDescent="0.2">
      <c r="J1486" s="1030"/>
      <c r="K1486" s="1030"/>
      <c r="L1486" s="1030"/>
      <c r="M1486" s="1030"/>
      <c r="N1486" s="1030"/>
      <c r="O1486" s="1030"/>
      <c r="P1486" s="1030"/>
      <c r="Q1486" s="1030"/>
      <c r="R1486" s="1030"/>
      <c r="S1486" s="1031"/>
      <c r="T1486" s="952"/>
      <c r="U1486" s="941"/>
      <c r="V1486" s="941"/>
      <c r="W1486" s="941"/>
    </row>
    <row r="1487" spans="10:23" s="1011" customFormat="1" x14ac:dyDescent="0.2">
      <c r="J1487" s="1030"/>
      <c r="K1487" s="1030"/>
      <c r="L1487" s="1030"/>
      <c r="M1487" s="1030"/>
      <c r="N1487" s="1030"/>
      <c r="O1487" s="1030"/>
      <c r="P1487" s="1030"/>
      <c r="Q1487" s="1030"/>
      <c r="R1487" s="1030"/>
      <c r="S1487" s="1031"/>
      <c r="T1487" s="952"/>
      <c r="U1487" s="941"/>
      <c r="V1487" s="941"/>
      <c r="W1487" s="941"/>
    </row>
    <row r="1488" spans="10:23" s="1011" customFormat="1" x14ac:dyDescent="0.2">
      <c r="J1488" s="1030"/>
      <c r="K1488" s="1030"/>
      <c r="L1488" s="1030"/>
      <c r="M1488" s="1030"/>
      <c r="N1488" s="1030"/>
      <c r="O1488" s="1030"/>
      <c r="P1488" s="1030"/>
      <c r="Q1488" s="1030"/>
      <c r="R1488" s="1030"/>
      <c r="S1488" s="1031"/>
      <c r="T1488" s="952"/>
      <c r="U1488" s="941"/>
      <c r="V1488" s="941"/>
      <c r="W1488" s="941"/>
    </row>
    <row r="1489" spans="10:23" s="1011" customFormat="1" x14ac:dyDescent="0.2">
      <c r="J1489" s="1030"/>
      <c r="K1489" s="1030"/>
      <c r="L1489" s="1030"/>
      <c r="M1489" s="1030"/>
      <c r="N1489" s="1030"/>
      <c r="O1489" s="1030"/>
      <c r="P1489" s="1030"/>
      <c r="Q1489" s="1030"/>
      <c r="R1489" s="1030"/>
      <c r="S1489" s="1031"/>
      <c r="T1489" s="952"/>
      <c r="U1489" s="941"/>
      <c r="V1489" s="941"/>
      <c r="W1489" s="941"/>
    </row>
    <row r="1490" spans="10:23" s="1011" customFormat="1" x14ac:dyDescent="0.2">
      <c r="J1490" s="1030"/>
      <c r="K1490" s="1030"/>
      <c r="L1490" s="1030"/>
      <c r="M1490" s="1030"/>
      <c r="N1490" s="1030"/>
      <c r="O1490" s="1030"/>
      <c r="P1490" s="1030"/>
      <c r="Q1490" s="1030"/>
      <c r="R1490" s="1030"/>
      <c r="S1490" s="1031"/>
      <c r="T1490" s="952"/>
      <c r="U1490" s="941"/>
      <c r="V1490" s="941"/>
      <c r="W1490" s="941"/>
    </row>
    <row r="1491" spans="10:23" s="1011" customFormat="1" x14ac:dyDescent="0.2">
      <c r="J1491" s="1030"/>
      <c r="K1491" s="1030"/>
      <c r="L1491" s="1030"/>
      <c r="M1491" s="1030"/>
      <c r="N1491" s="1030"/>
      <c r="O1491" s="1030"/>
      <c r="P1491" s="1030"/>
      <c r="Q1491" s="1030"/>
      <c r="R1491" s="1030"/>
      <c r="S1491" s="1031"/>
      <c r="T1491" s="952"/>
      <c r="U1491" s="941"/>
      <c r="V1491" s="941"/>
      <c r="W1491" s="941"/>
    </row>
    <row r="1492" spans="10:23" s="1011" customFormat="1" x14ac:dyDescent="0.2">
      <c r="J1492" s="1030"/>
      <c r="K1492" s="1030"/>
      <c r="L1492" s="1030"/>
      <c r="M1492" s="1030"/>
      <c r="N1492" s="1030"/>
      <c r="O1492" s="1030"/>
      <c r="P1492" s="1030"/>
      <c r="Q1492" s="1030"/>
      <c r="R1492" s="1030"/>
      <c r="S1492" s="1031"/>
      <c r="T1492" s="952"/>
      <c r="U1492" s="941"/>
      <c r="V1492" s="941"/>
      <c r="W1492" s="941"/>
    </row>
    <row r="1493" spans="10:23" s="1011" customFormat="1" x14ac:dyDescent="0.2">
      <c r="J1493" s="1030"/>
      <c r="K1493" s="1030"/>
      <c r="L1493" s="1030"/>
      <c r="M1493" s="1030"/>
      <c r="N1493" s="1030"/>
      <c r="O1493" s="1030"/>
      <c r="P1493" s="1030"/>
      <c r="Q1493" s="1030"/>
      <c r="R1493" s="1030"/>
      <c r="S1493" s="1031"/>
      <c r="T1493" s="952"/>
      <c r="U1493" s="941"/>
      <c r="V1493" s="941"/>
      <c r="W1493" s="941"/>
    </row>
    <row r="1494" spans="10:23" s="1011" customFormat="1" x14ac:dyDescent="0.2">
      <c r="J1494" s="1030"/>
      <c r="K1494" s="1030"/>
      <c r="L1494" s="1030"/>
      <c r="M1494" s="1030"/>
      <c r="N1494" s="1030"/>
      <c r="O1494" s="1030"/>
      <c r="P1494" s="1030"/>
      <c r="Q1494" s="1030"/>
      <c r="R1494" s="1030"/>
      <c r="S1494" s="1031"/>
      <c r="T1494" s="952"/>
      <c r="U1494" s="941"/>
      <c r="V1494" s="941"/>
      <c r="W1494" s="941"/>
    </row>
    <row r="1495" spans="10:23" s="1011" customFormat="1" x14ac:dyDescent="0.2">
      <c r="J1495" s="1030"/>
      <c r="K1495" s="1030"/>
      <c r="L1495" s="1030"/>
      <c r="M1495" s="1030"/>
      <c r="N1495" s="1030"/>
      <c r="O1495" s="1030"/>
      <c r="P1495" s="1030"/>
      <c r="Q1495" s="1030"/>
      <c r="R1495" s="1030"/>
      <c r="S1495" s="1031"/>
      <c r="T1495" s="952"/>
      <c r="U1495" s="941"/>
      <c r="V1495" s="941"/>
      <c r="W1495" s="941"/>
    </row>
    <row r="1496" spans="10:23" s="1011" customFormat="1" x14ac:dyDescent="0.2">
      <c r="J1496" s="1030"/>
      <c r="K1496" s="1030"/>
      <c r="L1496" s="1030"/>
      <c r="M1496" s="1030"/>
      <c r="N1496" s="1030"/>
      <c r="O1496" s="1030"/>
      <c r="P1496" s="1030"/>
      <c r="Q1496" s="1030"/>
      <c r="R1496" s="1030"/>
      <c r="S1496" s="1031"/>
      <c r="T1496" s="952"/>
      <c r="U1496" s="941"/>
      <c r="V1496" s="941"/>
      <c r="W1496" s="941"/>
    </row>
    <row r="1497" spans="10:23" s="1011" customFormat="1" x14ac:dyDescent="0.2">
      <c r="J1497" s="1030"/>
      <c r="K1497" s="1030"/>
      <c r="L1497" s="1030"/>
      <c r="M1497" s="1030"/>
      <c r="N1497" s="1030"/>
      <c r="O1497" s="1030"/>
      <c r="P1497" s="1030"/>
      <c r="Q1497" s="1030"/>
      <c r="R1497" s="1030"/>
      <c r="S1497" s="1031"/>
      <c r="T1497" s="952"/>
      <c r="U1497" s="941"/>
      <c r="V1497" s="941"/>
      <c r="W1497" s="941"/>
    </row>
    <row r="1498" spans="10:23" s="1011" customFormat="1" x14ac:dyDescent="0.2">
      <c r="J1498" s="1030"/>
      <c r="K1498" s="1030"/>
      <c r="L1498" s="1030"/>
      <c r="M1498" s="1030"/>
      <c r="N1498" s="1030"/>
      <c r="O1498" s="1030"/>
      <c r="P1498" s="1030"/>
      <c r="Q1498" s="1030"/>
      <c r="R1498" s="1030"/>
      <c r="S1498" s="1031"/>
      <c r="T1498" s="952"/>
      <c r="U1498" s="941"/>
      <c r="V1498" s="941"/>
      <c r="W1498" s="941"/>
    </row>
    <row r="1499" spans="10:23" s="1011" customFormat="1" x14ac:dyDescent="0.2">
      <c r="J1499" s="1030"/>
      <c r="K1499" s="1030"/>
      <c r="L1499" s="1030"/>
      <c r="M1499" s="1030"/>
      <c r="N1499" s="1030"/>
      <c r="O1499" s="1030"/>
      <c r="P1499" s="1030"/>
      <c r="Q1499" s="1030"/>
      <c r="R1499" s="1030"/>
      <c r="S1499" s="1031"/>
      <c r="T1499" s="952"/>
      <c r="U1499" s="941"/>
      <c r="V1499" s="941"/>
      <c r="W1499" s="941"/>
    </row>
    <row r="1500" spans="10:23" s="1011" customFormat="1" x14ac:dyDescent="0.2">
      <c r="J1500" s="1030"/>
      <c r="K1500" s="1030"/>
      <c r="L1500" s="1030"/>
      <c r="M1500" s="1030"/>
      <c r="N1500" s="1030"/>
      <c r="O1500" s="1030"/>
      <c r="P1500" s="1030"/>
      <c r="Q1500" s="1030"/>
      <c r="R1500" s="1030"/>
      <c r="S1500" s="1031"/>
      <c r="T1500" s="952"/>
      <c r="U1500" s="941"/>
      <c r="V1500" s="941"/>
      <c r="W1500" s="941"/>
    </row>
    <row r="1501" spans="10:23" s="1011" customFormat="1" x14ac:dyDescent="0.2">
      <c r="J1501" s="1030"/>
      <c r="K1501" s="1030"/>
      <c r="L1501" s="1030"/>
      <c r="M1501" s="1030"/>
      <c r="N1501" s="1030"/>
      <c r="O1501" s="1030"/>
      <c r="P1501" s="1030"/>
      <c r="Q1501" s="1030"/>
      <c r="R1501" s="1030"/>
      <c r="S1501" s="1031"/>
      <c r="T1501" s="952"/>
      <c r="U1501" s="941"/>
      <c r="V1501" s="941"/>
      <c r="W1501" s="941"/>
    </row>
    <row r="1502" spans="10:23" s="1011" customFormat="1" x14ac:dyDescent="0.2">
      <c r="J1502" s="1030"/>
      <c r="K1502" s="1030"/>
      <c r="L1502" s="1030"/>
      <c r="M1502" s="1030"/>
      <c r="N1502" s="1030"/>
      <c r="O1502" s="1030"/>
      <c r="P1502" s="1030"/>
      <c r="Q1502" s="1030"/>
      <c r="R1502" s="1030"/>
      <c r="S1502" s="1031"/>
      <c r="T1502" s="952"/>
      <c r="U1502" s="941"/>
      <c r="V1502" s="941"/>
      <c r="W1502" s="941"/>
    </row>
    <row r="1503" spans="10:23" s="1011" customFormat="1" x14ac:dyDescent="0.2">
      <c r="J1503" s="1030"/>
      <c r="K1503" s="1030"/>
      <c r="L1503" s="1030"/>
      <c r="M1503" s="1030"/>
      <c r="N1503" s="1030"/>
      <c r="O1503" s="1030"/>
      <c r="P1503" s="1030"/>
      <c r="Q1503" s="1030"/>
      <c r="R1503" s="1030"/>
      <c r="S1503" s="1031"/>
      <c r="T1503" s="952"/>
      <c r="U1503" s="941"/>
      <c r="V1503" s="941"/>
      <c r="W1503" s="941"/>
    </row>
    <row r="1504" spans="10:23" s="1011" customFormat="1" x14ac:dyDescent="0.2">
      <c r="J1504" s="1030"/>
      <c r="K1504" s="1030"/>
      <c r="L1504" s="1030"/>
      <c r="M1504" s="1030"/>
      <c r="N1504" s="1030"/>
      <c r="O1504" s="1030"/>
      <c r="P1504" s="1030"/>
      <c r="Q1504" s="1030"/>
      <c r="R1504" s="1030"/>
      <c r="S1504" s="1031"/>
      <c r="T1504" s="952"/>
      <c r="U1504" s="941"/>
      <c r="V1504" s="941"/>
      <c r="W1504" s="941"/>
    </row>
    <row r="1505" spans="10:23" s="1011" customFormat="1" x14ac:dyDescent="0.2">
      <c r="J1505" s="1030"/>
      <c r="K1505" s="1030"/>
      <c r="L1505" s="1030"/>
      <c r="M1505" s="1030"/>
      <c r="N1505" s="1030"/>
      <c r="O1505" s="1030"/>
      <c r="P1505" s="1030"/>
      <c r="Q1505" s="1030"/>
      <c r="R1505" s="1030"/>
      <c r="S1505" s="1031"/>
      <c r="T1505" s="952"/>
      <c r="U1505" s="941"/>
      <c r="V1505" s="941"/>
      <c r="W1505" s="941"/>
    </row>
    <row r="1506" spans="10:23" s="1011" customFormat="1" x14ac:dyDescent="0.2">
      <c r="J1506" s="1030"/>
      <c r="K1506" s="1030"/>
      <c r="L1506" s="1030"/>
      <c r="M1506" s="1030"/>
      <c r="N1506" s="1030"/>
      <c r="O1506" s="1030"/>
      <c r="P1506" s="1030"/>
      <c r="Q1506" s="1030"/>
      <c r="R1506" s="1030"/>
      <c r="S1506" s="1031"/>
      <c r="T1506" s="952"/>
      <c r="U1506" s="941"/>
      <c r="V1506" s="941"/>
      <c r="W1506" s="941"/>
    </row>
    <row r="1507" spans="10:23" s="1011" customFormat="1" x14ac:dyDescent="0.2">
      <c r="J1507" s="1030"/>
      <c r="K1507" s="1030"/>
      <c r="L1507" s="1030"/>
      <c r="M1507" s="1030"/>
      <c r="N1507" s="1030"/>
      <c r="O1507" s="1030"/>
      <c r="P1507" s="1030"/>
      <c r="Q1507" s="1030"/>
      <c r="R1507" s="1030"/>
      <c r="S1507" s="1031"/>
      <c r="T1507" s="952"/>
      <c r="U1507" s="941"/>
      <c r="V1507" s="941"/>
      <c r="W1507" s="941"/>
    </row>
    <row r="1508" spans="10:23" s="1011" customFormat="1" x14ac:dyDescent="0.2">
      <c r="J1508" s="1030"/>
      <c r="K1508" s="1030"/>
      <c r="L1508" s="1030"/>
      <c r="M1508" s="1030"/>
      <c r="N1508" s="1030"/>
      <c r="O1508" s="1030"/>
      <c r="P1508" s="1030"/>
      <c r="Q1508" s="1030"/>
      <c r="R1508" s="1030"/>
      <c r="S1508" s="1031"/>
      <c r="T1508" s="952"/>
      <c r="U1508" s="941"/>
      <c r="V1508" s="941"/>
      <c r="W1508" s="941"/>
    </row>
    <row r="1509" spans="10:23" s="1011" customFormat="1" x14ac:dyDescent="0.2">
      <c r="J1509" s="1030"/>
      <c r="K1509" s="1030"/>
      <c r="L1509" s="1030"/>
      <c r="M1509" s="1030"/>
      <c r="N1509" s="1030"/>
      <c r="O1509" s="1030"/>
      <c r="P1509" s="1030"/>
      <c r="Q1509" s="1030"/>
      <c r="R1509" s="1030"/>
      <c r="S1509" s="1031"/>
      <c r="T1509" s="952"/>
      <c r="U1509" s="941"/>
      <c r="V1509" s="941"/>
      <c r="W1509" s="941"/>
    </row>
    <row r="1510" spans="10:23" s="1011" customFormat="1" x14ac:dyDescent="0.2">
      <c r="J1510" s="1030"/>
      <c r="K1510" s="1030"/>
      <c r="L1510" s="1030"/>
      <c r="M1510" s="1030"/>
      <c r="N1510" s="1030"/>
      <c r="O1510" s="1030"/>
      <c r="P1510" s="1030"/>
      <c r="Q1510" s="1030"/>
      <c r="R1510" s="1030"/>
      <c r="S1510" s="1031"/>
      <c r="T1510" s="952"/>
      <c r="U1510" s="941"/>
      <c r="V1510" s="941"/>
      <c r="W1510" s="941"/>
    </row>
    <row r="1511" spans="10:23" s="1011" customFormat="1" x14ac:dyDescent="0.2">
      <c r="J1511" s="1030"/>
      <c r="K1511" s="1030"/>
      <c r="L1511" s="1030"/>
      <c r="M1511" s="1030"/>
      <c r="N1511" s="1030"/>
      <c r="O1511" s="1030"/>
      <c r="P1511" s="1030"/>
      <c r="Q1511" s="1030"/>
      <c r="R1511" s="1030"/>
      <c r="S1511" s="1031"/>
      <c r="T1511" s="952"/>
      <c r="U1511" s="941"/>
      <c r="V1511" s="941"/>
      <c r="W1511" s="941"/>
    </row>
    <row r="1512" spans="10:23" s="1011" customFormat="1" x14ac:dyDescent="0.2">
      <c r="J1512" s="1030"/>
      <c r="K1512" s="1030"/>
      <c r="L1512" s="1030"/>
      <c r="M1512" s="1030"/>
      <c r="N1512" s="1030"/>
      <c r="O1512" s="1030"/>
      <c r="P1512" s="1030"/>
      <c r="Q1512" s="1030"/>
      <c r="R1512" s="1030"/>
      <c r="S1512" s="1031"/>
      <c r="T1512" s="952"/>
      <c r="U1512" s="941"/>
      <c r="V1512" s="941"/>
      <c r="W1512" s="941"/>
    </row>
    <row r="1513" spans="10:23" s="1011" customFormat="1" x14ac:dyDescent="0.2">
      <c r="J1513" s="1030"/>
      <c r="K1513" s="1030"/>
      <c r="L1513" s="1030"/>
      <c r="M1513" s="1030"/>
      <c r="N1513" s="1030"/>
      <c r="O1513" s="1030"/>
      <c r="P1513" s="1030"/>
      <c r="Q1513" s="1030"/>
      <c r="R1513" s="1030"/>
      <c r="S1513" s="1031"/>
      <c r="T1513" s="952"/>
      <c r="U1513" s="941"/>
      <c r="V1513" s="941"/>
      <c r="W1513" s="941"/>
    </row>
    <row r="1514" spans="10:23" s="1011" customFormat="1" x14ac:dyDescent="0.2">
      <c r="J1514" s="1030"/>
      <c r="K1514" s="1030"/>
      <c r="L1514" s="1030"/>
      <c r="M1514" s="1030"/>
      <c r="N1514" s="1030"/>
      <c r="O1514" s="1030"/>
      <c r="P1514" s="1030"/>
      <c r="Q1514" s="1030"/>
      <c r="R1514" s="1030"/>
      <c r="S1514" s="1031"/>
      <c r="T1514" s="952"/>
      <c r="U1514" s="941"/>
      <c r="V1514" s="941"/>
      <c r="W1514" s="941"/>
    </row>
    <row r="1515" spans="10:23" s="1011" customFormat="1" x14ac:dyDescent="0.2">
      <c r="J1515" s="1030"/>
      <c r="K1515" s="1030"/>
      <c r="L1515" s="1030"/>
      <c r="M1515" s="1030"/>
      <c r="N1515" s="1030"/>
      <c r="O1515" s="1030"/>
      <c r="P1515" s="1030"/>
      <c r="Q1515" s="1030"/>
      <c r="R1515" s="1030"/>
      <c r="S1515" s="1031"/>
      <c r="T1515" s="952"/>
      <c r="U1515" s="941"/>
      <c r="V1515" s="941"/>
      <c r="W1515" s="941"/>
    </row>
    <row r="1516" spans="10:23" s="1011" customFormat="1" x14ac:dyDescent="0.2">
      <c r="J1516" s="1030"/>
      <c r="K1516" s="1030"/>
      <c r="L1516" s="1030"/>
      <c r="M1516" s="1030"/>
      <c r="N1516" s="1030"/>
      <c r="O1516" s="1030"/>
      <c r="P1516" s="1030"/>
      <c r="Q1516" s="1030"/>
      <c r="R1516" s="1030"/>
      <c r="S1516" s="1031"/>
      <c r="T1516" s="952"/>
      <c r="U1516" s="941"/>
      <c r="V1516" s="941"/>
      <c r="W1516" s="941"/>
    </row>
    <row r="1517" spans="10:23" s="1011" customFormat="1" x14ac:dyDescent="0.2">
      <c r="J1517" s="1030"/>
      <c r="K1517" s="1030"/>
      <c r="L1517" s="1030"/>
      <c r="M1517" s="1030"/>
      <c r="N1517" s="1030"/>
      <c r="O1517" s="1030"/>
      <c r="P1517" s="1030"/>
      <c r="Q1517" s="1030"/>
      <c r="R1517" s="1030"/>
      <c r="S1517" s="1031"/>
      <c r="T1517" s="952"/>
      <c r="U1517" s="941"/>
      <c r="V1517" s="941"/>
      <c r="W1517" s="941"/>
    </row>
    <row r="1518" spans="10:23" s="1011" customFormat="1" x14ac:dyDescent="0.2">
      <c r="J1518" s="1030"/>
      <c r="K1518" s="1030"/>
      <c r="L1518" s="1030"/>
      <c r="M1518" s="1030"/>
      <c r="N1518" s="1030"/>
      <c r="O1518" s="1030"/>
      <c r="P1518" s="1030"/>
      <c r="Q1518" s="1030"/>
      <c r="R1518" s="1030"/>
      <c r="S1518" s="1031"/>
      <c r="T1518" s="952"/>
      <c r="U1518" s="941"/>
      <c r="V1518" s="941"/>
      <c r="W1518" s="941"/>
    </row>
    <row r="1519" spans="10:23" s="1011" customFormat="1" x14ac:dyDescent="0.2">
      <c r="J1519" s="1030"/>
      <c r="K1519" s="1030"/>
      <c r="L1519" s="1030"/>
      <c r="M1519" s="1030"/>
      <c r="N1519" s="1030"/>
      <c r="O1519" s="1030"/>
      <c r="P1519" s="1030"/>
      <c r="Q1519" s="1030"/>
      <c r="R1519" s="1030"/>
      <c r="S1519" s="1031"/>
      <c r="T1519" s="952"/>
      <c r="U1519" s="941"/>
      <c r="V1519" s="941"/>
      <c r="W1519" s="941"/>
    </row>
    <row r="1520" spans="10:23" s="1011" customFormat="1" x14ac:dyDescent="0.2">
      <c r="J1520" s="1030"/>
      <c r="K1520" s="1030"/>
      <c r="L1520" s="1030"/>
      <c r="M1520" s="1030"/>
      <c r="N1520" s="1030"/>
      <c r="O1520" s="1030"/>
      <c r="P1520" s="1030"/>
      <c r="Q1520" s="1030"/>
      <c r="R1520" s="1030"/>
      <c r="S1520" s="1031"/>
      <c r="T1520" s="952"/>
      <c r="U1520" s="941"/>
      <c r="V1520" s="941"/>
      <c r="W1520" s="941"/>
    </row>
    <row r="1521" spans="10:23" s="1011" customFormat="1" x14ac:dyDescent="0.2">
      <c r="J1521" s="1030"/>
      <c r="K1521" s="1030"/>
      <c r="L1521" s="1030"/>
      <c r="M1521" s="1030"/>
      <c r="N1521" s="1030"/>
      <c r="O1521" s="1030"/>
      <c r="P1521" s="1030"/>
      <c r="Q1521" s="1030"/>
      <c r="R1521" s="1030"/>
      <c r="S1521" s="1031"/>
      <c r="T1521" s="952"/>
      <c r="U1521" s="941"/>
      <c r="V1521" s="941"/>
      <c r="W1521" s="941"/>
    </row>
    <row r="1522" spans="10:23" s="1011" customFormat="1" x14ac:dyDescent="0.2">
      <c r="J1522" s="1030"/>
      <c r="K1522" s="1030"/>
      <c r="L1522" s="1030"/>
      <c r="M1522" s="1030"/>
      <c r="N1522" s="1030"/>
      <c r="O1522" s="1030"/>
      <c r="P1522" s="1030"/>
      <c r="Q1522" s="1030"/>
      <c r="R1522" s="1030"/>
      <c r="S1522" s="1031"/>
      <c r="T1522" s="952"/>
      <c r="U1522" s="941"/>
      <c r="V1522" s="941"/>
      <c r="W1522" s="941"/>
    </row>
    <row r="1523" spans="10:23" s="1011" customFormat="1" x14ac:dyDescent="0.2">
      <c r="J1523" s="1030"/>
      <c r="K1523" s="1030"/>
      <c r="L1523" s="1030"/>
      <c r="M1523" s="1030"/>
      <c r="N1523" s="1030"/>
      <c r="O1523" s="1030"/>
      <c r="P1523" s="1030"/>
      <c r="Q1523" s="1030"/>
      <c r="R1523" s="1030"/>
      <c r="S1523" s="1031"/>
      <c r="T1523" s="952"/>
      <c r="U1523" s="941"/>
      <c r="V1523" s="941"/>
      <c r="W1523" s="941"/>
    </row>
    <row r="1524" spans="10:23" s="1011" customFormat="1" x14ac:dyDescent="0.2">
      <c r="J1524" s="1030"/>
      <c r="K1524" s="1030"/>
      <c r="L1524" s="1030"/>
      <c r="M1524" s="1030"/>
      <c r="N1524" s="1030"/>
      <c r="O1524" s="1030"/>
      <c r="P1524" s="1030"/>
      <c r="Q1524" s="1030"/>
      <c r="R1524" s="1030"/>
      <c r="S1524" s="1031"/>
      <c r="T1524" s="952"/>
      <c r="U1524" s="941"/>
      <c r="V1524" s="941"/>
      <c r="W1524" s="941"/>
    </row>
    <row r="1525" spans="10:23" s="1011" customFormat="1" x14ac:dyDescent="0.2">
      <c r="J1525" s="1030"/>
      <c r="K1525" s="1030"/>
      <c r="L1525" s="1030"/>
      <c r="M1525" s="1030"/>
      <c r="N1525" s="1030"/>
      <c r="O1525" s="1030"/>
      <c r="P1525" s="1030"/>
      <c r="Q1525" s="1030"/>
      <c r="R1525" s="1030"/>
      <c r="S1525" s="1031"/>
      <c r="T1525" s="952"/>
      <c r="U1525" s="941"/>
      <c r="V1525" s="941"/>
      <c r="W1525" s="941"/>
    </row>
    <row r="1526" spans="10:23" s="1011" customFormat="1" x14ac:dyDescent="0.2">
      <c r="J1526" s="1030"/>
      <c r="K1526" s="1030"/>
      <c r="L1526" s="1030"/>
      <c r="M1526" s="1030"/>
      <c r="N1526" s="1030"/>
      <c r="O1526" s="1030"/>
      <c r="P1526" s="1030"/>
      <c r="Q1526" s="1030"/>
      <c r="R1526" s="1030"/>
      <c r="S1526" s="1031"/>
      <c r="T1526" s="952"/>
      <c r="U1526" s="941"/>
      <c r="V1526" s="941"/>
      <c r="W1526" s="941"/>
    </row>
    <row r="1527" spans="10:23" s="1011" customFormat="1" x14ac:dyDescent="0.2">
      <c r="J1527" s="1030"/>
      <c r="K1527" s="1030"/>
      <c r="L1527" s="1030"/>
      <c r="M1527" s="1030"/>
      <c r="N1527" s="1030"/>
      <c r="O1527" s="1030"/>
      <c r="P1527" s="1030"/>
      <c r="Q1527" s="1030"/>
      <c r="R1527" s="1030"/>
      <c r="S1527" s="1031"/>
      <c r="T1527" s="952"/>
      <c r="U1527" s="941"/>
      <c r="V1527" s="941"/>
      <c r="W1527" s="941"/>
    </row>
    <row r="1528" spans="10:23" s="1011" customFormat="1" x14ac:dyDescent="0.2">
      <c r="J1528" s="1030"/>
      <c r="K1528" s="1030"/>
      <c r="L1528" s="1030"/>
      <c r="M1528" s="1030"/>
      <c r="N1528" s="1030"/>
      <c r="O1528" s="1030"/>
      <c r="P1528" s="1030"/>
      <c r="Q1528" s="1030"/>
      <c r="R1528" s="1030"/>
      <c r="S1528" s="1031"/>
      <c r="T1528" s="952"/>
      <c r="U1528" s="941"/>
      <c r="V1528" s="941"/>
      <c r="W1528" s="941"/>
    </row>
    <row r="1529" spans="10:23" s="1011" customFormat="1" x14ac:dyDescent="0.2">
      <c r="J1529" s="1030"/>
      <c r="K1529" s="1030"/>
      <c r="L1529" s="1030"/>
      <c r="M1529" s="1030"/>
      <c r="N1529" s="1030"/>
      <c r="O1529" s="1030"/>
      <c r="P1529" s="1030"/>
      <c r="Q1529" s="1030"/>
      <c r="R1529" s="1030"/>
      <c r="S1529" s="1031"/>
      <c r="T1529" s="952"/>
      <c r="U1529" s="941"/>
      <c r="V1529" s="941"/>
      <c r="W1529" s="941"/>
    </row>
    <row r="1530" spans="10:23" s="1011" customFormat="1" x14ac:dyDescent="0.2">
      <c r="J1530" s="1030"/>
      <c r="K1530" s="1030"/>
      <c r="L1530" s="1030"/>
      <c r="M1530" s="1030"/>
      <c r="N1530" s="1030"/>
      <c r="O1530" s="1030"/>
      <c r="P1530" s="1030"/>
      <c r="Q1530" s="1030"/>
      <c r="R1530" s="1030"/>
      <c r="S1530" s="1031"/>
      <c r="T1530" s="952"/>
      <c r="U1530" s="941"/>
      <c r="V1530" s="941"/>
      <c r="W1530" s="941"/>
    </row>
    <row r="1531" spans="10:23" s="1011" customFormat="1" x14ac:dyDescent="0.2">
      <c r="J1531" s="1030"/>
      <c r="K1531" s="1030"/>
      <c r="L1531" s="1030"/>
      <c r="M1531" s="1030"/>
      <c r="N1531" s="1030"/>
      <c r="O1531" s="1030"/>
      <c r="P1531" s="1030"/>
      <c r="Q1531" s="1030"/>
      <c r="R1531" s="1030"/>
      <c r="S1531" s="1031"/>
      <c r="T1531" s="952"/>
      <c r="U1531" s="941"/>
      <c r="V1531" s="941"/>
      <c r="W1531" s="941"/>
    </row>
    <row r="1532" spans="10:23" s="1011" customFormat="1" x14ac:dyDescent="0.2">
      <c r="J1532" s="1030"/>
      <c r="K1532" s="1030"/>
      <c r="L1532" s="1030"/>
      <c r="M1532" s="1030"/>
      <c r="N1532" s="1030"/>
      <c r="O1532" s="1030"/>
      <c r="P1532" s="1030"/>
      <c r="Q1532" s="1030"/>
      <c r="R1532" s="1030"/>
      <c r="S1532" s="1031"/>
      <c r="T1532" s="952"/>
      <c r="U1532" s="941"/>
      <c r="V1532" s="941"/>
      <c r="W1532" s="941"/>
    </row>
    <row r="1533" spans="10:23" s="1011" customFormat="1" x14ac:dyDescent="0.2">
      <c r="J1533" s="1030"/>
      <c r="K1533" s="1030"/>
      <c r="L1533" s="1030"/>
      <c r="M1533" s="1030"/>
      <c r="N1533" s="1030"/>
      <c r="O1533" s="1030"/>
      <c r="P1533" s="1030"/>
      <c r="Q1533" s="1030"/>
      <c r="R1533" s="1030"/>
      <c r="S1533" s="1031"/>
      <c r="T1533" s="952"/>
      <c r="U1533" s="941"/>
      <c r="V1533" s="941"/>
      <c r="W1533" s="941"/>
    </row>
    <row r="1534" spans="10:23" s="1011" customFormat="1" x14ac:dyDescent="0.2">
      <c r="J1534" s="1030"/>
      <c r="K1534" s="1030"/>
      <c r="L1534" s="1030"/>
      <c r="M1534" s="1030"/>
      <c r="N1534" s="1030"/>
      <c r="O1534" s="1030"/>
      <c r="P1534" s="1030"/>
      <c r="Q1534" s="1030"/>
      <c r="R1534" s="1030"/>
      <c r="S1534" s="1031"/>
      <c r="T1534" s="952"/>
      <c r="U1534" s="941"/>
      <c r="V1534" s="941"/>
      <c r="W1534" s="941"/>
    </row>
    <row r="1535" spans="10:23" s="1011" customFormat="1" x14ac:dyDescent="0.2">
      <c r="J1535" s="1030"/>
      <c r="K1535" s="1030"/>
      <c r="L1535" s="1030"/>
      <c r="M1535" s="1030"/>
      <c r="N1535" s="1030"/>
      <c r="O1535" s="1030"/>
      <c r="P1535" s="1030"/>
      <c r="Q1535" s="1030"/>
      <c r="R1535" s="1030"/>
      <c r="S1535" s="1031"/>
      <c r="T1535" s="952"/>
      <c r="U1535" s="941"/>
      <c r="V1535" s="941"/>
      <c r="W1535" s="941"/>
    </row>
    <row r="1536" spans="10:23" s="1011" customFormat="1" x14ac:dyDescent="0.2">
      <c r="J1536" s="1030"/>
      <c r="K1536" s="1030"/>
      <c r="L1536" s="1030"/>
      <c r="M1536" s="1030"/>
      <c r="N1536" s="1030"/>
      <c r="O1536" s="1030"/>
      <c r="P1536" s="1030"/>
      <c r="Q1536" s="1030"/>
      <c r="R1536" s="1030"/>
      <c r="S1536" s="1031"/>
      <c r="T1536" s="952"/>
      <c r="U1536" s="941"/>
      <c r="V1536" s="941"/>
      <c r="W1536" s="941"/>
    </row>
    <row r="1537" spans="10:23" s="1011" customFormat="1" x14ac:dyDescent="0.2">
      <c r="J1537" s="1030"/>
      <c r="K1537" s="1030"/>
      <c r="L1537" s="1030"/>
      <c r="M1537" s="1030"/>
      <c r="N1537" s="1030"/>
      <c r="O1537" s="1030"/>
      <c r="P1537" s="1030"/>
      <c r="Q1537" s="1030"/>
      <c r="R1537" s="1030"/>
      <c r="S1537" s="1031"/>
      <c r="T1537" s="952"/>
      <c r="U1537" s="941"/>
      <c r="V1537" s="941"/>
      <c r="W1537" s="941"/>
    </row>
    <row r="1538" spans="10:23" s="1011" customFormat="1" x14ac:dyDescent="0.2">
      <c r="J1538" s="1030"/>
      <c r="K1538" s="1030"/>
      <c r="L1538" s="1030"/>
      <c r="M1538" s="1030"/>
      <c r="N1538" s="1030"/>
      <c r="O1538" s="1030"/>
      <c r="P1538" s="1030"/>
      <c r="Q1538" s="1030"/>
      <c r="R1538" s="1030"/>
      <c r="S1538" s="1031"/>
      <c r="T1538" s="952"/>
      <c r="U1538" s="941"/>
      <c r="V1538" s="941"/>
      <c r="W1538" s="941"/>
    </row>
    <row r="1539" spans="10:23" s="1011" customFormat="1" x14ac:dyDescent="0.2">
      <c r="J1539" s="1030"/>
      <c r="K1539" s="1030"/>
      <c r="L1539" s="1030"/>
      <c r="M1539" s="1030"/>
      <c r="N1539" s="1030"/>
      <c r="O1539" s="1030"/>
      <c r="P1539" s="1030"/>
      <c r="Q1539" s="1030"/>
      <c r="R1539" s="1030"/>
      <c r="S1539" s="1031"/>
      <c r="T1539" s="952"/>
      <c r="U1539" s="941"/>
      <c r="V1539" s="941"/>
      <c r="W1539" s="941"/>
    </row>
    <row r="1540" spans="10:23" s="1011" customFormat="1" x14ac:dyDescent="0.2">
      <c r="J1540" s="1030"/>
      <c r="K1540" s="1030"/>
      <c r="L1540" s="1030"/>
      <c r="M1540" s="1030"/>
      <c r="N1540" s="1030"/>
      <c r="O1540" s="1030"/>
      <c r="P1540" s="1030"/>
      <c r="Q1540" s="1030"/>
      <c r="R1540" s="1030"/>
      <c r="S1540" s="1031"/>
      <c r="T1540" s="952"/>
      <c r="U1540" s="941"/>
      <c r="V1540" s="941"/>
      <c r="W1540" s="941"/>
    </row>
    <row r="1541" spans="10:23" s="1011" customFormat="1" x14ac:dyDescent="0.2">
      <c r="J1541" s="1030"/>
      <c r="K1541" s="1030"/>
      <c r="L1541" s="1030"/>
      <c r="M1541" s="1030"/>
      <c r="N1541" s="1030"/>
      <c r="O1541" s="1030"/>
      <c r="P1541" s="1030"/>
      <c r="Q1541" s="1030"/>
      <c r="R1541" s="1030"/>
      <c r="S1541" s="1031"/>
      <c r="T1541" s="952"/>
      <c r="U1541" s="941"/>
      <c r="V1541" s="941"/>
      <c r="W1541" s="941"/>
    </row>
    <row r="1542" spans="10:23" s="1011" customFormat="1" x14ac:dyDescent="0.2">
      <c r="J1542" s="1030"/>
      <c r="K1542" s="1030"/>
      <c r="L1542" s="1030"/>
      <c r="M1542" s="1030"/>
      <c r="N1542" s="1030"/>
      <c r="O1542" s="1030"/>
      <c r="P1542" s="1030"/>
      <c r="Q1542" s="1030"/>
      <c r="R1542" s="1030"/>
      <c r="S1542" s="1031"/>
      <c r="T1542" s="952"/>
      <c r="U1542" s="941"/>
      <c r="V1542" s="941"/>
      <c r="W1542" s="941"/>
    </row>
    <row r="1543" spans="10:23" s="1011" customFormat="1" x14ac:dyDescent="0.2">
      <c r="J1543" s="1030"/>
      <c r="K1543" s="1030"/>
      <c r="L1543" s="1030"/>
      <c r="M1543" s="1030"/>
      <c r="N1543" s="1030"/>
      <c r="O1543" s="1030"/>
      <c r="P1543" s="1030"/>
      <c r="Q1543" s="1030"/>
      <c r="R1543" s="1030"/>
      <c r="S1543" s="1031"/>
      <c r="T1543" s="952"/>
      <c r="U1543" s="941"/>
      <c r="V1543" s="941"/>
      <c r="W1543" s="941"/>
    </row>
    <row r="1544" spans="10:23" s="1011" customFormat="1" x14ac:dyDescent="0.2">
      <c r="J1544" s="1030"/>
      <c r="K1544" s="1030"/>
      <c r="L1544" s="1030"/>
      <c r="M1544" s="1030"/>
      <c r="N1544" s="1030"/>
      <c r="O1544" s="1030"/>
      <c r="P1544" s="1030"/>
      <c r="Q1544" s="1030"/>
      <c r="R1544" s="1030"/>
      <c r="S1544" s="1031"/>
      <c r="T1544" s="952"/>
      <c r="U1544" s="941"/>
      <c r="V1544" s="941"/>
      <c r="W1544" s="941"/>
    </row>
    <row r="1545" spans="10:23" s="1011" customFormat="1" x14ac:dyDescent="0.2">
      <c r="J1545" s="1030"/>
      <c r="K1545" s="1030"/>
      <c r="L1545" s="1030"/>
      <c r="M1545" s="1030"/>
      <c r="N1545" s="1030"/>
      <c r="O1545" s="1030"/>
      <c r="P1545" s="1030"/>
      <c r="Q1545" s="1030"/>
      <c r="R1545" s="1030"/>
      <c r="S1545" s="1031"/>
      <c r="T1545" s="952"/>
      <c r="U1545" s="941"/>
      <c r="V1545" s="941"/>
      <c r="W1545" s="941"/>
    </row>
    <row r="1546" spans="10:23" s="1011" customFormat="1" x14ac:dyDescent="0.2">
      <c r="J1546" s="1030"/>
      <c r="K1546" s="1030"/>
      <c r="L1546" s="1030"/>
      <c r="M1546" s="1030"/>
      <c r="N1546" s="1030"/>
      <c r="O1546" s="1030"/>
      <c r="P1546" s="1030"/>
      <c r="Q1546" s="1030"/>
      <c r="R1546" s="1030"/>
      <c r="S1546" s="1031"/>
      <c r="T1546" s="952"/>
      <c r="U1546" s="941"/>
      <c r="V1546" s="941"/>
      <c r="W1546" s="941"/>
    </row>
    <row r="1547" spans="10:23" s="1011" customFormat="1" x14ac:dyDescent="0.2">
      <c r="J1547" s="1030"/>
      <c r="K1547" s="1030"/>
      <c r="L1547" s="1030"/>
      <c r="M1547" s="1030"/>
      <c r="N1547" s="1030"/>
      <c r="O1547" s="1030"/>
      <c r="P1547" s="1030"/>
      <c r="Q1547" s="1030"/>
      <c r="R1547" s="1030"/>
      <c r="S1547" s="1031"/>
      <c r="T1547" s="952"/>
      <c r="U1547" s="941"/>
      <c r="V1547" s="941"/>
      <c r="W1547" s="941"/>
    </row>
    <row r="1548" spans="10:23" s="1011" customFormat="1" x14ac:dyDescent="0.2">
      <c r="J1548" s="1030"/>
      <c r="K1548" s="1030"/>
      <c r="L1548" s="1030"/>
      <c r="M1548" s="1030"/>
      <c r="N1548" s="1030"/>
      <c r="O1548" s="1030"/>
      <c r="P1548" s="1030"/>
      <c r="Q1548" s="1030"/>
      <c r="R1548" s="1030"/>
      <c r="S1548" s="1031"/>
      <c r="T1548" s="952"/>
      <c r="U1548" s="941"/>
      <c r="V1548" s="941"/>
      <c r="W1548" s="941"/>
    </row>
    <row r="1549" spans="10:23" s="1011" customFormat="1" x14ac:dyDescent="0.2">
      <c r="J1549" s="1030"/>
      <c r="K1549" s="1030"/>
      <c r="L1549" s="1030"/>
      <c r="M1549" s="1030"/>
      <c r="N1549" s="1030"/>
      <c r="O1549" s="1030"/>
      <c r="P1549" s="1030"/>
      <c r="Q1549" s="1030"/>
      <c r="R1549" s="1030"/>
      <c r="S1549" s="1031"/>
      <c r="T1549" s="952"/>
      <c r="U1549" s="941"/>
      <c r="V1549" s="941"/>
      <c r="W1549" s="941"/>
    </row>
    <row r="1550" spans="10:23" s="1011" customFormat="1" x14ac:dyDescent="0.2">
      <c r="J1550" s="1030"/>
      <c r="K1550" s="1030"/>
      <c r="L1550" s="1030"/>
      <c r="M1550" s="1030"/>
      <c r="N1550" s="1030"/>
      <c r="O1550" s="1030"/>
      <c r="P1550" s="1030"/>
      <c r="Q1550" s="1030"/>
      <c r="R1550" s="1030"/>
      <c r="S1550" s="1031"/>
      <c r="T1550" s="952"/>
      <c r="U1550" s="941"/>
      <c r="V1550" s="941"/>
      <c r="W1550" s="941"/>
    </row>
    <row r="1551" spans="10:23" s="1011" customFormat="1" x14ac:dyDescent="0.2">
      <c r="J1551" s="1030"/>
      <c r="K1551" s="1030"/>
      <c r="L1551" s="1030"/>
      <c r="M1551" s="1030"/>
      <c r="N1551" s="1030"/>
      <c r="O1551" s="1030"/>
      <c r="P1551" s="1030"/>
      <c r="Q1551" s="1030"/>
      <c r="R1551" s="1030"/>
      <c r="S1551" s="1031"/>
      <c r="T1551" s="952"/>
      <c r="U1551" s="941"/>
      <c r="V1551" s="941"/>
      <c r="W1551" s="941"/>
    </row>
    <row r="1552" spans="10:23" s="1011" customFormat="1" x14ac:dyDescent="0.2">
      <c r="J1552" s="1030"/>
      <c r="K1552" s="1030"/>
      <c r="L1552" s="1030"/>
      <c r="M1552" s="1030"/>
      <c r="N1552" s="1030"/>
      <c r="O1552" s="1030"/>
      <c r="P1552" s="1030"/>
      <c r="Q1552" s="1030"/>
      <c r="R1552" s="1030"/>
      <c r="S1552" s="1031"/>
      <c r="T1552" s="952"/>
      <c r="U1552" s="941"/>
      <c r="V1552" s="941"/>
      <c r="W1552" s="941"/>
    </row>
    <row r="1553" spans="10:23" s="1011" customFormat="1" x14ac:dyDescent="0.2">
      <c r="J1553" s="1030"/>
      <c r="K1553" s="1030"/>
      <c r="L1553" s="1030"/>
      <c r="M1553" s="1030"/>
      <c r="N1553" s="1030"/>
      <c r="O1553" s="1030"/>
      <c r="P1553" s="1030"/>
      <c r="Q1553" s="1030"/>
      <c r="R1553" s="1030"/>
      <c r="S1553" s="1031"/>
      <c r="T1553" s="952"/>
      <c r="U1553" s="941"/>
      <c r="V1553" s="941"/>
      <c r="W1553" s="941"/>
    </row>
    <row r="1554" spans="10:23" s="1011" customFormat="1" x14ac:dyDescent="0.2">
      <c r="J1554" s="1030"/>
      <c r="K1554" s="1030"/>
      <c r="L1554" s="1030"/>
      <c r="M1554" s="1030"/>
      <c r="N1554" s="1030"/>
      <c r="O1554" s="1030"/>
      <c r="P1554" s="1030"/>
      <c r="Q1554" s="1030"/>
      <c r="R1554" s="1030"/>
      <c r="S1554" s="1031"/>
      <c r="T1554" s="952"/>
      <c r="U1554" s="941"/>
      <c r="V1554" s="941"/>
      <c r="W1554" s="941"/>
    </row>
    <row r="1555" spans="10:23" s="1011" customFormat="1" x14ac:dyDescent="0.2">
      <c r="J1555" s="1030"/>
      <c r="K1555" s="1030"/>
      <c r="L1555" s="1030"/>
      <c r="M1555" s="1030"/>
      <c r="N1555" s="1030"/>
      <c r="O1555" s="1030"/>
      <c r="P1555" s="1030"/>
      <c r="Q1555" s="1030"/>
      <c r="R1555" s="1030"/>
      <c r="S1555" s="1031"/>
      <c r="T1555" s="952"/>
      <c r="U1555" s="941"/>
      <c r="V1555" s="941"/>
      <c r="W1555" s="941"/>
    </row>
    <row r="1556" spans="10:23" s="1011" customFormat="1" x14ac:dyDescent="0.2">
      <c r="J1556" s="1030"/>
      <c r="K1556" s="1030"/>
      <c r="L1556" s="1030"/>
      <c r="M1556" s="1030"/>
      <c r="N1556" s="1030"/>
      <c r="O1556" s="1030"/>
      <c r="P1556" s="1030"/>
      <c r="Q1556" s="1030"/>
      <c r="R1556" s="1030"/>
      <c r="S1556" s="1031"/>
      <c r="T1556" s="952"/>
      <c r="U1556" s="941"/>
      <c r="V1556" s="941"/>
      <c r="W1556" s="941"/>
    </row>
    <row r="1557" spans="10:23" s="1011" customFormat="1" x14ac:dyDescent="0.2">
      <c r="J1557" s="1030"/>
      <c r="K1557" s="1030"/>
      <c r="L1557" s="1030"/>
      <c r="M1557" s="1030"/>
      <c r="N1557" s="1030"/>
      <c r="O1557" s="1030"/>
      <c r="P1557" s="1030"/>
      <c r="Q1557" s="1030"/>
      <c r="R1557" s="1030"/>
      <c r="S1557" s="1031"/>
      <c r="T1557" s="952"/>
      <c r="U1557" s="941"/>
      <c r="V1557" s="941"/>
      <c r="W1557" s="941"/>
    </row>
    <row r="1558" spans="10:23" s="1011" customFormat="1" x14ac:dyDescent="0.2">
      <c r="J1558" s="1030"/>
      <c r="K1558" s="1030"/>
      <c r="L1558" s="1030"/>
      <c r="M1558" s="1030"/>
      <c r="N1558" s="1030"/>
      <c r="O1558" s="1030"/>
      <c r="P1558" s="1030"/>
      <c r="Q1558" s="1030"/>
      <c r="R1558" s="1030"/>
      <c r="S1558" s="1031"/>
      <c r="T1558" s="952"/>
      <c r="U1558" s="941"/>
      <c r="V1558" s="941"/>
      <c r="W1558" s="941"/>
    </row>
    <row r="1559" spans="10:23" s="1011" customFormat="1" x14ac:dyDescent="0.2">
      <c r="J1559" s="1030"/>
      <c r="K1559" s="1030"/>
      <c r="L1559" s="1030"/>
      <c r="M1559" s="1030"/>
      <c r="N1559" s="1030"/>
      <c r="O1559" s="1030"/>
      <c r="P1559" s="1030"/>
      <c r="Q1559" s="1030"/>
      <c r="R1559" s="1030"/>
      <c r="S1559" s="1031"/>
      <c r="T1559" s="952"/>
      <c r="U1559" s="941"/>
      <c r="V1559" s="941"/>
      <c r="W1559" s="941"/>
    </row>
    <row r="1560" spans="10:23" s="1011" customFormat="1" x14ac:dyDescent="0.2">
      <c r="J1560" s="1030"/>
      <c r="K1560" s="1030"/>
      <c r="L1560" s="1030"/>
      <c r="M1560" s="1030"/>
      <c r="N1560" s="1030"/>
      <c r="O1560" s="1030"/>
      <c r="P1560" s="1030"/>
      <c r="Q1560" s="1030"/>
      <c r="R1560" s="1030"/>
      <c r="S1560" s="1031"/>
      <c r="T1560" s="952"/>
      <c r="U1560" s="941"/>
      <c r="V1560" s="941"/>
      <c r="W1560" s="941"/>
    </row>
    <row r="1561" spans="10:23" s="1011" customFormat="1" x14ac:dyDescent="0.2">
      <c r="J1561" s="1030"/>
      <c r="K1561" s="1030"/>
      <c r="L1561" s="1030"/>
      <c r="M1561" s="1030"/>
      <c r="N1561" s="1030"/>
      <c r="O1561" s="1030"/>
      <c r="P1561" s="1030"/>
      <c r="Q1561" s="1030"/>
      <c r="R1561" s="1030"/>
      <c r="S1561" s="1031"/>
      <c r="T1561" s="952"/>
      <c r="U1561" s="941"/>
      <c r="V1561" s="941"/>
      <c r="W1561" s="941"/>
    </row>
  </sheetData>
  <sheetProtection sheet="1" objects="1" scenarios="1"/>
  <autoFilter ref="A5:AF332"/>
  <sortState ref="A6:V331">
    <sortCondition ref="B6:B331"/>
  </sortState>
  <mergeCells count="4">
    <mergeCell ref="A1:J1"/>
    <mergeCell ref="Y4:AA4"/>
    <mergeCell ref="U4:W4"/>
    <mergeCell ref="AC4:AE4"/>
  </mergeCells>
  <phoneticPr fontId="5" type="noConversion"/>
  <conditionalFormatting sqref="C6:C218 I6:I218 I220:I331 C220:C331 F6:F38 F40:F218 F220:F331">
    <cfRule type="cellIs" dxfId="156" priority="6" stopIfTrue="1" operator="lessThan">
      <formula>0</formula>
    </cfRule>
  </conditionalFormatting>
  <conditionalFormatting sqref="C332 F332 I332">
    <cfRule type="cellIs" dxfId="155" priority="5" stopIfTrue="1" operator="lessThan">
      <formula>0</formula>
    </cfRule>
  </conditionalFormatting>
  <conditionalFormatting sqref="C219 F219 I219">
    <cfRule type="cellIs" dxfId="154" priority="4" stopIfTrue="1" operator="lessThan">
      <formula>0</formula>
    </cfRule>
  </conditionalFormatting>
  <conditionalFormatting sqref="L6:L218 O6:O218 R6:R218 R220:R331 O220:O331 L220:L331">
    <cfRule type="cellIs" dxfId="153" priority="3" stopIfTrue="1" operator="lessThan">
      <formula>0</formula>
    </cfRule>
  </conditionalFormatting>
  <conditionalFormatting sqref="L219 O219 R219">
    <cfRule type="cellIs" dxfId="152" priority="2" stopIfTrue="1" operator="lessThan">
      <formula>0</formula>
    </cfRule>
  </conditionalFormatting>
  <conditionalFormatting sqref="F39">
    <cfRule type="cellIs" dxfId="151" priority="1" stopIfTrue="1" operator="lessThan">
      <formula>0</formula>
    </cfRule>
  </conditionalFormatting>
  <pageMargins left="0.3543307086614173" right="0.3543307086614173" top="0.19685039370078741" bottom="0.19685039370078741" header="0.39370078740157483" footer="0.31496062992125984"/>
  <pageSetup paperSize="9" scale="34"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H558"/>
  <sheetViews>
    <sheetView zoomScale="85" zoomScaleNormal="85" workbookViewId="0"/>
  </sheetViews>
  <sheetFormatPr defaultRowHeight="12.75" x14ac:dyDescent="0.2"/>
  <cols>
    <col min="1" max="1" width="9.140625" style="116"/>
    <col min="2" max="2" width="6.5703125" style="503" customWidth="1"/>
    <col min="3" max="3" width="12.28515625" style="503" customWidth="1"/>
    <col min="4" max="4" width="25.7109375" style="116" bestFit="1" customWidth="1"/>
    <col min="5" max="5" width="42.140625" style="116" customWidth="1"/>
    <col min="6" max="6" width="18.42578125" style="960" bestFit="1" customWidth="1"/>
    <col min="7" max="7" width="14.5703125" style="960" bestFit="1" customWidth="1"/>
    <col min="8" max="8" width="15.5703125" style="960" bestFit="1" customWidth="1"/>
    <col min="9" max="9" width="14.28515625" style="960" bestFit="1" customWidth="1"/>
    <col min="10" max="10" width="9.140625" style="540"/>
    <col min="11" max="11" width="25.7109375" style="540" bestFit="1" customWidth="1"/>
    <col min="12" max="34" width="9.140625" style="540"/>
    <col min="35" max="16384" width="9.140625" style="116"/>
  </cols>
  <sheetData>
    <row r="1" spans="1:9" ht="19.5" customHeight="1" thickBot="1" x14ac:dyDescent="0.25">
      <c r="D1" s="1173"/>
      <c r="E1" s="1173"/>
    </row>
    <row r="2" spans="1:9" ht="18.75" customHeight="1" x14ac:dyDescent="0.2">
      <c r="D2" s="1172"/>
      <c r="E2" s="1172"/>
      <c r="G2" s="1171"/>
    </row>
    <row r="3" spans="1:9" ht="66.75" customHeight="1" x14ac:dyDescent="0.2">
      <c r="B3" s="960" t="s">
        <v>2285</v>
      </c>
      <c r="C3" s="960" t="s">
        <v>2284</v>
      </c>
      <c r="D3" s="1170" t="s">
        <v>840</v>
      </c>
      <c r="E3" s="1170" t="s">
        <v>2283</v>
      </c>
    </row>
    <row r="4" spans="1:9" x14ac:dyDescent="0.2">
      <c r="A4" s="116">
        <v>1</v>
      </c>
      <c r="B4" s="1169" t="str">
        <f>VLOOKUP(D4,'LA List'!$A$3:$B$500,2,0)</f>
        <v>E3831</v>
      </c>
      <c r="C4" s="1169" t="str">
        <f t="shared" ref="C4:C67" si="0">CONCATENATE(B4,"EZ",A4)</f>
        <v>E3831EZ1</v>
      </c>
      <c r="D4" s="540" t="s">
        <v>842</v>
      </c>
      <c r="E4" s="540"/>
      <c r="G4" s="1167"/>
      <c r="H4" s="1166"/>
      <c r="I4" s="1165"/>
    </row>
    <row r="5" spans="1:9" x14ac:dyDescent="0.2">
      <c r="A5" s="116">
        <f t="shared" ref="A5:A68" si="1">IF(D5=D4,A4+1,1)</f>
        <v>1</v>
      </c>
      <c r="B5" s="1169" t="str">
        <f>VLOOKUP(D5,'LA List'!$A$3:$B$500,2,0)</f>
        <v>E0931</v>
      </c>
      <c r="C5" s="1169" t="str">
        <f t="shared" si="0"/>
        <v>E0931EZ1</v>
      </c>
      <c r="D5" s="540" t="s">
        <v>844</v>
      </c>
      <c r="E5" s="540"/>
      <c r="G5" s="1167"/>
      <c r="H5" s="1166"/>
      <c r="I5" s="1165"/>
    </row>
    <row r="6" spans="1:9" x14ac:dyDescent="0.2">
      <c r="A6" s="116">
        <f t="shared" si="1"/>
        <v>1</v>
      </c>
      <c r="B6" s="1169" t="str">
        <f>VLOOKUP(D6,'LA List'!$A$3:$B$500,2,0)</f>
        <v>E1031</v>
      </c>
      <c r="C6" s="1169" t="str">
        <f t="shared" si="0"/>
        <v>E1031EZ1</v>
      </c>
      <c r="D6" s="540" t="s">
        <v>846</v>
      </c>
      <c r="E6" s="540"/>
      <c r="G6" s="1167"/>
      <c r="H6" s="1166"/>
      <c r="I6" s="1165"/>
    </row>
    <row r="7" spans="1:9" x14ac:dyDescent="0.2">
      <c r="A7" s="116">
        <f t="shared" si="1"/>
        <v>1</v>
      </c>
      <c r="B7" s="1169" t="str">
        <f>VLOOKUP(D7,'LA List'!$A$3:$B$500,2,0)</f>
        <v>E3832</v>
      </c>
      <c r="C7" s="1169" t="str">
        <f t="shared" si="0"/>
        <v>E3832EZ1</v>
      </c>
      <c r="D7" s="540" t="s">
        <v>848</v>
      </c>
      <c r="E7" s="540"/>
      <c r="G7" s="1167"/>
      <c r="H7" s="1166"/>
      <c r="I7" s="1165"/>
    </row>
    <row r="8" spans="1:9" x14ac:dyDescent="0.2">
      <c r="A8" s="116">
        <f t="shared" si="1"/>
        <v>1</v>
      </c>
      <c r="B8" s="1169" t="str">
        <f>VLOOKUP(D8,'LA List'!$A$3:$B$500,2,0)</f>
        <v>E3031</v>
      </c>
      <c r="C8" s="1169" t="str">
        <f t="shared" si="0"/>
        <v>E3031EZ1</v>
      </c>
      <c r="D8" s="540" t="s">
        <v>850</v>
      </c>
      <c r="E8" s="540"/>
      <c r="G8" s="1167"/>
      <c r="H8" s="1166"/>
      <c r="I8" s="1165"/>
    </row>
    <row r="9" spans="1:9" x14ac:dyDescent="0.2">
      <c r="A9" s="116">
        <f t="shared" si="1"/>
        <v>1</v>
      </c>
      <c r="B9" s="1169" t="str">
        <f>VLOOKUP(D9,'LA List'!$A$3:$B$500,2,0)</f>
        <v>E2231</v>
      </c>
      <c r="C9" s="1169" t="str">
        <f t="shared" si="0"/>
        <v>E2231EZ1</v>
      </c>
      <c r="D9" s="540" t="s">
        <v>852</v>
      </c>
      <c r="E9" s="540"/>
      <c r="G9" s="1167"/>
      <c r="H9" s="1166"/>
      <c r="I9" s="1165"/>
    </row>
    <row r="10" spans="1:9" x14ac:dyDescent="0.2">
      <c r="A10" s="116">
        <f t="shared" si="1"/>
        <v>1</v>
      </c>
      <c r="B10" s="1169" t="str">
        <f>VLOOKUP(D10,'LA List'!$A$3:$B$500,2,0)</f>
        <v>E0431</v>
      </c>
      <c r="C10" s="1169" t="str">
        <f t="shared" si="0"/>
        <v>E0431EZ1</v>
      </c>
      <c r="D10" s="540" t="s">
        <v>854</v>
      </c>
      <c r="E10" s="540" t="s">
        <v>2914</v>
      </c>
      <c r="G10" s="1167"/>
      <c r="H10" s="1166"/>
      <c r="I10" s="1165"/>
    </row>
    <row r="11" spans="1:9" x14ac:dyDescent="0.2">
      <c r="A11" s="116">
        <f t="shared" si="1"/>
        <v>2</v>
      </c>
      <c r="B11" s="1169" t="str">
        <f>VLOOKUP(D11,'LA List'!$A$3:$B$500,2,0)</f>
        <v>E0431</v>
      </c>
      <c r="C11" s="1169" t="str">
        <f t="shared" si="0"/>
        <v>E0431EZ2</v>
      </c>
      <c r="D11" s="540" t="s">
        <v>854</v>
      </c>
      <c r="E11" s="540" t="s">
        <v>2915</v>
      </c>
      <c r="G11" s="1167"/>
      <c r="H11" s="1166"/>
      <c r="I11" s="1165"/>
    </row>
    <row r="12" spans="1:9" x14ac:dyDescent="0.2">
      <c r="A12" s="116">
        <f t="shared" si="1"/>
        <v>3</v>
      </c>
      <c r="B12" s="1169" t="str">
        <f>VLOOKUP(D12,'LA List'!$A$3:$B$500,2,0)</f>
        <v>E0431</v>
      </c>
      <c r="C12" s="1169" t="str">
        <f t="shared" si="0"/>
        <v>E0431EZ3</v>
      </c>
      <c r="D12" s="540" t="s">
        <v>854</v>
      </c>
      <c r="E12" s="540" t="s">
        <v>2916</v>
      </c>
      <c r="G12" s="1167"/>
      <c r="H12" s="1166"/>
      <c r="I12" s="1165"/>
    </row>
    <row r="13" spans="1:9" x14ac:dyDescent="0.2">
      <c r="A13" s="116">
        <f t="shared" si="1"/>
        <v>1</v>
      </c>
      <c r="B13" s="1169" t="str">
        <f>VLOOKUP(D13,'LA List'!$A$3:$B$500,2,0)</f>
        <v>E3531</v>
      </c>
      <c r="C13" s="1169" t="str">
        <f t="shared" si="0"/>
        <v>E3531EZ1</v>
      </c>
      <c r="D13" s="540" t="s">
        <v>856</v>
      </c>
      <c r="E13" s="540"/>
      <c r="G13" s="1167"/>
      <c r="H13" s="1166"/>
      <c r="I13" s="1165"/>
    </row>
    <row r="14" spans="1:9" x14ac:dyDescent="0.2">
      <c r="A14" s="116">
        <f t="shared" si="1"/>
        <v>1</v>
      </c>
      <c r="B14" s="1169" t="str">
        <f>VLOOKUP(D14,'LA List'!$A$3:$B$500,2,0)</f>
        <v>E5030</v>
      </c>
      <c r="C14" s="1169" t="str">
        <f t="shared" si="0"/>
        <v>E5030EZ1</v>
      </c>
      <c r="D14" s="540" t="s">
        <v>858</v>
      </c>
      <c r="E14" s="540"/>
      <c r="G14" s="1167"/>
      <c r="H14" s="1166"/>
      <c r="I14" s="1165"/>
    </row>
    <row r="15" spans="1:9" x14ac:dyDescent="0.2">
      <c r="A15" s="116">
        <f t="shared" si="1"/>
        <v>1</v>
      </c>
      <c r="B15" s="1169" t="str">
        <f>VLOOKUP(D15,'LA List'!$A$3:$B$500,2,0)</f>
        <v>E5031</v>
      </c>
      <c r="C15" s="1169" t="str">
        <f t="shared" si="0"/>
        <v>E5031EZ1</v>
      </c>
      <c r="D15" s="540" t="s">
        <v>860</v>
      </c>
      <c r="E15" s="540"/>
      <c r="G15" s="1167"/>
      <c r="H15" s="1166"/>
      <c r="I15" s="1165"/>
    </row>
    <row r="16" spans="1:9" x14ac:dyDescent="0.2">
      <c r="A16" s="116">
        <f t="shared" si="1"/>
        <v>1</v>
      </c>
      <c r="B16" s="1169" t="str">
        <f>VLOOKUP(D16,'LA List'!$A$3:$B$500,2,0)</f>
        <v>E4401</v>
      </c>
      <c r="C16" s="1169" t="str">
        <f t="shared" si="0"/>
        <v>E4401EZ1</v>
      </c>
      <c r="D16" s="540" t="s">
        <v>862</v>
      </c>
      <c r="E16" s="540" t="s">
        <v>972</v>
      </c>
      <c r="G16" s="1167"/>
      <c r="H16" s="1166"/>
      <c r="I16" s="1165"/>
    </row>
    <row r="17" spans="1:9" x14ac:dyDescent="0.2">
      <c r="A17" s="116">
        <f t="shared" si="1"/>
        <v>1</v>
      </c>
      <c r="B17" s="1169" t="str">
        <f>VLOOKUP(D17,'LA List'!$A$3:$B$500,2,0)</f>
        <v>E0932</v>
      </c>
      <c r="C17" s="1169" t="str">
        <f t="shared" si="0"/>
        <v>E0932EZ1</v>
      </c>
      <c r="D17" s="540" t="s">
        <v>864</v>
      </c>
      <c r="E17" s="540"/>
      <c r="G17" s="1167"/>
      <c r="H17" s="1166"/>
      <c r="I17" s="1165"/>
    </row>
    <row r="18" spans="1:9" x14ac:dyDescent="0.2">
      <c r="A18" s="116">
        <f t="shared" si="1"/>
        <v>1</v>
      </c>
      <c r="B18" s="1169" t="str">
        <f>VLOOKUP(D18,'LA List'!$A$3:$B$500,2,0)</f>
        <v>E1531</v>
      </c>
      <c r="C18" s="1169" t="str">
        <f t="shared" si="0"/>
        <v>E1531EZ1</v>
      </c>
      <c r="D18" s="540" t="s">
        <v>866</v>
      </c>
      <c r="E18" s="540"/>
      <c r="G18" s="1167"/>
      <c r="H18" s="1166"/>
      <c r="I18" s="1165"/>
    </row>
    <row r="19" spans="1:9" x14ac:dyDescent="0.2">
      <c r="A19" s="116">
        <f t="shared" si="1"/>
        <v>1</v>
      </c>
      <c r="B19" s="1169" t="str">
        <f>VLOOKUP(D19,'LA List'!$A$3:$B$500,2,0)</f>
        <v>E1731</v>
      </c>
      <c r="C19" s="1169" t="str">
        <f t="shared" si="0"/>
        <v>E1731EZ1</v>
      </c>
      <c r="D19" s="540" t="s">
        <v>868</v>
      </c>
      <c r="E19" s="540" t="s">
        <v>2917</v>
      </c>
      <c r="G19" s="1167"/>
      <c r="H19" s="1166"/>
      <c r="I19" s="1165"/>
    </row>
    <row r="20" spans="1:9" x14ac:dyDescent="0.2">
      <c r="A20" s="116">
        <f t="shared" si="1"/>
        <v>1</v>
      </c>
      <c r="B20" s="1169" t="str">
        <f>VLOOKUP(D20,'LA List'!$A$3:$B$500,2,0)</f>
        <v>E3032</v>
      </c>
      <c r="C20" s="1169" t="str">
        <f t="shared" si="0"/>
        <v>E3032EZ1</v>
      </c>
      <c r="D20" s="540" t="s">
        <v>870</v>
      </c>
      <c r="E20" s="540"/>
      <c r="G20" s="1167"/>
      <c r="H20" s="1166"/>
      <c r="I20" s="1165"/>
    </row>
    <row r="21" spans="1:9" x14ac:dyDescent="0.2">
      <c r="A21" s="116">
        <f t="shared" si="1"/>
        <v>1</v>
      </c>
      <c r="B21" s="1169" t="str">
        <f>VLOOKUP(D21,'LA List'!$A$3:$B$500,2,0)</f>
        <v>E0101</v>
      </c>
      <c r="C21" s="1169" t="str">
        <f t="shared" si="0"/>
        <v>E0101EZ1</v>
      </c>
      <c r="D21" s="540" t="s">
        <v>872</v>
      </c>
      <c r="E21" s="540" t="s">
        <v>973</v>
      </c>
      <c r="G21" s="1167"/>
      <c r="H21" s="1166"/>
      <c r="I21" s="1165"/>
    </row>
    <row r="22" spans="1:9" x14ac:dyDescent="0.2">
      <c r="A22" s="116">
        <f t="shared" si="1"/>
        <v>2</v>
      </c>
      <c r="B22" s="1169" t="str">
        <f>VLOOKUP(D22,'LA List'!$A$3:$B$500,2,0)</f>
        <v>E0101</v>
      </c>
      <c r="C22" s="1169" t="str">
        <f t="shared" si="0"/>
        <v>E0101EZ2</v>
      </c>
      <c r="D22" s="540" t="s">
        <v>872</v>
      </c>
      <c r="E22" s="540" t="s">
        <v>2918</v>
      </c>
      <c r="G22" s="1167"/>
      <c r="H22" s="1166"/>
      <c r="I22" s="1165"/>
    </row>
    <row r="23" spans="1:9" x14ac:dyDescent="0.2">
      <c r="A23" s="116">
        <f t="shared" si="1"/>
        <v>3</v>
      </c>
      <c r="B23" s="1169" t="str">
        <f>VLOOKUP(D23,'LA List'!$A$3:$B$500,2,0)</f>
        <v>E0101</v>
      </c>
      <c r="C23" s="1169" t="str">
        <f t="shared" si="0"/>
        <v>E0101EZ3</v>
      </c>
      <c r="D23" s="540" t="s">
        <v>872</v>
      </c>
      <c r="E23" s="540" t="s">
        <v>2919</v>
      </c>
      <c r="G23" s="1167"/>
      <c r="H23" s="1166"/>
      <c r="I23" s="1165"/>
    </row>
    <row r="24" spans="1:9" x14ac:dyDescent="0.2">
      <c r="A24" s="116">
        <f t="shared" si="1"/>
        <v>4</v>
      </c>
      <c r="B24" s="1169" t="str">
        <f>VLOOKUP(D24,'LA List'!$A$3:$B$500,2,0)</f>
        <v>E0101</v>
      </c>
      <c r="C24" s="1169" t="str">
        <f t="shared" si="0"/>
        <v>E0101EZ4</v>
      </c>
      <c r="D24" s="540" t="s">
        <v>872</v>
      </c>
      <c r="E24" s="540" t="s">
        <v>2920</v>
      </c>
      <c r="G24" s="1167"/>
      <c r="H24" s="1166"/>
      <c r="I24" s="1165"/>
    </row>
    <row r="25" spans="1:9" x14ac:dyDescent="0.2">
      <c r="A25" s="116">
        <f t="shared" si="1"/>
        <v>1</v>
      </c>
      <c r="B25" s="1169" t="str">
        <f>VLOOKUP(D25,'LA List'!$A$3:$B$500,2,0)</f>
        <v>E0202</v>
      </c>
      <c r="C25" s="1169" t="str">
        <f t="shared" si="0"/>
        <v>E0202EZ1</v>
      </c>
      <c r="D25" s="540" t="s">
        <v>874</v>
      </c>
      <c r="E25" s="540"/>
      <c r="G25" s="1167"/>
      <c r="H25" s="1166"/>
      <c r="I25" s="1165"/>
    </row>
    <row r="26" spans="1:9" x14ac:dyDescent="0.2">
      <c r="A26" s="116">
        <f t="shared" si="1"/>
        <v>1</v>
      </c>
      <c r="B26" s="1169" t="str">
        <f>VLOOKUP(D26,'LA List'!$A$3:$B$500,2,0)</f>
        <v>E5032</v>
      </c>
      <c r="C26" s="1169" t="str">
        <f t="shared" si="0"/>
        <v>E5032EZ1</v>
      </c>
      <c r="D26" s="540" t="s">
        <v>876</v>
      </c>
      <c r="E26" s="540"/>
      <c r="G26" s="1167"/>
      <c r="H26" s="1166"/>
      <c r="I26" s="1165"/>
    </row>
    <row r="27" spans="1:9" x14ac:dyDescent="0.2">
      <c r="A27" s="116">
        <f t="shared" si="1"/>
        <v>1</v>
      </c>
      <c r="B27" s="1169" t="str">
        <f>VLOOKUP(D27,'LA List'!$A$3:$B$500,2,0)</f>
        <v>E4601</v>
      </c>
      <c r="C27" s="1169" t="str">
        <f t="shared" si="0"/>
        <v>E4601EZ1</v>
      </c>
      <c r="D27" s="540" t="s">
        <v>878</v>
      </c>
      <c r="E27" s="540" t="s">
        <v>1032</v>
      </c>
      <c r="G27" s="1167"/>
      <c r="H27" s="1166"/>
      <c r="I27" s="1165"/>
    </row>
    <row r="28" spans="1:9" x14ac:dyDescent="0.2">
      <c r="A28" s="116">
        <f t="shared" si="1"/>
        <v>2</v>
      </c>
      <c r="B28" s="1169" t="str">
        <f>VLOOKUP(D28,'LA List'!$A$3:$B$500,2,0)</f>
        <v>E4601</v>
      </c>
      <c r="C28" s="1169" t="str">
        <f t="shared" si="0"/>
        <v>E4601EZ2</v>
      </c>
      <c r="D28" s="540" t="s">
        <v>878</v>
      </c>
      <c r="E28" s="540" t="s">
        <v>2921</v>
      </c>
      <c r="G28" s="1167"/>
      <c r="H28" s="1166"/>
      <c r="I28" s="1165"/>
    </row>
    <row r="29" spans="1:9" x14ac:dyDescent="0.2">
      <c r="A29" s="116">
        <f t="shared" si="1"/>
        <v>1</v>
      </c>
      <c r="B29" s="1169" t="str">
        <f>VLOOKUP(D29,'LA List'!$A$3:$B$500,2,0)</f>
        <v>E2431</v>
      </c>
      <c r="C29" s="1169" t="str">
        <f t="shared" si="0"/>
        <v>E2431EZ1</v>
      </c>
      <c r="D29" s="540" t="s">
        <v>880</v>
      </c>
      <c r="E29" s="540"/>
      <c r="G29" s="1167"/>
      <c r="H29" s="1166"/>
      <c r="I29" s="1165"/>
    </row>
    <row r="30" spans="1:9" x14ac:dyDescent="0.2">
      <c r="A30" s="116">
        <f t="shared" si="1"/>
        <v>1</v>
      </c>
      <c r="B30" s="1169" t="str">
        <f>VLOOKUP(D30,'LA List'!$A$3:$B$500,2,0)</f>
        <v>E2301</v>
      </c>
      <c r="C30" s="1169" t="str">
        <f t="shared" si="0"/>
        <v>E2301EZ1</v>
      </c>
      <c r="D30" s="540" t="s">
        <v>882</v>
      </c>
      <c r="E30" s="540"/>
      <c r="G30" s="1167"/>
      <c r="H30" s="1166"/>
      <c r="I30" s="1165"/>
    </row>
    <row r="31" spans="1:9" x14ac:dyDescent="0.2">
      <c r="A31" s="116">
        <f t="shared" si="1"/>
        <v>1</v>
      </c>
      <c r="B31" s="1169" t="str">
        <f>VLOOKUP(D31,'LA List'!$A$3:$B$500,2,0)</f>
        <v>E2302</v>
      </c>
      <c r="C31" s="1169" t="str">
        <f t="shared" si="0"/>
        <v>E2302EZ1</v>
      </c>
      <c r="D31" s="540" t="s">
        <v>884</v>
      </c>
      <c r="E31" s="540" t="s">
        <v>2922</v>
      </c>
      <c r="G31" s="1167"/>
      <c r="H31" s="1166"/>
      <c r="I31" s="1165"/>
    </row>
    <row r="32" spans="1:9" x14ac:dyDescent="0.2">
      <c r="A32" s="116">
        <f t="shared" si="1"/>
        <v>1</v>
      </c>
      <c r="B32" s="1169" t="str">
        <f>VLOOKUP(D32,'LA List'!$A$3:$B$500,2,0)</f>
        <v>E1032</v>
      </c>
      <c r="C32" s="1169" t="str">
        <f t="shared" si="0"/>
        <v>E1032EZ1</v>
      </c>
      <c r="D32" s="540" t="s">
        <v>886</v>
      </c>
      <c r="E32" s="540"/>
      <c r="G32" s="1167"/>
      <c r="H32" s="1166"/>
      <c r="I32" s="1165"/>
    </row>
    <row r="33" spans="1:9" x14ac:dyDescent="0.2">
      <c r="A33" s="116">
        <f t="shared" si="1"/>
        <v>1</v>
      </c>
      <c r="B33" s="1169" t="str">
        <f>VLOOKUP(D33,'LA List'!$A$3:$B$500,2,0)</f>
        <v>E4201</v>
      </c>
      <c r="C33" s="1169" t="str">
        <f t="shared" si="0"/>
        <v>E4201EZ1</v>
      </c>
      <c r="D33" s="540" t="s">
        <v>888</v>
      </c>
      <c r="E33" s="540"/>
      <c r="G33" s="1167"/>
      <c r="H33" s="1166"/>
      <c r="I33" s="1165"/>
    </row>
    <row r="34" spans="1:9" x14ac:dyDescent="0.2">
      <c r="A34" s="116">
        <f t="shared" si="1"/>
        <v>1</v>
      </c>
      <c r="B34" s="1169" t="str">
        <f>VLOOKUP(D34,'LA List'!$A$3:$B$500,2,0)</f>
        <v>E2531</v>
      </c>
      <c r="C34" s="1169" t="str">
        <f t="shared" si="0"/>
        <v>E2531EZ1</v>
      </c>
      <c r="D34" s="540" t="s">
        <v>890</v>
      </c>
      <c r="E34" s="540"/>
      <c r="G34" s="1167"/>
      <c r="H34" s="1166"/>
      <c r="I34" s="1165"/>
    </row>
    <row r="35" spans="1:9" x14ac:dyDescent="0.2">
      <c r="A35" s="116">
        <f t="shared" si="1"/>
        <v>1</v>
      </c>
      <c r="B35" s="1169" t="str">
        <f>VLOOKUP(D35,'LA List'!$A$3:$B$500,2,0)</f>
        <v>E1202</v>
      </c>
      <c r="C35" s="1169" t="str">
        <f t="shared" si="0"/>
        <v>E1202EZ1</v>
      </c>
      <c r="D35" s="540" t="s">
        <v>892</v>
      </c>
      <c r="E35" s="540"/>
      <c r="G35" s="1167"/>
      <c r="H35" s="1166"/>
      <c r="I35" s="1165"/>
    </row>
    <row r="36" spans="1:9" x14ac:dyDescent="0.2">
      <c r="A36" s="116">
        <f t="shared" si="1"/>
        <v>1</v>
      </c>
      <c r="B36" s="1169" t="str">
        <f>VLOOKUP(D36,'LA List'!$A$3:$B$500,2,0)</f>
        <v>E0301</v>
      </c>
      <c r="C36" s="1169" t="str">
        <f t="shared" si="0"/>
        <v>E0301EZ1</v>
      </c>
      <c r="D36" s="540" t="s">
        <v>894</v>
      </c>
      <c r="E36" s="540"/>
      <c r="G36" s="1167"/>
      <c r="H36" s="1166"/>
      <c r="I36" s="1165"/>
    </row>
    <row r="37" spans="1:9" x14ac:dyDescent="0.2">
      <c r="A37" s="116">
        <f t="shared" si="1"/>
        <v>1</v>
      </c>
      <c r="B37" s="1169" t="str">
        <f>VLOOKUP(D37,'LA List'!$A$3:$B$500,2,0)</f>
        <v>E4701</v>
      </c>
      <c r="C37" s="1169" t="str">
        <f t="shared" si="0"/>
        <v>E4701EZ1</v>
      </c>
      <c r="D37" s="540" t="s">
        <v>896</v>
      </c>
      <c r="E37" s="540" t="s">
        <v>2923</v>
      </c>
      <c r="G37" s="1167"/>
      <c r="H37" s="1166"/>
      <c r="I37" s="1165"/>
    </row>
    <row r="38" spans="1:9" x14ac:dyDescent="0.2">
      <c r="A38" s="116">
        <f t="shared" si="1"/>
        <v>2</v>
      </c>
      <c r="B38" s="1169" t="str">
        <f>VLOOKUP(D38,'LA List'!$A$3:$B$500,2,0)</f>
        <v>E4701</v>
      </c>
      <c r="C38" s="1169" t="str">
        <f t="shared" si="0"/>
        <v>E4701EZ2</v>
      </c>
      <c r="D38" s="540" t="s">
        <v>896</v>
      </c>
      <c r="E38" s="540" t="s">
        <v>2924</v>
      </c>
      <c r="G38" s="1167"/>
      <c r="H38" s="1166"/>
      <c r="I38" s="1165"/>
    </row>
    <row r="39" spans="1:9" x14ac:dyDescent="0.2">
      <c r="A39" s="116">
        <f t="shared" si="1"/>
        <v>3</v>
      </c>
      <c r="B39" s="1169" t="str">
        <f>VLOOKUP(D39,'LA List'!$A$3:$B$500,2,0)</f>
        <v>E4701</v>
      </c>
      <c r="C39" s="1169" t="str">
        <f t="shared" si="0"/>
        <v>E4701EZ3</v>
      </c>
      <c r="D39" s="540" t="s">
        <v>896</v>
      </c>
      <c r="E39" s="540" t="s">
        <v>2925</v>
      </c>
      <c r="G39" s="1167"/>
      <c r="H39" s="1166"/>
      <c r="I39" s="1165"/>
    </row>
    <row r="40" spans="1:9" x14ac:dyDescent="0.2">
      <c r="A40" s="116">
        <f t="shared" si="1"/>
        <v>1</v>
      </c>
      <c r="B40" s="1169" t="str">
        <f>VLOOKUP(D40,'LA List'!$A$3:$B$500,2,0)</f>
        <v>E1532</v>
      </c>
      <c r="C40" s="1169" t="str">
        <f t="shared" si="0"/>
        <v>E1532EZ1</v>
      </c>
      <c r="D40" s="540" t="s">
        <v>898</v>
      </c>
      <c r="E40" s="540"/>
      <c r="G40" s="1167"/>
      <c r="H40" s="1166"/>
      <c r="I40" s="1165"/>
    </row>
    <row r="41" spans="1:9" x14ac:dyDescent="0.2">
      <c r="A41" s="116">
        <f t="shared" si="1"/>
        <v>1</v>
      </c>
      <c r="B41" s="1169" t="str">
        <f>VLOOKUP(D41,'LA List'!$A$3:$B$500,2,0)</f>
        <v>E2631</v>
      </c>
      <c r="C41" s="1169" t="str">
        <f t="shared" si="0"/>
        <v>E2631EZ1</v>
      </c>
      <c r="D41" s="540" t="s">
        <v>900</v>
      </c>
      <c r="E41" s="540"/>
      <c r="G41" s="1167"/>
      <c r="H41" s="1166"/>
      <c r="I41" s="1165"/>
    </row>
    <row r="42" spans="1:9" x14ac:dyDescent="0.2">
      <c r="A42" s="116">
        <f t="shared" si="1"/>
        <v>1</v>
      </c>
      <c r="B42" s="1169" t="str">
        <f>VLOOKUP(D42,'LA List'!$A$3:$B$500,2,0)</f>
        <v>E5033</v>
      </c>
      <c r="C42" s="1169" t="str">
        <f t="shared" si="0"/>
        <v>E5033EZ1</v>
      </c>
      <c r="D42" s="540" t="s">
        <v>902</v>
      </c>
      <c r="E42" s="540"/>
      <c r="G42" s="1167"/>
      <c r="H42" s="1166"/>
      <c r="I42" s="1165"/>
    </row>
    <row r="43" spans="1:9" x14ac:dyDescent="0.2">
      <c r="A43" s="116">
        <f t="shared" si="1"/>
        <v>1</v>
      </c>
      <c r="B43" s="1169" t="str">
        <f>VLOOKUP(D43,'LA List'!$A$3:$B$500,2,0)</f>
        <v>E1533</v>
      </c>
      <c r="C43" s="1169" t="str">
        <f t="shared" si="0"/>
        <v>E1533EZ1</v>
      </c>
      <c r="D43" s="540" t="s">
        <v>904</v>
      </c>
      <c r="E43" s="540"/>
      <c r="G43" s="1167"/>
      <c r="H43" s="1166"/>
      <c r="I43" s="1165"/>
    </row>
    <row r="44" spans="1:9" x14ac:dyDescent="0.2">
      <c r="A44" s="116">
        <f t="shared" si="1"/>
        <v>1</v>
      </c>
      <c r="B44" s="1169" t="str">
        <f>VLOOKUP(D44,'LA List'!$A$3:$B$500,2,0)</f>
        <v>E1401</v>
      </c>
      <c r="C44" s="1169" t="str">
        <f t="shared" si="0"/>
        <v>E1401EZ1</v>
      </c>
      <c r="D44" s="540" t="s">
        <v>906</v>
      </c>
      <c r="E44" s="540"/>
      <c r="G44" s="1167"/>
      <c r="H44" s="1166"/>
      <c r="I44" s="1165"/>
    </row>
    <row r="45" spans="1:9" x14ac:dyDescent="0.2">
      <c r="A45" s="116">
        <f t="shared" si="1"/>
        <v>1</v>
      </c>
      <c r="B45" s="1169" t="str">
        <f>VLOOKUP(D45,'LA List'!$A$3:$B$500,2,0)</f>
        <v>E0102</v>
      </c>
      <c r="C45" s="1169" t="str">
        <f t="shared" si="0"/>
        <v>E0102EZ1</v>
      </c>
      <c r="D45" s="540" t="s">
        <v>908</v>
      </c>
      <c r="E45" s="540" t="s">
        <v>974</v>
      </c>
      <c r="G45" s="1167"/>
      <c r="H45" s="1166"/>
      <c r="I45" s="1165"/>
    </row>
    <row r="46" spans="1:9" x14ac:dyDescent="0.2">
      <c r="A46" s="116">
        <f t="shared" si="1"/>
        <v>2</v>
      </c>
      <c r="B46" s="1169" t="str">
        <f>VLOOKUP(D46,'LA List'!$A$3:$B$500,2,0)</f>
        <v>E0102</v>
      </c>
      <c r="C46" s="1169" t="str">
        <f t="shared" si="0"/>
        <v>E0102EZ2</v>
      </c>
      <c r="D46" s="540" t="s">
        <v>908</v>
      </c>
      <c r="E46" s="540" t="s">
        <v>973</v>
      </c>
      <c r="G46" s="1167"/>
      <c r="H46" s="1166"/>
      <c r="I46" s="1165"/>
    </row>
    <row r="47" spans="1:9" x14ac:dyDescent="0.2">
      <c r="A47" s="116">
        <f t="shared" si="1"/>
        <v>3</v>
      </c>
      <c r="B47" s="1169" t="str">
        <f>VLOOKUP(D47,'LA List'!$A$3:$B$500,2,0)</f>
        <v>E0102</v>
      </c>
      <c r="C47" s="1169" t="str">
        <f t="shared" si="0"/>
        <v>E0102EZ3</v>
      </c>
      <c r="D47" s="540" t="s">
        <v>908</v>
      </c>
      <c r="E47" s="540" t="s">
        <v>2926</v>
      </c>
      <c r="G47" s="1167"/>
      <c r="H47" s="1166"/>
      <c r="I47" s="1165"/>
    </row>
    <row r="48" spans="1:9" x14ac:dyDescent="0.2">
      <c r="A48" s="116">
        <f t="shared" si="1"/>
        <v>1</v>
      </c>
      <c r="B48" s="1169" t="str">
        <f>VLOOKUP(D48,'LA List'!$A$3:$B$500,2,0)</f>
        <v>E2632</v>
      </c>
      <c r="C48" s="1169" t="str">
        <f t="shared" si="0"/>
        <v>E2632EZ1</v>
      </c>
      <c r="D48" s="540" t="s">
        <v>910</v>
      </c>
      <c r="E48" s="540"/>
      <c r="G48" s="1167"/>
      <c r="H48" s="1166"/>
      <c r="I48" s="1165"/>
    </row>
    <row r="49" spans="1:9" x14ac:dyDescent="0.2">
      <c r="A49" s="116">
        <f t="shared" si="1"/>
        <v>1</v>
      </c>
      <c r="B49" s="1169" t="str">
        <f>VLOOKUP(D49,'LA List'!$A$3:$B$500,2,0)</f>
        <v>E5034</v>
      </c>
      <c r="C49" s="1169" t="str">
        <f t="shared" si="0"/>
        <v>E5034EZ1</v>
      </c>
      <c r="D49" s="540" t="s">
        <v>912</v>
      </c>
      <c r="E49" s="540"/>
      <c r="G49" s="1167"/>
      <c r="H49" s="1166"/>
      <c r="I49" s="1165"/>
    </row>
    <row r="50" spans="1:9" x14ac:dyDescent="0.2">
      <c r="A50" s="116">
        <f t="shared" si="1"/>
        <v>1</v>
      </c>
      <c r="B50" s="1169" t="str">
        <f>VLOOKUP(D50,'LA List'!$A$3:$B$500,2,0)</f>
        <v>E1831</v>
      </c>
      <c r="C50" s="1169" t="str">
        <f t="shared" si="0"/>
        <v>E1831EZ1</v>
      </c>
      <c r="D50" s="540" t="s">
        <v>914</v>
      </c>
      <c r="E50" s="540"/>
      <c r="G50" s="1167"/>
      <c r="H50" s="1166"/>
      <c r="I50" s="1165"/>
    </row>
    <row r="51" spans="1:9" x14ac:dyDescent="0.2">
      <c r="A51" s="116">
        <f t="shared" si="1"/>
        <v>1</v>
      </c>
      <c r="B51" s="1169" t="str">
        <f>VLOOKUP(D51,'LA List'!$A$3:$B$500,2,0)</f>
        <v>E1931</v>
      </c>
      <c r="C51" s="1169" t="str">
        <f t="shared" si="0"/>
        <v>E1931EZ1</v>
      </c>
      <c r="D51" s="540" t="s">
        <v>916</v>
      </c>
      <c r="E51" s="540"/>
      <c r="G51" s="1167"/>
      <c r="H51" s="1166"/>
      <c r="I51" s="1165"/>
    </row>
    <row r="52" spans="1:9" x14ac:dyDescent="0.2">
      <c r="A52" s="116">
        <f t="shared" si="1"/>
        <v>1</v>
      </c>
      <c r="B52" s="1169" t="str">
        <f>VLOOKUP(D52,'LA List'!$A$3:$B$500,2,0)</f>
        <v>E3033</v>
      </c>
      <c r="C52" s="1169" t="str">
        <f t="shared" si="0"/>
        <v>E3033EZ1</v>
      </c>
      <c r="D52" s="540" t="s">
        <v>918</v>
      </c>
      <c r="E52" s="540" t="s">
        <v>975</v>
      </c>
      <c r="G52" s="1167"/>
      <c r="H52" s="1166"/>
      <c r="I52" s="1165"/>
    </row>
    <row r="53" spans="1:9" x14ac:dyDescent="0.2">
      <c r="A53" s="116">
        <f t="shared" si="1"/>
        <v>1</v>
      </c>
      <c r="B53" s="1169" t="str">
        <f>VLOOKUP(D53,'LA List'!$A$3:$B$500,2,0)</f>
        <v>E2333</v>
      </c>
      <c r="C53" s="1169" t="str">
        <f t="shared" si="0"/>
        <v>E2333EZ1</v>
      </c>
      <c r="D53" s="540" t="s">
        <v>920</v>
      </c>
      <c r="E53" s="540"/>
      <c r="G53" s="1167"/>
      <c r="H53" s="1166"/>
      <c r="I53" s="1165"/>
    </row>
    <row r="54" spans="1:9" x14ac:dyDescent="0.2">
      <c r="A54" s="116">
        <f t="shared" si="1"/>
        <v>1</v>
      </c>
      <c r="B54" s="1169" t="str">
        <f>VLOOKUP(D54,'LA List'!$A$3:$B$500,2,0)</f>
        <v>E4202</v>
      </c>
      <c r="C54" s="1169" t="str">
        <f t="shared" si="0"/>
        <v>E4202EZ1</v>
      </c>
      <c r="D54" s="540" t="s">
        <v>922</v>
      </c>
      <c r="E54" s="540"/>
      <c r="G54" s="1167"/>
      <c r="H54" s="1166"/>
      <c r="I54" s="1165"/>
    </row>
    <row r="55" spans="1:9" x14ac:dyDescent="0.2">
      <c r="A55" s="116">
        <f t="shared" si="1"/>
        <v>1</v>
      </c>
      <c r="B55" s="1169" t="str">
        <f>VLOOKUP(D55,'LA List'!$A$3:$B$500,2,0)</f>
        <v>E4702</v>
      </c>
      <c r="C55" s="1169" t="str">
        <f t="shared" si="0"/>
        <v>E4702EZ1</v>
      </c>
      <c r="D55" s="540" t="s">
        <v>924</v>
      </c>
      <c r="E55" s="540" t="s">
        <v>2927</v>
      </c>
      <c r="G55" s="1167"/>
      <c r="H55" s="1166"/>
      <c r="I55" s="1165"/>
    </row>
    <row r="56" spans="1:9" x14ac:dyDescent="0.2">
      <c r="A56" s="116">
        <f t="shared" si="1"/>
        <v>1</v>
      </c>
      <c r="B56" s="1169" t="str">
        <f>VLOOKUP(D56,'LA List'!$A$3:$B$500,2,0)</f>
        <v>E0531</v>
      </c>
      <c r="C56" s="1169" t="str">
        <f t="shared" si="0"/>
        <v>E0531EZ1</v>
      </c>
      <c r="D56" s="540" t="s">
        <v>926</v>
      </c>
      <c r="E56" s="540"/>
      <c r="G56" s="1167"/>
      <c r="H56" s="1166"/>
      <c r="I56" s="1165"/>
    </row>
    <row r="57" spans="1:9" x14ac:dyDescent="0.2">
      <c r="A57" s="116">
        <f t="shared" si="1"/>
        <v>1</v>
      </c>
      <c r="B57" s="1169" t="str">
        <f>VLOOKUP(D57,'LA List'!$A$3:$B$500,2,0)</f>
        <v>E5011</v>
      </c>
      <c r="C57" s="1169" t="str">
        <f t="shared" si="0"/>
        <v>E5011EZ1</v>
      </c>
      <c r="D57" s="540" t="s">
        <v>928</v>
      </c>
      <c r="E57" s="540"/>
      <c r="G57" s="1167"/>
      <c r="H57" s="1166"/>
      <c r="I57" s="1165"/>
    </row>
    <row r="58" spans="1:9" x14ac:dyDescent="0.2">
      <c r="A58" s="116">
        <f t="shared" si="1"/>
        <v>1</v>
      </c>
      <c r="B58" s="1169" t="str">
        <f>VLOOKUP(D58,'LA List'!$A$3:$B$500,2,0)</f>
        <v>E3431</v>
      </c>
      <c r="C58" s="1169" t="str">
        <f t="shared" si="0"/>
        <v>E3431EZ1</v>
      </c>
      <c r="D58" s="540" t="s">
        <v>930</v>
      </c>
      <c r="E58" s="540"/>
      <c r="G58" s="1167"/>
      <c r="H58" s="1166"/>
      <c r="I58" s="1165"/>
    </row>
    <row r="59" spans="1:9" x14ac:dyDescent="0.2">
      <c r="A59" s="116">
        <f t="shared" si="1"/>
        <v>1</v>
      </c>
      <c r="B59" s="1169" t="str">
        <f>VLOOKUP(D59,'LA List'!$A$3:$B$500,2,0)</f>
        <v>E2232</v>
      </c>
      <c r="C59" s="1169" t="str">
        <f t="shared" si="0"/>
        <v>E2232EZ1</v>
      </c>
      <c r="D59" s="540" t="s">
        <v>932</v>
      </c>
      <c r="E59" s="540"/>
      <c r="G59" s="1167"/>
      <c r="H59" s="1166"/>
      <c r="I59" s="1165"/>
    </row>
    <row r="60" spans="1:9" x14ac:dyDescent="0.2">
      <c r="A60" s="116">
        <f t="shared" si="1"/>
        <v>1</v>
      </c>
      <c r="B60" s="1169" t="str">
        <f>VLOOKUP(D60,'LA List'!$A$3:$B$500,2,0)</f>
        <v>E0933</v>
      </c>
      <c r="C60" s="1169" t="str">
        <f t="shared" si="0"/>
        <v>E0933EZ1</v>
      </c>
      <c r="D60" s="540" t="s">
        <v>934</v>
      </c>
      <c r="E60" s="540" t="s">
        <v>2928</v>
      </c>
      <c r="G60" s="1167"/>
      <c r="H60" s="1166"/>
      <c r="I60" s="1165"/>
    </row>
    <row r="61" spans="1:9" x14ac:dyDescent="0.2">
      <c r="A61" s="116">
        <f t="shared" si="1"/>
        <v>1</v>
      </c>
      <c r="B61" s="1169" t="str">
        <f>VLOOKUP(D61,'LA List'!$A$3:$B$500,2,0)</f>
        <v>E1534</v>
      </c>
      <c r="C61" s="1169" t="str">
        <f t="shared" si="0"/>
        <v>E1534EZ1</v>
      </c>
      <c r="D61" s="540" t="s">
        <v>936</v>
      </c>
      <c r="E61" s="540"/>
      <c r="G61" s="1167"/>
      <c r="H61" s="1166"/>
      <c r="I61" s="1165"/>
    </row>
    <row r="62" spans="1:9" x14ac:dyDescent="0.2">
      <c r="A62" s="116">
        <f t="shared" si="1"/>
        <v>1</v>
      </c>
      <c r="B62" s="1169" t="str">
        <f>VLOOKUP(D62,'LA List'!$A$3:$B$500,2,0)</f>
        <v>E0203</v>
      </c>
      <c r="C62" s="1169" t="str">
        <f t="shared" si="0"/>
        <v>E0203EZ1</v>
      </c>
      <c r="D62" s="540" t="s">
        <v>938</v>
      </c>
      <c r="E62" s="540"/>
      <c r="G62" s="1167"/>
      <c r="H62" s="1166"/>
      <c r="I62" s="1165"/>
    </row>
    <row r="63" spans="1:9" x14ac:dyDescent="0.2">
      <c r="A63" s="116">
        <f t="shared" si="1"/>
        <v>1</v>
      </c>
      <c r="B63" s="1169" t="str">
        <f>VLOOKUP(D63,'LA List'!$A$3:$B$500,2,0)</f>
        <v>E2432</v>
      </c>
      <c r="C63" s="1169" t="str">
        <f t="shared" si="0"/>
        <v>E2432EZ1</v>
      </c>
      <c r="D63" s="540" t="s">
        <v>940</v>
      </c>
      <c r="E63" s="540" t="s">
        <v>2929</v>
      </c>
      <c r="G63" s="1167"/>
      <c r="H63" s="1166"/>
      <c r="I63" s="1165"/>
    </row>
    <row r="64" spans="1:9" x14ac:dyDescent="0.2">
      <c r="A64" s="116">
        <f t="shared" si="1"/>
        <v>2</v>
      </c>
      <c r="B64" s="1169" t="str">
        <f>VLOOKUP(D64,'LA List'!$A$3:$B$500,2,0)</f>
        <v>E2432</v>
      </c>
      <c r="C64" s="1169" t="str">
        <f t="shared" si="0"/>
        <v>E2432EZ2</v>
      </c>
      <c r="D64" s="540" t="s">
        <v>940</v>
      </c>
      <c r="E64" s="540" t="s">
        <v>2930</v>
      </c>
      <c r="G64" s="1167"/>
      <c r="H64" s="1166"/>
      <c r="I64" s="1165"/>
    </row>
    <row r="65" spans="1:9" x14ac:dyDescent="0.2">
      <c r="A65" s="116">
        <f t="shared" si="1"/>
        <v>1</v>
      </c>
      <c r="B65" s="1169" t="str">
        <f>VLOOKUP(D65,'LA List'!$A$3:$B$500,2,0)</f>
        <v>E1535</v>
      </c>
      <c r="C65" s="1169" t="str">
        <f t="shared" si="0"/>
        <v>E1535EZ1</v>
      </c>
      <c r="D65" s="540" t="s">
        <v>942</v>
      </c>
      <c r="E65" s="540"/>
      <c r="G65" s="1167"/>
      <c r="H65" s="1166"/>
      <c r="I65" s="1165"/>
    </row>
    <row r="66" spans="1:9" x14ac:dyDescent="0.2">
      <c r="A66" s="116">
        <f t="shared" si="1"/>
        <v>1</v>
      </c>
      <c r="B66" s="1169" t="str">
        <f>VLOOKUP(D66,'LA List'!$A$3:$B$500,2,0)</f>
        <v>E1631</v>
      </c>
      <c r="C66" s="1169" t="str">
        <f t="shared" si="0"/>
        <v>E1631EZ1</v>
      </c>
      <c r="D66" s="540" t="s">
        <v>944</v>
      </c>
      <c r="E66" s="540"/>
      <c r="G66" s="1167"/>
      <c r="H66" s="1166"/>
      <c r="I66" s="1165"/>
    </row>
    <row r="67" spans="1:9" x14ac:dyDescent="0.2">
      <c r="A67" s="116">
        <f t="shared" si="1"/>
        <v>1</v>
      </c>
      <c r="B67" s="1169" t="str">
        <f>VLOOKUP(D67,'LA List'!$A$3:$B$500,2,0)</f>
        <v>E3131</v>
      </c>
      <c r="C67" s="1169" t="str">
        <f t="shared" si="0"/>
        <v>E3131EZ1</v>
      </c>
      <c r="D67" s="540" t="s">
        <v>946</v>
      </c>
      <c r="E67" s="540"/>
      <c r="G67" s="1167"/>
      <c r="H67" s="1166"/>
      <c r="I67" s="1165"/>
    </row>
    <row r="68" spans="1:9" x14ac:dyDescent="0.2">
      <c r="A68" s="116">
        <f t="shared" si="1"/>
        <v>1</v>
      </c>
      <c r="B68" s="1169" t="str">
        <f>VLOOKUP(D68,'LA List'!$A$3:$B$500,2,0)</f>
        <v>E0603</v>
      </c>
      <c r="C68" s="1169" t="str">
        <f t="shared" ref="C68:C131" si="2">CONCATENATE(B68,"EZ",A68)</f>
        <v>E0603EZ1</v>
      </c>
      <c r="D68" s="540" t="s">
        <v>948</v>
      </c>
      <c r="E68" s="540" t="s">
        <v>2931</v>
      </c>
      <c r="G68" s="1167"/>
      <c r="H68" s="1166"/>
      <c r="I68" s="1165"/>
    </row>
    <row r="69" spans="1:9" x14ac:dyDescent="0.2">
      <c r="A69" s="116">
        <f t="shared" ref="A69:A132" si="3">IF(D69=D68,A68+1,1)</f>
        <v>1</v>
      </c>
      <c r="B69" s="1169" t="str">
        <f>VLOOKUP(D69,'LA List'!$A$3:$B$500,2,0)</f>
        <v>E0604</v>
      </c>
      <c r="C69" s="1169" t="str">
        <f t="shared" si="2"/>
        <v>E0604EZ1</v>
      </c>
      <c r="D69" s="540" t="s">
        <v>632</v>
      </c>
      <c r="E69" s="540" t="s">
        <v>2932</v>
      </c>
      <c r="G69" s="1167"/>
      <c r="H69" s="1166"/>
      <c r="I69" s="1165"/>
    </row>
    <row r="70" spans="1:9" x14ac:dyDescent="0.2">
      <c r="A70" s="116">
        <f t="shared" si="3"/>
        <v>2</v>
      </c>
      <c r="B70" s="1169" t="str">
        <f>VLOOKUP(D70,'LA List'!$A$3:$B$500,2,0)</f>
        <v>E0604</v>
      </c>
      <c r="C70" s="1169" t="str">
        <f t="shared" si="2"/>
        <v>E0604EZ2</v>
      </c>
      <c r="D70" s="540" t="s">
        <v>632</v>
      </c>
      <c r="E70" s="540" t="s">
        <v>2933</v>
      </c>
      <c r="G70" s="1167"/>
      <c r="H70" s="1166"/>
      <c r="I70" s="1165"/>
    </row>
    <row r="71" spans="1:9" x14ac:dyDescent="0.2">
      <c r="A71" s="116">
        <f t="shared" si="3"/>
        <v>3</v>
      </c>
      <c r="B71" s="1169" t="str">
        <f>VLOOKUP(D71,'LA List'!$A$3:$B$500,2,0)</f>
        <v>E0604</v>
      </c>
      <c r="C71" s="1169" t="str">
        <f t="shared" si="2"/>
        <v>E0604EZ3</v>
      </c>
      <c r="D71" s="540" t="s">
        <v>632</v>
      </c>
      <c r="E71" s="540" t="s">
        <v>2934</v>
      </c>
      <c r="G71" s="1167"/>
      <c r="H71" s="1166"/>
      <c r="I71" s="1165"/>
    </row>
    <row r="72" spans="1:9" x14ac:dyDescent="0.2">
      <c r="A72" s="116">
        <f t="shared" si="3"/>
        <v>4</v>
      </c>
      <c r="B72" s="1169" t="str">
        <f>VLOOKUP(D72,'LA List'!$A$3:$B$500,2,0)</f>
        <v>E0604</v>
      </c>
      <c r="C72" s="1169" t="str">
        <f t="shared" si="2"/>
        <v>E0604EZ4</v>
      </c>
      <c r="D72" s="540" t="s">
        <v>632</v>
      </c>
      <c r="E72" s="540" t="s">
        <v>2935</v>
      </c>
      <c r="G72" s="1167"/>
      <c r="H72" s="1166"/>
      <c r="I72" s="1165"/>
    </row>
    <row r="73" spans="1:9" x14ac:dyDescent="0.2">
      <c r="A73" s="116">
        <f t="shared" si="3"/>
        <v>5</v>
      </c>
      <c r="B73" s="1169" t="str">
        <f>VLOOKUP(D73,'LA List'!$A$3:$B$500,2,0)</f>
        <v>E0604</v>
      </c>
      <c r="C73" s="1169" t="str">
        <f t="shared" si="2"/>
        <v>E0604EZ5</v>
      </c>
      <c r="D73" s="540" t="s">
        <v>632</v>
      </c>
      <c r="E73" s="540" t="s">
        <v>2936</v>
      </c>
      <c r="G73" s="1167"/>
      <c r="H73" s="1166"/>
      <c r="I73" s="1165"/>
    </row>
    <row r="74" spans="1:9" x14ac:dyDescent="0.2">
      <c r="A74" s="116">
        <f t="shared" si="3"/>
        <v>6</v>
      </c>
      <c r="B74" s="1169" t="str">
        <f>VLOOKUP(D74,'LA List'!$A$3:$B$500,2,0)</f>
        <v>E0604</v>
      </c>
      <c r="C74" s="1169" t="str">
        <f t="shared" si="2"/>
        <v>E0604EZ6</v>
      </c>
      <c r="D74" s="540" t="s">
        <v>632</v>
      </c>
      <c r="E74" s="540" t="s">
        <v>2937</v>
      </c>
      <c r="G74" s="1167"/>
      <c r="H74" s="1166"/>
      <c r="I74" s="1165"/>
    </row>
    <row r="75" spans="1:9" x14ac:dyDescent="0.2">
      <c r="A75" s="116">
        <f t="shared" si="3"/>
        <v>7</v>
      </c>
      <c r="B75" s="1169" t="str">
        <f>VLOOKUP(D75,'LA List'!$A$3:$B$500,2,0)</f>
        <v>E0604</v>
      </c>
      <c r="C75" s="1169" t="str">
        <f t="shared" si="2"/>
        <v>E0604EZ7</v>
      </c>
      <c r="D75" s="540" t="s">
        <v>632</v>
      </c>
      <c r="E75" s="540" t="s">
        <v>2938</v>
      </c>
      <c r="G75" s="1167"/>
      <c r="H75" s="1166"/>
      <c r="I75" s="1165"/>
    </row>
    <row r="76" spans="1:9" x14ac:dyDescent="0.2">
      <c r="A76" s="116">
        <f t="shared" si="3"/>
        <v>8</v>
      </c>
      <c r="B76" s="1169" t="str">
        <f>VLOOKUP(D76,'LA List'!$A$3:$B$500,2,0)</f>
        <v>E0604</v>
      </c>
      <c r="C76" s="1169" t="str">
        <f t="shared" si="2"/>
        <v>E0604EZ8</v>
      </c>
      <c r="D76" s="540" t="s">
        <v>632</v>
      </c>
      <c r="E76" s="540" t="s">
        <v>2939</v>
      </c>
      <c r="G76" s="1167"/>
      <c r="H76" s="1166"/>
      <c r="I76" s="1165"/>
    </row>
    <row r="77" spans="1:9" x14ac:dyDescent="0.2">
      <c r="A77" s="116">
        <f t="shared" si="3"/>
        <v>9</v>
      </c>
      <c r="B77" s="1169" t="str">
        <f>VLOOKUP(D77,'LA List'!$A$3:$B$500,2,0)</f>
        <v>E0604</v>
      </c>
      <c r="C77" s="1169" t="str">
        <f t="shared" si="2"/>
        <v>E0604EZ9</v>
      </c>
      <c r="D77" s="540" t="s">
        <v>632</v>
      </c>
      <c r="E77" s="540" t="s">
        <v>2940</v>
      </c>
      <c r="G77" s="1167"/>
      <c r="H77" s="1166"/>
      <c r="I77" s="1165"/>
    </row>
    <row r="78" spans="1:9" x14ac:dyDescent="0.2">
      <c r="A78" s="116">
        <f t="shared" si="3"/>
        <v>10</v>
      </c>
      <c r="B78" s="1169" t="str">
        <f>VLOOKUP(D78,'LA List'!$A$3:$B$500,2,0)</f>
        <v>E0604</v>
      </c>
      <c r="C78" s="1169" t="str">
        <f t="shared" si="2"/>
        <v>E0604EZ10</v>
      </c>
      <c r="D78" s="540" t="s">
        <v>632</v>
      </c>
      <c r="E78" s="540" t="s">
        <v>2941</v>
      </c>
      <c r="G78" s="1167"/>
      <c r="H78" s="1166"/>
      <c r="I78" s="1165"/>
    </row>
    <row r="79" spans="1:9" x14ac:dyDescent="0.2">
      <c r="A79" s="116">
        <f t="shared" si="3"/>
        <v>1</v>
      </c>
      <c r="B79" s="1169" t="str">
        <f>VLOOKUP(D79,'LA List'!$A$3:$B$500,2,0)</f>
        <v>E1033</v>
      </c>
      <c r="C79" s="1169" t="str">
        <f t="shared" si="2"/>
        <v>E1033EZ1</v>
      </c>
      <c r="D79" s="540" t="s">
        <v>952</v>
      </c>
      <c r="E79" s="540" t="s">
        <v>976</v>
      </c>
      <c r="G79" s="1167"/>
      <c r="H79" s="1166"/>
      <c r="I79" s="1165"/>
    </row>
    <row r="80" spans="1:9" x14ac:dyDescent="0.2">
      <c r="A80" s="116">
        <f t="shared" si="3"/>
        <v>1</v>
      </c>
      <c r="B80" s="1169" t="str">
        <f>VLOOKUP(D80,'LA List'!$A$3:$B$500,2,0)</f>
        <v>E3833</v>
      </c>
      <c r="C80" s="1169" t="str">
        <f t="shared" si="2"/>
        <v>E3833EZ1</v>
      </c>
      <c r="D80" s="540" t="s">
        <v>954</v>
      </c>
      <c r="E80" s="540"/>
      <c r="G80" s="1167"/>
      <c r="H80" s="1166"/>
      <c r="I80" s="1165"/>
    </row>
    <row r="81" spans="1:9" x14ac:dyDescent="0.2">
      <c r="A81" s="116">
        <f t="shared" si="3"/>
        <v>1</v>
      </c>
      <c r="B81" s="1169" t="str">
        <f>VLOOKUP(D81,'LA List'!$A$3:$B$500,2,0)</f>
        <v>E0432</v>
      </c>
      <c r="C81" s="1169" t="str">
        <f t="shared" si="2"/>
        <v>E0432EZ1</v>
      </c>
      <c r="D81" s="540" t="s">
        <v>956</v>
      </c>
      <c r="E81" s="540"/>
      <c r="G81" s="1167"/>
      <c r="H81" s="1166"/>
      <c r="I81" s="1165"/>
    </row>
    <row r="82" spans="1:9" x14ac:dyDescent="0.2">
      <c r="A82" s="116">
        <f t="shared" si="3"/>
        <v>1</v>
      </c>
      <c r="B82" s="1169" t="str">
        <f>VLOOKUP(D82,'LA List'!$A$3:$B$500,2,0)</f>
        <v>E2334</v>
      </c>
      <c r="C82" s="1169" t="str">
        <f t="shared" si="2"/>
        <v>E2334EZ1</v>
      </c>
      <c r="D82" s="540" t="s">
        <v>958</v>
      </c>
      <c r="E82" s="540"/>
      <c r="G82" s="1167"/>
      <c r="H82" s="1166"/>
      <c r="I82" s="1165"/>
    </row>
    <row r="83" spans="1:9" x14ac:dyDescent="0.2">
      <c r="A83" s="116">
        <f t="shared" si="3"/>
        <v>1</v>
      </c>
      <c r="B83" s="1169" t="str">
        <f>VLOOKUP(D83,'LA List'!$A$3:$B$500,2,0)</f>
        <v>E1232</v>
      </c>
      <c r="C83" s="1169" t="str">
        <f t="shared" si="2"/>
        <v>E1232EZ1</v>
      </c>
      <c r="D83" s="540" t="s">
        <v>960</v>
      </c>
      <c r="E83" s="540"/>
      <c r="G83" s="1167"/>
      <c r="H83" s="1166"/>
      <c r="I83" s="1165"/>
    </row>
    <row r="84" spans="1:9" x14ac:dyDescent="0.2">
      <c r="A84" s="116">
        <f t="shared" si="3"/>
        <v>1</v>
      </c>
      <c r="B84" s="1169" t="str">
        <f>VLOOKUP(D84,'LA List'!$A$3:$B$500,2,0)</f>
        <v>E5010</v>
      </c>
      <c r="C84" s="1169" t="str">
        <f t="shared" si="2"/>
        <v>E5010EZ1</v>
      </c>
      <c r="D84" s="540" t="s">
        <v>962</v>
      </c>
      <c r="E84" s="540"/>
      <c r="G84" s="1167"/>
      <c r="H84" s="1166"/>
      <c r="I84" s="1165"/>
    </row>
    <row r="85" spans="1:9" x14ac:dyDescent="0.2">
      <c r="A85" s="116">
        <f t="shared" si="3"/>
        <v>1</v>
      </c>
      <c r="B85" s="1169" t="str">
        <f>VLOOKUP(D85,'LA List'!$A$3:$B$500,2,0)</f>
        <v>E1536</v>
      </c>
      <c r="C85" s="1169" t="str">
        <f t="shared" si="2"/>
        <v>E1536EZ1</v>
      </c>
      <c r="D85" s="540" t="s">
        <v>1</v>
      </c>
      <c r="E85" s="540"/>
      <c r="G85" s="1167"/>
      <c r="H85" s="1166"/>
      <c r="I85" s="1165"/>
    </row>
    <row r="86" spans="1:9" x14ac:dyDescent="0.2">
      <c r="A86" s="116">
        <f t="shared" si="3"/>
        <v>1</v>
      </c>
      <c r="B86" s="1169" t="str">
        <f>VLOOKUP(D86,'LA List'!$A$3:$B$500,2,0)</f>
        <v>E0934</v>
      </c>
      <c r="C86" s="1169" t="str">
        <f t="shared" si="2"/>
        <v>E0934EZ1</v>
      </c>
      <c r="D86" s="540" t="s">
        <v>3</v>
      </c>
      <c r="E86" s="540"/>
      <c r="G86" s="1167"/>
      <c r="H86" s="1166"/>
      <c r="I86" s="1165"/>
    </row>
    <row r="87" spans="1:9" x14ac:dyDescent="0.2">
      <c r="A87" s="116">
        <f t="shared" si="3"/>
        <v>1</v>
      </c>
      <c r="B87" s="1169" t="str">
        <f>VLOOKUP(D87,'LA List'!$A$3:$B$500,2,0)</f>
        <v>E2831</v>
      </c>
      <c r="C87" s="1169" t="str">
        <f t="shared" si="2"/>
        <v>E2831EZ1</v>
      </c>
      <c r="D87" s="540" t="s">
        <v>5</v>
      </c>
      <c r="E87" s="540"/>
      <c r="G87" s="1167"/>
      <c r="H87" s="1166"/>
      <c r="I87" s="1165"/>
    </row>
    <row r="88" spans="1:9" x14ac:dyDescent="0.2">
      <c r="A88" s="116">
        <f t="shared" si="3"/>
        <v>1</v>
      </c>
      <c r="B88" s="1169" t="str">
        <f>VLOOKUP(D88,'LA List'!$A$3:$B$500,2,0)</f>
        <v>E0801</v>
      </c>
      <c r="C88" s="1169" t="str">
        <f t="shared" si="2"/>
        <v>E0801EZ1</v>
      </c>
      <c r="D88" s="540" t="s">
        <v>7</v>
      </c>
      <c r="E88" s="540" t="s">
        <v>977</v>
      </c>
      <c r="G88" s="1167"/>
      <c r="H88" s="1166"/>
      <c r="I88" s="1165"/>
    </row>
    <row r="89" spans="1:9" x14ac:dyDescent="0.2">
      <c r="A89" s="116">
        <f t="shared" si="3"/>
        <v>2</v>
      </c>
      <c r="B89" s="1169" t="str">
        <f>VLOOKUP(D89,'LA List'!$A$3:$B$500,2,0)</f>
        <v>E0801</v>
      </c>
      <c r="C89" s="1169" t="str">
        <f t="shared" si="2"/>
        <v>E0801EZ2</v>
      </c>
      <c r="D89" s="540" t="s">
        <v>7</v>
      </c>
      <c r="E89" s="540" t="s">
        <v>2942</v>
      </c>
      <c r="G89" s="1167"/>
      <c r="H89" s="1166"/>
      <c r="I89" s="1165"/>
    </row>
    <row r="90" spans="1:9" x14ac:dyDescent="0.2">
      <c r="A90" s="116">
        <f t="shared" si="3"/>
        <v>3</v>
      </c>
      <c r="B90" s="1169" t="str">
        <f>VLOOKUP(D90,'LA List'!$A$3:$B$500,2,0)</f>
        <v>E0801</v>
      </c>
      <c r="C90" s="1169" t="str">
        <f t="shared" si="2"/>
        <v>E0801EZ3</v>
      </c>
      <c r="D90" s="540" t="s">
        <v>7</v>
      </c>
      <c r="E90" s="540" t="s">
        <v>2943</v>
      </c>
      <c r="G90" s="1167"/>
      <c r="H90" s="1166"/>
      <c r="I90" s="1165"/>
    </row>
    <row r="91" spans="1:9" x14ac:dyDescent="0.2">
      <c r="A91" s="116">
        <f t="shared" si="3"/>
        <v>4</v>
      </c>
      <c r="B91" s="1169" t="str">
        <f>VLOOKUP(D91,'LA List'!$A$3:$B$500,2,0)</f>
        <v>E0801</v>
      </c>
      <c r="C91" s="1169" t="str">
        <f t="shared" si="2"/>
        <v>E0801EZ4</v>
      </c>
      <c r="D91" s="540" t="s">
        <v>7</v>
      </c>
      <c r="E91" s="540" t="s">
        <v>2944</v>
      </c>
      <c r="G91" s="1167"/>
      <c r="H91" s="1166"/>
      <c r="I91" s="1165"/>
    </row>
    <row r="92" spans="1:9" x14ac:dyDescent="0.2">
      <c r="A92" s="116">
        <f t="shared" si="3"/>
        <v>5</v>
      </c>
      <c r="B92" s="1169" t="str">
        <f>VLOOKUP(D92,'LA List'!$A$3:$B$500,2,0)</f>
        <v>E0801</v>
      </c>
      <c r="C92" s="1169" t="str">
        <f t="shared" si="2"/>
        <v>E0801EZ5</v>
      </c>
      <c r="D92" s="540" t="s">
        <v>7</v>
      </c>
      <c r="E92" s="540" t="s">
        <v>2945</v>
      </c>
      <c r="G92" s="1167"/>
      <c r="H92" s="1166"/>
      <c r="I92" s="1165"/>
    </row>
    <row r="93" spans="1:9" x14ac:dyDescent="0.2">
      <c r="A93" s="116">
        <f t="shared" si="3"/>
        <v>1</v>
      </c>
      <c r="B93" s="1169" t="str">
        <f>VLOOKUP(D93,'LA List'!$A$3:$B$500,2,0)</f>
        <v>E1632</v>
      </c>
      <c r="C93" s="1169" t="str">
        <f t="shared" si="2"/>
        <v>E1632EZ1</v>
      </c>
      <c r="D93" s="540" t="s">
        <v>9</v>
      </c>
      <c r="E93" s="540"/>
      <c r="G93" s="1167"/>
      <c r="H93" s="1166"/>
      <c r="I93" s="1165"/>
    </row>
    <row r="94" spans="1:9" x14ac:dyDescent="0.2">
      <c r="A94" s="116">
        <f t="shared" si="3"/>
        <v>1</v>
      </c>
      <c r="B94" s="1169" t="str">
        <f>VLOOKUP(D94,'LA List'!$A$3:$B$500,2,0)</f>
        <v>E4602</v>
      </c>
      <c r="C94" s="1169" t="str">
        <f t="shared" si="2"/>
        <v>E4602EZ1</v>
      </c>
      <c r="D94" s="540" t="s">
        <v>11</v>
      </c>
      <c r="E94" s="540"/>
      <c r="G94" s="1167"/>
      <c r="H94" s="1166"/>
      <c r="I94" s="1165"/>
    </row>
    <row r="95" spans="1:9" x14ac:dyDescent="0.2">
      <c r="A95" s="116">
        <f t="shared" si="3"/>
        <v>1</v>
      </c>
      <c r="B95" s="1169" t="str">
        <f>VLOOKUP(D95,'LA List'!$A$3:$B$500,2,0)</f>
        <v>E2731</v>
      </c>
      <c r="C95" s="1169" t="str">
        <f t="shared" si="2"/>
        <v>E2731EZ1</v>
      </c>
      <c r="D95" s="540" t="s">
        <v>13</v>
      </c>
      <c r="E95" s="540"/>
      <c r="G95" s="1167"/>
      <c r="H95" s="1166"/>
      <c r="I95" s="1165"/>
    </row>
    <row r="96" spans="1:9" x14ac:dyDescent="0.2">
      <c r="A96" s="116">
        <f t="shared" si="3"/>
        <v>1</v>
      </c>
      <c r="B96" s="1169" t="str">
        <f>VLOOKUP(D96,'LA List'!$A$3:$B$500,2,0)</f>
        <v>E3834</v>
      </c>
      <c r="C96" s="1169" t="str">
        <f t="shared" si="2"/>
        <v>E3834EZ1</v>
      </c>
      <c r="D96" s="540" t="s">
        <v>15</v>
      </c>
      <c r="E96" s="540"/>
      <c r="G96" s="1167"/>
      <c r="H96" s="1166"/>
      <c r="I96" s="1165"/>
    </row>
    <row r="97" spans="1:9" x14ac:dyDescent="0.2">
      <c r="A97" s="116">
        <f t="shared" si="3"/>
        <v>1</v>
      </c>
      <c r="B97" s="1169" t="str">
        <f>VLOOKUP(D97,'LA List'!$A$3:$B$500,2,0)</f>
        <v>E5035</v>
      </c>
      <c r="C97" s="1169" t="str">
        <f t="shared" si="2"/>
        <v>E5035EZ1</v>
      </c>
      <c r="D97" s="540" t="s">
        <v>17</v>
      </c>
      <c r="E97" s="540"/>
      <c r="G97" s="1167"/>
      <c r="H97" s="1166"/>
      <c r="I97" s="1165"/>
    </row>
    <row r="98" spans="1:9" x14ac:dyDescent="0.2">
      <c r="A98" s="116">
        <f t="shared" si="3"/>
        <v>1</v>
      </c>
      <c r="B98" s="1169" t="str">
        <f>VLOOKUP(D98,'LA List'!$A$3:$B$500,2,0)</f>
        <v>E1932</v>
      </c>
      <c r="C98" s="1169" t="str">
        <f t="shared" si="2"/>
        <v>E1932EZ1</v>
      </c>
      <c r="D98" s="540" t="s">
        <v>19</v>
      </c>
      <c r="E98" s="540" t="s">
        <v>2946</v>
      </c>
      <c r="G98" s="1167"/>
      <c r="H98" s="1166"/>
      <c r="I98" s="1165"/>
    </row>
    <row r="99" spans="1:9" x14ac:dyDescent="0.2">
      <c r="A99" s="116">
        <f t="shared" si="3"/>
        <v>2</v>
      </c>
      <c r="B99" s="1169" t="str">
        <f>VLOOKUP(D99,'LA List'!$A$3:$B$500,2,0)</f>
        <v>E1932</v>
      </c>
      <c r="C99" s="1169" t="str">
        <f t="shared" si="2"/>
        <v>E1932EZ2</v>
      </c>
      <c r="D99" s="540" t="s">
        <v>19</v>
      </c>
      <c r="E99" s="540" t="s">
        <v>2947</v>
      </c>
      <c r="G99" s="1167"/>
      <c r="H99" s="1166"/>
      <c r="I99" s="1165"/>
    </row>
    <row r="100" spans="1:9" x14ac:dyDescent="0.2">
      <c r="A100" s="116">
        <f t="shared" si="3"/>
        <v>3</v>
      </c>
      <c r="B100" s="1169" t="str">
        <f>VLOOKUP(D100,'LA List'!$A$3:$B$500,2,0)</f>
        <v>E1932</v>
      </c>
      <c r="C100" s="1169" t="str">
        <f t="shared" si="2"/>
        <v>E1932EZ3</v>
      </c>
      <c r="D100" s="540" t="s">
        <v>19</v>
      </c>
      <c r="E100" s="540" t="s">
        <v>2948</v>
      </c>
      <c r="G100" s="1167"/>
      <c r="H100" s="1166"/>
      <c r="I100" s="1165"/>
    </row>
    <row r="101" spans="1:9" x14ac:dyDescent="0.2">
      <c r="A101" s="116">
        <f t="shared" si="3"/>
        <v>4</v>
      </c>
      <c r="B101" s="1169" t="str">
        <f>VLOOKUP(D101,'LA List'!$A$3:$B$500,2,0)</f>
        <v>E1932</v>
      </c>
      <c r="C101" s="1169" t="str">
        <f t="shared" si="2"/>
        <v>E1932EZ4</v>
      </c>
      <c r="D101" s="540" t="s">
        <v>19</v>
      </c>
      <c r="E101" s="540" t="s">
        <v>2949</v>
      </c>
      <c r="G101" s="1167"/>
      <c r="H101" s="1166"/>
      <c r="I101" s="1165"/>
    </row>
    <row r="102" spans="1:9" x14ac:dyDescent="0.2">
      <c r="A102" s="116">
        <f t="shared" si="3"/>
        <v>1</v>
      </c>
      <c r="B102" s="1169" t="str">
        <f>VLOOKUP(D102,'LA List'!$A$3:$B$500,2,0)</f>
        <v>E1301</v>
      </c>
      <c r="C102" s="1169" t="str">
        <f t="shared" si="2"/>
        <v>E1301EZ1</v>
      </c>
      <c r="D102" s="540" t="s">
        <v>22</v>
      </c>
      <c r="E102" s="540" t="s">
        <v>2950</v>
      </c>
      <c r="G102" s="1167"/>
      <c r="H102" s="1166"/>
      <c r="I102" s="1165"/>
    </row>
    <row r="103" spans="1:9" x14ac:dyDescent="0.2">
      <c r="A103" s="116">
        <f t="shared" si="3"/>
        <v>1</v>
      </c>
      <c r="B103" s="1169" t="str">
        <f>VLOOKUP(D103,'LA List'!$A$3:$B$500,2,0)</f>
        <v>E2233</v>
      </c>
      <c r="C103" s="1169" t="str">
        <f t="shared" si="2"/>
        <v>E2233EZ1</v>
      </c>
      <c r="D103" s="540" t="s">
        <v>24</v>
      </c>
      <c r="E103" s="540" t="s">
        <v>2951</v>
      </c>
      <c r="G103" s="1167"/>
      <c r="H103" s="1166"/>
      <c r="I103" s="1165"/>
    </row>
    <row r="104" spans="1:9" x14ac:dyDescent="0.2">
      <c r="A104" s="116">
        <f t="shared" si="3"/>
        <v>1</v>
      </c>
      <c r="B104" s="1169" t="str">
        <f>VLOOKUP(D104,'LA List'!$A$3:$B$500,2,0)</f>
        <v>E2832</v>
      </c>
      <c r="C104" s="1169" t="str">
        <f t="shared" si="2"/>
        <v>E2832EZ1</v>
      </c>
      <c r="D104" s="540" t="s">
        <v>26</v>
      </c>
      <c r="E104" s="540"/>
      <c r="G104" s="1167"/>
      <c r="H104" s="1166"/>
      <c r="I104" s="1165"/>
    </row>
    <row r="105" spans="1:9" x14ac:dyDescent="0.2">
      <c r="A105" s="116">
        <f t="shared" si="3"/>
        <v>1</v>
      </c>
      <c r="B105" s="1169" t="str">
        <f>VLOOKUP(D105,'LA List'!$A$3:$B$500,2,0)</f>
        <v>E1001</v>
      </c>
      <c r="C105" s="1169" t="str">
        <f t="shared" si="2"/>
        <v>E1001EZ1</v>
      </c>
      <c r="D105" s="540" t="s">
        <v>28</v>
      </c>
      <c r="E105" s="540" t="s">
        <v>1081</v>
      </c>
      <c r="G105" s="1167"/>
      <c r="H105" s="1166"/>
      <c r="I105" s="1165"/>
    </row>
    <row r="106" spans="1:9" x14ac:dyDescent="0.2">
      <c r="A106" s="116">
        <f t="shared" si="3"/>
        <v>2</v>
      </c>
      <c r="B106" s="1169" t="str">
        <f>VLOOKUP(D106,'LA List'!$A$3:$B$500,2,0)</f>
        <v>E1001</v>
      </c>
      <c r="C106" s="1169" t="str">
        <f t="shared" si="2"/>
        <v>E1001EZ2</v>
      </c>
      <c r="D106" s="540" t="s">
        <v>28</v>
      </c>
      <c r="E106" s="540" t="s">
        <v>1208</v>
      </c>
      <c r="G106" s="1167"/>
      <c r="H106" s="1166"/>
      <c r="I106" s="1165"/>
    </row>
    <row r="107" spans="1:9" x14ac:dyDescent="0.2">
      <c r="A107" s="116">
        <f t="shared" si="3"/>
        <v>1</v>
      </c>
      <c r="B107" s="1169" t="str">
        <f>VLOOKUP(D107,'LA List'!$A$3:$B$500,2,0)</f>
        <v>E1035</v>
      </c>
      <c r="C107" s="1169" t="str">
        <f t="shared" si="2"/>
        <v>E1035EZ1</v>
      </c>
      <c r="D107" s="540" t="s">
        <v>30</v>
      </c>
      <c r="E107" s="540"/>
      <c r="G107" s="1167"/>
      <c r="H107" s="1166"/>
      <c r="I107" s="1165"/>
    </row>
    <row r="108" spans="1:9" x14ac:dyDescent="0.2">
      <c r="A108" s="116">
        <f t="shared" si="3"/>
        <v>1</v>
      </c>
      <c r="B108" s="1169" t="str">
        <f>VLOOKUP(D108,'LA List'!$A$3:$B$500,2,0)</f>
        <v>E4402</v>
      </c>
      <c r="C108" s="1169" t="str">
        <f t="shared" si="2"/>
        <v>E4402EZ1</v>
      </c>
      <c r="D108" s="540" t="s">
        <v>32</v>
      </c>
      <c r="E108" s="540"/>
      <c r="G108" s="1167"/>
      <c r="H108" s="1166"/>
      <c r="I108" s="1165"/>
    </row>
    <row r="109" spans="1:9" x14ac:dyDescent="0.2">
      <c r="A109" s="116">
        <f t="shared" si="3"/>
        <v>1</v>
      </c>
      <c r="B109" s="1169" t="str">
        <f>VLOOKUP(D109,'LA List'!$A$3:$B$500,2,0)</f>
        <v>E2234</v>
      </c>
      <c r="C109" s="1169" t="str">
        <f t="shared" si="2"/>
        <v>E2234EZ1</v>
      </c>
      <c r="D109" s="540" t="s">
        <v>46</v>
      </c>
      <c r="E109" s="540"/>
      <c r="G109" s="1167"/>
      <c r="H109" s="1166"/>
      <c r="I109" s="1165"/>
    </row>
    <row r="110" spans="1:9" x14ac:dyDescent="0.2">
      <c r="A110" s="116">
        <f t="shared" si="3"/>
        <v>1</v>
      </c>
      <c r="B110" s="1169" t="str">
        <f>VLOOKUP(D110,'LA List'!$A$3:$B$500,2,0)</f>
        <v>E4603</v>
      </c>
      <c r="C110" s="1169" t="str">
        <f t="shared" si="2"/>
        <v>E4603EZ1</v>
      </c>
      <c r="D110" s="540" t="s">
        <v>48</v>
      </c>
      <c r="E110" s="540" t="s">
        <v>2952</v>
      </c>
      <c r="G110" s="1167"/>
      <c r="H110" s="1166"/>
      <c r="I110" s="1165"/>
    </row>
    <row r="111" spans="1:9" x14ac:dyDescent="0.2">
      <c r="A111" s="116">
        <f t="shared" si="3"/>
        <v>2</v>
      </c>
      <c r="B111" s="1169" t="str">
        <f>VLOOKUP(D111,'LA List'!$A$3:$B$500,2,0)</f>
        <v>E4603</v>
      </c>
      <c r="C111" s="1169" t="str">
        <f t="shared" si="2"/>
        <v>E4603EZ2</v>
      </c>
      <c r="D111" s="540" t="s">
        <v>48</v>
      </c>
      <c r="E111" s="540" t="s">
        <v>2953</v>
      </c>
      <c r="G111" s="1167"/>
      <c r="H111" s="1166"/>
      <c r="I111" s="1165"/>
    </row>
    <row r="112" spans="1:9" x14ac:dyDescent="0.2">
      <c r="A112" s="116">
        <f t="shared" si="3"/>
        <v>3</v>
      </c>
      <c r="B112" s="1169" t="str">
        <f>VLOOKUP(D112,'LA List'!$A$3:$B$500,2,0)</f>
        <v>E4603</v>
      </c>
      <c r="C112" s="1169" t="str">
        <f t="shared" si="2"/>
        <v>E4603EZ3</v>
      </c>
      <c r="D112" s="540" t="s">
        <v>48</v>
      </c>
      <c r="E112" s="540" t="s">
        <v>2954</v>
      </c>
      <c r="G112" s="1167"/>
      <c r="H112" s="1166"/>
      <c r="I112" s="1165"/>
    </row>
    <row r="113" spans="1:9" x14ac:dyDescent="0.2">
      <c r="A113" s="116">
        <f t="shared" si="3"/>
        <v>4</v>
      </c>
      <c r="B113" s="1169" t="str">
        <f>VLOOKUP(D113,'LA List'!$A$3:$B$500,2,0)</f>
        <v>E4603</v>
      </c>
      <c r="C113" s="1169" t="str">
        <f t="shared" si="2"/>
        <v>E4603EZ4</v>
      </c>
      <c r="D113" s="540" t="s">
        <v>48</v>
      </c>
      <c r="E113" s="540" t="s">
        <v>2955</v>
      </c>
      <c r="G113" s="1167"/>
      <c r="H113" s="1166"/>
      <c r="I113" s="1165"/>
    </row>
    <row r="114" spans="1:9" x14ac:dyDescent="0.2">
      <c r="A114" s="116">
        <f t="shared" si="3"/>
        <v>5</v>
      </c>
      <c r="B114" s="1169" t="str">
        <f>VLOOKUP(D114,'LA List'!$A$3:$B$500,2,0)</f>
        <v>E4603</v>
      </c>
      <c r="C114" s="1169" t="str">
        <f t="shared" si="2"/>
        <v>E4603EZ5</v>
      </c>
      <c r="D114" s="540" t="s">
        <v>48</v>
      </c>
      <c r="E114" s="540" t="s">
        <v>2956</v>
      </c>
      <c r="G114" s="1167"/>
      <c r="H114" s="1166"/>
      <c r="I114" s="1165"/>
    </row>
    <row r="115" spans="1:9" x14ac:dyDescent="0.2">
      <c r="A115" s="116">
        <f t="shared" si="3"/>
        <v>6</v>
      </c>
      <c r="B115" s="1169" t="str">
        <f>VLOOKUP(D115,'LA List'!$A$3:$B$500,2,0)</f>
        <v>E4603</v>
      </c>
      <c r="C115" s="1169" t="str">
        <f t="shared" si="2"/>
        <v>E4603EZ6</v>
      </c>
      <c r="D115" s="540" t="s">
        <v>48</v>
      </c>
      <c r="E115" s="540" t="s">
        <v>2957</v>
      </c>
      <c r="G115" s="1167"/>
      <c r="H115" s="1166"/>
      <c r="I115" s="1165"/>
    </row>
    <row r="116" spans="1:9" x14ac:dyDescent="0.2">
      <c r="A116" s="116">
        <f t="shared" si="3"/>
        <v>1</v>
      </c>
      <c r="B116" s="1169" t="str">
        <f>VLOOKUP(D116,'LA List'!$A$3:$B$500,2,0)</f>
        <v>E1302</v>
      </c>
      <c r="C116" s="1169" t="str">
        <f t="shared" si="2"/>
        <v>E1302EZ1</v>
      </c>
      <c r="D116" s="540" t="s">
        <v>50</v>
      </c>
      <c r="E116" s="540" t="s">
        <v>2958</v>
      </c>
      <c r="G116" s="1167"/>
      <c r="H116" s="1166"/>
      <c r="I116" s="1165"/>
    </row>
    <row r="117" spans="1:9" x14ac:dyDescent="0.2">
      <c r="A117" s="116">
        <f t="shared" si="3"/>
        <v>1</v>
      </c>
      <c r="B117" s="1169" t="str">
        <f>VLOOKUP(D117,'LA List'!$A$3:$B$500,2,0)</f>
        <v>E5036</v>
      </c>
      <c r="C117" s="1169" t="str">
        <f t="shared" si="2"/>
        <v>E5036EZ1</v>
      </c>
      <c r="D117" s="540" t="s">
        <v>52</v>
      </c>
      <c r="E117" s="540"/>
      <c r="G117" s="1167"/>
      <c r="H117" s="1166"/>
      <c r="I117" s="1165"/>
    </row>
    <row r="118" spans="1:9" x14ac:dyDescent="0.2">
      <c r="A118" s="116">
        <f t="shared" si="3"/>
        <v>1</v>
      </c>
      <c r="B118" s="1169" t="str">
        <f>VLOOKUP(D118,'LA List'!$A$3:$B$500,2,0)</f>
        <v>E0532</v>
      </c>
      <c r="C118" s="1169" t="str">
        <f t="shared" si="2"/>
        <v>E0532EZ1</v>
      </c>
      <c r="D118" s="540" t="s">
        <v>54</v>
      </c>
      <c r="E118" s="540" t="s">
        <v>2959</v>
      </c>
      <c r="G118" s="1167"/>
      <c r="H118" s="1166"/>
      <c r="I118" s="1165"/>
    </row>
    <row r="119" spans="1:9" x14ac:dyDescent="0.2">
      <c r="A119" s="116">
        <f t="shared" si="3"/>
        <v>1</v>
      </c>
      <c r="B119" s="1169" t="str">
        <f>VLOOKUP(D119,'LA List'!$A$3:$B$500,2,0)</f>
        <v>E1131</v>
      </c>
      <c r="C119" s="1169" t="str">
        <f t="shared" si="2"/>
        <v>E1131EZ1</v>
      </c>
      <c r="D119" s="540" t="s">
        <v>56</v>
      </c>
      <c r="E119" s="540" t="s">
        <v>2960</v>
      </c>
      <c r="G119" s="1167"/>
      <c r="H119" s="1166"/>
      <c r="I119" s="1165"/>
    </row>
    <row r="120" spans="1:9" x14ac:dyDescent="0.2">
      <c r="A120" s="116">
        <f t="shared" si="3"/>
        <v>2</v>
      </c>
      <c r="B120" s="1169" t="str">
        <f>VLOOKUP(D120,'LA List'!$A$3:$B$500,2,0)</f>
        <v>E1131</v>
      </c>
      <c r="C120" s="1169" t="str">
        <f t="shared" si="2"/>
        <v>E1131EZ2</v>
      </c>
      <c r="D120" s="540" t="s">
        <v>56</v>
      </c>
      <c r="E120" s="540" t="s">
        <v>2961</v>
      </c>
      <c r="G120" s="1167"/>
      <c r="H120" s="1166"/>
      <c r="I120" s="1165"/>
    </row>
    <row r="121" spans="1:9" x14ac:dyDescent="0.2">
      <c r="A121" s="116">
        <f t="shared" si="3"/>
        <v>3</v>
      </c>
      <c r="B121" s="1169" t="str">
        <f>VLOOKUP(D121,'LA List'!$A$3:$B$500,2,0)</f>
        <v>E1131</v>
      </c>
      <c r="C121" s="1169" t="str">
        <f t="shared" si="2"/>
        <v>E1131EZ3</v>
      </c>
      <c r="D121" s="540" t="s">
        <v>56</v>
      </c>
      <c r="E121" s="540" t="s">
        <v>2962</v>
      </c>
      <c r="G121" s="1167"/>
      <c r="H121" s="1166"/>
      <c r="I121" s="1165"/>
    </row>
    <row r="122" spans="1:9" x14ac:dyDescent="0.2">
      <c r="A122" s="116">
        <f t="shared" si="3"/>
        <v>4</v>
      </c>
      <c r="B122" s="1169" t="str">
        <f>VLOOKUP(D122,'LA List'!$A$3:$B$500,2,0)</f>
        <v>E1131</v>
      </c>
      <c r="C122" s="1169" t="str">
        <f t="shared" si="2"/>
        <v>E1131EZ4</v>
      </c>
      <c r="D122" s="540" t="s">
        <v>56</v>
      </c>
      <c r="E122" s="540" t="s">
        <v>2963</v>
      </c>
      <c r="G122" s="1167"/>
      <c r="H122" s="1166"/>
      <c r="I122" s="1165"/>
    </row>
    <row r="123" spans="1:9" x14ac:dyDescent="0.2">
      <c r="A123" s="116">
        <f t="shared" si="3"/>
        <v>1</v>
      </c>
      <c r="B123" s="1169" t="str">
        <f>VLOOKUP(D123,'LA List'!$A$3:$B$500,2,0)</f>
        <v>E1233</v>
      </c>
      <c r="C123" s="1169" t="str">
        <f t="shared" si="2"/>
        <v>E1233EZ1</v>
      </c>
      <c r="D123" s="540" t="s">
        <v>58</v>
      </c>
      <c r="E123" s="540"/>
      <c r="G123" s="1167"/>
      <c r="H123" s="1166"/>
      <c r="I123" s="1165"/>
    </row>
    <row r="124" spans="1:9" x14ac:dyDescent="0.2">
      <c r="A124" s="116">
        <f t="shared" si="3"/>
        <v>1</v>
      </c>
      <c r="B124" s="1169" t="str">
        <f>VLOOKUP(D124,'LA List'!$A$3:$B$500,2,0)</f>
        <v>E1732</v>
      </c>
      <c r="C124" s="1169" t="str">
        <f t="shared" si="2"/>
        <v>E1732EZ1</v>
      </c>
      <c r="D124" s="540" t="s">
        <v>60</v>
      </c>
      <c r="E124" s="540" t="s">
        <v>2964</v>
      </c>
      <c r="G124" s="1167"/>
      <c r="H124" s="1166"/>
      <c r="I124" s="1165"/>
    </row>
    <row r="125" spans="1:9" x14ac:dyDescent="0.2">
      <c r="A125" s="116">
        <f t="shared" si="3"/>
        <v>1</v>
      </c>
      <c r="B125" s="1169" t="str">
        <f>VLOOKUP(D125,'LA List'!$A$3:$B$500,2,0)</f>
        <v>E1933</v>
      </c>
      <c r="C125" s="1169" t="str">
        <f t="shared" si="2"/>
        <v>E1933EZ1</v>
      </c>
      <c r="D125" s="540" t="s">
        <v>62</v>
      </c>
      <c r="E125" s="540"/>
      <c r="G125" s="1167"/>
      <c r="H125" s="1166"/>
      <c r="I125" s="1165"/>
    </row>
    <row r="126" spans="1:9" x14ac:dyDescent="0.2">
      <c r="A126" s="116">
        <f t="shared" si="3"/>
        <v>1</v>
      </c>
      <c r="B126" s="1169" t="str">
        <f>VLOOKUP(D126,'LA List'!$A$3:$B$500,2,0)</f>
        <v>E2532</v>
      </c>
      <c r="C126" s="1169" t="str">
        <f t="shared" si="2"/>
        <v>E2532EZ1</v>
      </c>
      <c r="D126" s="540" t="s">
        <v>64</v>
      </c>
      <c r="E126" s="540"/>
      <c r="G126" s="1167"/>
      <c r="H126" s="1166"/>
      <c r="I126" s="1165"/>
    </row>
    <row r="127" spans="1:9" x14ac:dyDescent="0.2">
      <c r="A127" s="116">
        <f t="shared" si="3"/>
        <v>1</v>
      </c>
      <c r="B127" s="1169" t="str">
        <f>VLOOKUP(D127,'LA List'!$A$3:$B$500,2,0)</f>
        <v>E2833</v>
      </c>
      <c r="C127" s="1169" t="str">
        <f t="shared" si="2"/>
        <v>E2833EZ1</v>
      </c>
      <c r="D127" s="540" t="s">
        <v>66</v>
      </c>
      <c r="E127" s="540"/>
      <c r="G127" s="1167"/>
      <c r="H127" s="1166"/>
      <c r="I127" s="1165"/>
    </row>
    <row r="128" spans="1:9" x14ac:dyDescent="0.2">
      <c r="A128" s="116">
        <f t="shared" si="3"/>
        <v>1</v>
      </c>
      <c r="B128" s="1169" t="str">
        <f>VLOOKUP(D128,'LA List'!$A$3:$B$500,2,0)</f>
        <v>E2001</v>
      </c>
      <c r="C128" s="1169" t="str">
        <f t="shared" si="2"/>
        <v>E2001EZ1</v>
      </c>
      <c r="D128" s="540" t="s">
        <v>68</v>
      </c>
      <c r="E128" s="540" t="s">
        <v>978</v>
      </c>
      <c r="G128" s="1167"/>
      <c r="H128" s="1166"/>
      <c r="I128" s="1165"/>
    </row>
    <row r="129" spans="1:9" x14ac:dyDescent="0.2">
      <c r="A129" s="116">
        <f t="shared" si="3"/>
        <v>2</v>
      </c>
      <c r="B129" s="1169" t="str">
        <f>VLOOKUP(D129,'LA List'!$A$3:$B$500,2,0)</f>
        <v>E2001</v>
      </c>
      <c r="C129" s="1169" t="str">
        <f t="shared" si="2"/>
        <v>E2001EZ2</v>
      </c>
      <c r="D129" s="540" t="s">
        <v>68</v>
      </c>
      <c r="E129" s="540" t="s">
        <v>979</v>
      </c>
      <c r="G129" s="1167"/>
      <c r="H129" s="1166"/>
      <c r="I129" s="1165"/>
    </row>
    <row r="130" spans="1:9" x14ac:dyDescent="0.2">
      <c r="A130" s="116">
        <f t="shared" si="3"/>
        <v>3</v>
      </c>
      <c r="B130" s="1169" t="str">
        <f>VLOOKUP(D130,'LA List'!$A$3:$B$500,2,0)</f>
        <v>E2001</v>
      </c>
      <c r="C130" s="1169" t="str">
        <f t="shared" si="2"/>
        <v>E2001EZ3</v>
      </c>
      <c r="D130" s="540" t="s">
        <v>68</v>
      </c>
      <c r="E130" s="540" t="s">
        <v>2965</v>
      </c>
      <c r="G130" s="1167"/>
      <c r="H130" s="1166"/>
      <c r="I130" s="1165"/>
    </row>
    <row r="131" spans="1:9" x14ac:dyDescent="0.2">
      <c r="A131" s="116">
        <f t="shared" si="3"/>
        <v>4</v>
      </c>
      <c r="B131" s="1169" t="str">
        <f>VLOOKUP(D131,'LA List'!$A$3:$B$500,2,0)</f>
        <v>E2001</v>
      </c>
      <c r="C131" s="1169" t="str">
        <f t="shared" si="2"/>
        <v>E2001EZ4</v>
      </c>
      <c r="D131" s="540" t="s">
        <v>68</v>
      </c>
      <c r="E131" s="540" t="s">
        <v>2966</v>
      </c>
      <c r="G131" s="1167"/>
      <c r="H131" s="1166"/>
      <c r="I131" s="1165"/>
    </row>
    <row r="132" spans="1:9" x14ac:dyDescent="0.2">
      <c r="A132" s="116">
        <f t="shared" si="3"/>
        <v>5</v>
      </c>
      <c r="B132" s="1169" t="str">
        <f>VLOOKUP(D132,'LA List'!$A$3:$B$500,2,0)</f>
        <v>E2001</v>
      </c>
      <c r="C132" s="1169" t="str">
        <f t="shared" ref="C132:C195" si="4">CONCATENATE(B132,"EZ",A132)</f>
        <v>E2001EZ5</v>
      </c>
      <c r="D132" s="540" t="s">
        <v>68</v>
      </c>
      <c r="E132" s="540" t="s">
        <v>2967</v>
      </c>
      <c r="G132" s="1167"/>
      <c r="H132" s="1166"/>
      <c r="I132" s="1165"/>
    </row>
    <row r="133" spans="1:9" x14ac:dyDescent="0.2">
      <c r="A133" s="116">
        <f t="shared" ref="A133:A196" si="5">IF(D133=D132,A132+1,1)</f>
        <v>6</v>
      </c>
      <c r="B133" s="1169" t="str">
        <f>VLOOKUP(D133,'LA List'!$A$3:$B$500,2,0)</f>
        <v>E2001</v>
      </c>
      <c r="C133" s="1169" t="str">
        <f t="shared" si="4"/>
        <v>E2001EZ6</v>
      </c>
      <c r="D133" s="540" t="s">
        <v>68</v>
      </c>
      <c r="E133" s="540" t="s">
        <v>2968</v>
      </c>
      <c r="G133" s="1167"/>
      <c r="H133" s="1166"/>
      <c r="I133" s="1165"/>
    </row>
    <row r="134" spans="1:9" x14ac:dyDescent="0.2">
      <c r="A134" s="116">
        <f t="shared" si="5"/>
        <v>7</v>
      </c>
      <c r="B134" s="1169" t="str">
        <f>VLOOKUP(D134,'LA List'!$A$3:$B$500,2,0)</f>
        <v>E2001</v>
      </c>
      <c r="C134" s="1169" t="str">
        <f t="shared" si="4"/>
        <v>E2001EZ7</v>
      </c>
      <c r="D134" s="540" t="s">
        <v>68</v>
      </c>
      <c r="E134" s="540" t="s">
        <v>2969</v>
      </c>
      <c r="G134" s="1167"/>
      <c r="H134" s="1166"/>
      <c r="I134" s="1165"/>
    </row>
    <row r="135" spans="1:9" x14ac:dyDescent="0.2">
      <c r="A135" s="116">
        <f t="shared" si="5"/>
        <v>1</v>
      </c>
      <c r="B135" s="1169" t="str">
        <f>VLOOKUP(D135,'LA List'!$A$3:$B$500,2,0)</f>
        <v>E3432</v>
      </c>
      <c r="C135" s="1169" t="str">
        <f t="shared" si="4"/>
        <v>E3432EZ1</v>
      </c>
      <c r="D135" s="540" t="s">
        <v>74</v>
      </c>
      <c r="E135" s="540"/>
      <c r="G135" s="1167"/>
      <c r="H135" s="1166"/>
      <c r="I135" s="1165"/>
    </row>
    <row r="136" spans="1:9" x14ac:dyDescent="0.2">
      <c r="A136" s="116">
        <f t="shared" si="5"/>
        <v>1</v>
      </c>
      <c r="B136" s="1169" t="str">
        <f>VLOOKUP(D136,'LA List'!$A$3:$B$500,2,0)</f>
        <v>E1432</v>
      </c>
      <c r="C136" s="1169" t="str">
        <f t="shared" si="4"/>
        <v>E1432EZ1</v>
      </c>
      <c r="D136" s="540" t="s">
        <v>76</v>
      </c>
      <c r="E136" s="540"/>
      <c r="G136" s="1167"/>
      <c r="H136" s="1166"/>
      <c r="I136" s="1165"/>
    </row>
    <row r="137" spans="1:9" x14ac:dyDescent="0.2">
      <c r="A137" s="116">
        <f t="shared" si="5"/>
        <v>1</v>
      </c>
      <c r="B137" s="1169" t="str">
        <f>VLOOKUP(D137,'LA List'!$A$3:$B$500,2,0)</f>
        <v>E1733</v>
      </c>
      <c r="C137" s="1169" t="str">
        <f t="shared" si="4"/>
        <v>E1733EZ1</v>
      </c>
      <c r="D137" s="540" t="s">
        <v>78</v>
      </c>
      <c r="E137" s="540"/>
      <c r="G137" s="1167"/>
      <c r="H137" s="1166"/>
      <c r="I137" s="1165"/>
    </row>
    <row r="138" spans="1:9" x14ac:dyDescent="0.2">
      <c r="A138" s="116">
        <f t="shared" si="5"/>
        <v>1</v>
      </c>
      <c r="B138" s="1169" t="str">
        <f>VLOOKUP(D138,'LA List'!$A$3:$B$500,2,0)</f>
        <v>E0935</v>
      </c>
      <c r="C138" s="1169" t="str">
        <f t="shared" si="4"/>
        <v>E0935EZ1</v>
      </c>
      <c r="D138" s="540" t="s">
        <v>80</v>
      </c>
      <c r="E138" s="540"/>
      <c r="G138" s="1167"/>
      <c r="H138" s="1166"/>
      <c r="I138" s="1165"/>
    </row>
    <row r="139" spans="1:9" x14ac:dyDescent="0.2">
      <c r="A139" s="116">
        <f t="shared" si="5"/>
        <v>1</v>
      </c>
      <c r="B139" s="1169" t="str">
        <f>VLOOKUP(D139,'LA List'!$A$3:$B$500,2,0)</f>
        <v>E3631</v>
      </c>
      <c r="C139" s="1169" t="str">
        <f t="shared" si="4"/>
        <v>E3631EZ1</v>
      </c>
      <c r="D139" s="540" t="s">
        <v>82</v>
      </c>
      <c r="E139" s="540"/>
      <c r="G139" s="1167"/>
      <c r="H139" s="1166"/>
      <c r="I139" s="1165"/>
    </row>
    <row r="140" spans="1:9" x14ac:dyDescent="0.2">
      <c r="A140" s="116">
        <f t="shared" si="5"/>
        <v>1</v>
      </c>
      <c r="B140" s="1169" t="str">
        <f>VLOOKUP(D140,'LA List'!$A$3:$B$500,2,0)</f>
        <v>E5037</v>
      </c>
      <c r="C140" s="1169" t="str">
        <f t="shared" si="4"/>
        <v>E5037EZ1</v>
      </c>
      <c r="D140" s="540" t="s">
        <v>84</v>
      </c>
      <c r="E140" s="540"/>
      <c r="G140" s="1167"/>
      <c r="H140" s="1166"/>
      <c r="I140" s="1165"/>
    </row>
    <row r="141" spans="1:9" x14ac:dyDescent="0.2">
      <c r="A141" s="116">
        <f t="shared" si="5"/>
        <v>1</v>
      </c>
      <c r="B141" s="1169" t="str">
        <f>VLOOKUP(D141,'LA List'!$A$3:$B$500,2,0)</f>
        <v>E1537</v>
      </c>
      <c r="C141" s="1169" t="str">
        <f t="shared" si="4"/>
        <v>E1537EZ1</v>
      </c>
      <c r="D141" s="540" t="s">
        <v>86</v>
      </c>
      <c r="E141" s="540"/>
      <c r="G141" s="1167"/>
      <c r="H141" s="1166"/>
      <c r="I141" s="1165"/>
    </row>
    <row r="142" spans="1:9" x14ac:dyDescent="0.2">
      <c r="A142" s="116">
        <f t="shared" si="5"/>
        <v>1</v>
      </c>
      <c r="B142" s="1169" t="str">
        <f>VLOOKUP(D142,'LA List'!$A$3:$B$500,2,0)</f>
        <v>E3632</v>
      </c>
      <c r="C142" s="1169" t="str">
        <f t="shared" si="4"/>
        <v>E3632EZ1</v>
      </c>
      <c r="D142" s="540" t="s">
        <v>88</v>
      </c>
      <c r="E142" s="540"/>
      <c r="G142" s="1167"/>
      <c r="H142" s="1166"/>
      <c r="I142" s="1165"/>
    </row>
    <row r="143" spans="1:9" x14ac:dyDescent="0.2">
      <c r="A143" s="116">
        <f t="shared" si="5"/>
        <v>1</v>
      </c>
      <c r="B143" s="1169" t="str">
        <f>VLOOKUP(D143,'LA List'!$A$3:$B$500,2,0)</f>
        <v>E1036</v>
      </c>
      <c r="C143" s="1169" t="str">
        <f t="shared" si="4"/>
        <v>E1036EZ1</v>
      </c>
      <c r="D143" s="540" t="s">
        <v>90</v>
      </c>
      <c r="E143" s="540"/>
      <c r="G143" s="1167"/>
      <c r="H143" s="1166"/>
      <c r="I143" s="1165"/>
    </row>
    <row r="144" spans="1:9" x14ac:dyDescent="0.2">
      <c r="A144" s="116">
        <f t="shared" si="5"/>
        <v>1</v>
      </c>
      <c r="B144" s="1169" t="str">
        <f>VLOOKUP(D144,'LA List'!$A$3:$B$500,2,0)</f>
        <v>E1132</v>
      </c>
      <c r="C144" s="1169" t="str">
        <f t="shared" si="4"/>
        <v>E1132EZ1</v>
      </c>
      <c r="D144" s="540" t="s">
        <v>92</v>
      </c>
      <c r="E144" s="540"/>
      <c r="G144" s="1167"/>
      <c r="H144" s="1166"/>
      <c r="I144" s="1165"/>
    </row>
    <row r="145" spans="1:9" x14ac:dyDescent="0.2">
      <c r="A145" s="116">
        <f t="shared" si="5"/>
        <v>1</v>
      </c>
      <c r="B145" s="1169" t="str">
        <f>VLOOKUP(D145,'LA List'!$A$3:$B$500,2,0)</f>
        <v>E1734</v>
      </c>
      <c r="C145" s="1169" t="str">
        <f t="shared" si="4"/>
        <v>E1734EZ1</v>
      </c>
      <c r="D145" s="540" t="s">
        <v>94</v>
      </c>
      <c r="E145" s="540" t="s">
        <v>980</v>
      </c>
      <c r="G145" s="1167"/>
      <c r="H145" s="1166"/>
      <c r="I145" s="1165"/>
    </row>
    <row r="146" spans="1:9" x14ac:dyDescent="0.2">
      <c r="A146" s="116">
        <f t="shared" si="5"/>
        <v>1</v>
      </c>
      <c r="B146" s="1169" t="str">
        <f>VLOOKUP(D146,'LA List'!$A$3:$B$500,2,0)</f>
        <v>E0533</v>
      </c>
      <c r="C146" s="1169" t="str">
        <f t="shared" si="4"/>
        <v>E0533EZ1</v>
      </c>
      <c r="D146" s="540" t="s">
        <v>96</v>
      </c>
      <c r="E146" s="540"/>
      <c r="G146" s="1167"/>
      <c r="H146" s="1166"/>
      <c r="I146" s="1165"/>
    </row>
    <row r="147" spans="1:9" x14ac:dyDescent="0.2">
      <c r="A147" s="116">
        <f t="shared" si="5"/>
        <v>1</v>
      </c>
      <c r="B147" s="1169" t="str">
        <f>VLOOKUP(D147,'LA List'!$A$3:$B$500,2,0)</f>
        <v>E3532</v>
      </c>
      <c r="C147" s="1169" t="str">
        <f t="shared" si="4"/>
        <v>E3532EZ1</v>
      </c>
      <c r="D147" s="540" t="s">
        <v>98</v>
      </c>
      <c r="E147" s="540"/>
      <c r="G147" s="1167"/>
      <c r="H147" s="1166"/>
      <c r="I147" s="1165"/>
    </row>
    <row r="148" spans="1:9" x14ac:dyDescent="0.2">
      <c r="A148" s="116">
        <f t="shared" si="5"/>
        <v>1</v>
      </c>
      <c r="B148" s="1169" t="str">
        <f>VLOOKUP(D148,'LA List'!$A$3:$B$500,2,0)</f>
        <v>E1633</v>
      </c>
      <c r="C148" s="1169" t="str">
        <f t="shared" si="4"/>
        <v>E1633EZ1</v>
      </c>
      <c r="D148" s="540" t="s">
        <v>100</v>
      </c>
      <c r="E148" s="540"/>
      <c r="G148" s="1167"/>
      <c r="H148" s="1166"/>
      <c r="I148" s="1165"/>
    </row>
    <row r="149" spans="1:9" x14ac:dyDescent="0.2">
      <c r="A149" s="116">
        <f t="shared" si="5"/>
        <v>1</v>
      </c>
      <c r="B149" s="1169" t="str">
        <f>VLOOKUP(D149,'LA List'!$A$3:$B$500,2,0)</f>
        <v>E2335</v>
      </c>
      <c r="C149" s="1169" t="str">
        <f t="shared" si="4"/>
        <v>E2335EZ1</v>
      </c>
      <c r="D149" s="540" t="s">
        <v>102</v>
      </c>
      <c r="E149" s="540" t="s">
        <v>981</v>
      </c>
      <c r="G149" s="1167"/>
      <c r="H149" s="1166"/>
      <c r="I149" s="1165"/>
    </row>
    <row r="150" spans="1:9" x14ac:dyDescent="0.2">
      <c r="A150" s="116">
        <f t="shared" si="5"/>
        <v>2</v>
      </c>
      <c r="B150" s="1169" t="str">
        <f>VLOOKUP(D150,'LA List'!$A$3:$B$500,2,0)</f>
        <v>E2335</v>
      </c>
      <c r="C150" s="1169" t="str">
        <f t="shared" si="4"/>
        <v>E2335EZ2</v>
      </c>
      <c r="D150" s="540" t="s">
        <v>102</v>
      </c>
      <c r="E150" s="540" t="s">
        <v>2922</v>
      </c>
      <c r="G150" s="1167"/>
      <c r="H150" s="1166"/>
      <c r="I150" s="1165"/>
    </row>
    <row r="151" spans="1:9" x14ac:dyDescent="0.2">
      <c r="A151" s="116">
        <f t="shared" si="5"/>
        <v>1</v>
      </c>
      <c r="B151" s="1169" t="str">
        <f>VLOOKUP(D151,'LA List'!$A$3:$B$500,2,0)</f>
        <v>E4501</v>
      </c>
      <c r="C151" s="1169" t="str">
        <f t="shared" si="4"/>
        <v>E4501EZ1</v>
      </c>
      <c r="D151" s="540" t="s">
        <v>104</v>
      </c>
      <c r="E151" s="540" t="s">
        <v>982</v>
      </c>
      <c r="G151" s="1167"/>
      <c r="H151" s="1166"/>
      <c r="I151" s="1165"/>
    </row>
    <row r="152" spans="1:9" x14ac:dyDescent="0.2">
      <c r="A152" s="116">
        <f t="shared" si="5"/>
        <v>2</v>
      </c>
      <c r="B152" s="1169" t="str">
        <f>VLOOKUP(D152,'LA List'!$A$3:$B$500,2,0)</f>
        <v>E4501</v>
      </c>
      <c r="C152" s="1169" t="str">
        <f t="shared" si="4"/>
        <v>E4501EZ2</v>
      </c>
      <c r="D152" s="540" t="s">
        <v>104</v>
      </c>
      <c r="E152" s="540" t="s">
        <v>2970</v>
      </c>
      <c r="G152" s="1167"/>
      <c r="H152" s="1166"/>
      <c r="I152" s="1165"/>
    </row>
    <row r="153" spans="1:9" x14ac:dyDescent="0.2">
      <c r="A153" s="116">
        <f t="shared" si="5"/>
        <v>1</v>
      </c>
      <c r="B153" s="1169" t="str">
        <f>VLOOKUP(D153,'LA List'!$A$3:$B$500,2,0)</f>
        <v>E3034</v>
      </c>
      <c r="C153" s="1169" t="str">
        <f t="shared" si="4"/>
        <v>E3034EZ1</v>
      </c>
      <c r="D153" s="540" t="s">
        <v>106</v>
      </c>
      <c r="E153" s="540"/>
      <c r="G153" s="1167"/>
      <c r="H153" s="1166"/>
      <c r="I153" s="1165"/>
    </row>
    <row r="154" spans="1:9" x14ac:dyDescent="0.2">
      <c r="A154" s="116">
        <f t="shared" si="5"/>
        <v>1</v>
      </c>
      <c r="B154" s="1169" t="str">
        <f>VLOOKUP(D154,'LA List'!$A$3:$B$500,2,0)</f>
        <v>E1634</v>
      </c>
      <c r="C154" s="1169" t="str">
        <f t="shared" si="4"/>
        <v>E1634EZ1</v>
      </c>
      <c r="D154" s="540" t="s">
        <v>108</v>
      </c>
      <c r="E154" s="540"/>
      <c r="G154" s="1167"/>
      <c r="H154" s="1166"/>
      <c r="I154" s="1165"/>
    </row>
    <row r="155" spans="1:9" x14ac:dyDescent="0.2">
      <c r="A155" s="116">
        <f t="shared" si="5"/>
        <v>1</v>
      </c>
      <c r="B155" s="1169" t="str">
        <f>VLOOKUP(D155,'LA List'!$A$3:$B$500,2,0)</f>
        <v>E1735</v>
      </c>
      <c r="C155" s="1169" t="str">
        <f t="shared" si="4"/>
        <v>E1735EZ1</v>
      </c>
      <c r="D155" s="540" t="s">
        <v>110</v>
      </c>
      <c r="E155" s="540" t="s">
        <v>980</v>
      </c>
      <c r="G155" s="1167"/>
      <c r="H155" s="1166"/>
      <c r="I155" s="1165"/>
    </row>
    <row r="156" spans="1:9" x14ac:dyDescent="0.2">
      <c r="A156" s="116">
        <f t="shared" si="5"/>
        <v>1</v>
      </c>
      <c r="B156" s="1169" t="str">
        <f>VLOOKUP(D156,'LA List'!$A$3:$B$500,2,0)</f>
        <v>E2236</v>
      </c>
      <c r="C156" s="1169" t="str">
        <f t="shared" si="4"/>
        <v>E2236EZ1</v>
      </c>
      <c r="D156" s="540" t="s">
        <v>112</v>
      </c>
      <c r="E156" s="540" t="s">
        <v>2971</v>
      </c>
      <c r="G156" s="1167"/>
      <c r="H156" s="1166"/>
      <c r="I156" s="1165"/>
    </row>
    <row r="157" spans="1:9" x14ac:dyDescent="0.2">
      <c r="A157" s="116">
        <f t="shared" si="5"/>
        <v>2</v>
      </c>
      <c r="B157" s="1169" t="str">
        <f>VLOOKUP(D157,'LA List'!$A$3:$B$500,2,0)</f>
        <v>E2236</v>
      </c>
      <c r="C157" s="1169" t="str">
        <f t="shared" si="4"/>
        <v>E2236EZ2</v>
      </c>
      <c r="D157" s="540" t="s">
        <v>112</v>
      </c>
      <c r="E157" s="540" t="s">
        <v>2972</v>
      </c>
      <c r="G157" s="1167"/>
      <c r="H157" s="1166"/>
      <c r="I157" s="1165"/>
    </row>
    <row r="158" spans="1:9" x14ac:dyDescent="0.2">
      <c r="A158" s="116">
        <f t="shared" si="5"/>
        <v>3</v>
      </c>
      <c r="B158" s="1169" t="str">
        <f>VLOOKUP(D158,'LA List'!$A$3:$B$500,2,0)</f>
        <v>E2236</v>
      </c>
      <c r="C158" s="1169" t="str">
        <f t="shared" si="4"/>
        <v>E2236EZ3</v>
      </c>
      <c r="D158" s="540" t="s">
        <v>112</v>
      </c>
      <c r="E158" s="540" t="s">
        <v>2951</v>
      </c>
      <c r="G158" s="1167"/>
      <c r="H158" s="1166"/>
      <c r="I158" s="1165"/>
    </row>
    <row r="159" spans="1:9" x14ac:dyDescent="0.2">
      <c r="A159" s="116">
        <f t="shared" si="5"/>
        <v>1</v>
      </c>
      <c r="B159" s="1169" t="str">
        <f>VLOOKUP(D159,'LA List'!$A$3:$B$500,2,0)</f>
        <v>E2633</v>
      </c>
      <c r="C159" s="1169" t="str">
        <f t="shared" si="4"/>
        <v>E2633EZ1</v>
      </c>
      <c r="D159" s="540" t="s">
        <v>114</v>
      </c>
      <c r="E159" s="540" t="s">
        <v>983</v>
      </c>
      <c r="G159" s="1167"/>
      <c r="H159" s="1166"/>
      <c r="I159" s="1165"/>
    </row>
    <row r="160" spans="1:9" x14ac:dyDescent="0.2">
      <c r="A160" s="116">
        <f t="shared" si="5"/>
        <v>2</v>
      </c>
      <c r="B160" s="1169" t="str">
        <f>VLOOKUP(D160,'LA List'!$A$3:$B$500,2,0)</f>
        <v>E2633</v>
      </c>
      <c r="C160" s="1169" t="str">
        <f t="shared" si="4"/>
        <v>E2633EZ2</v>
      </c>
      <c r="D160" s="540" t="s">
        <v>114</v>
      </c>
      <c r="E160" s="540" t="s">
        <v>2973</v>
      </c>
      <c r="G160" s="1167"/>
      <c r="H160" s="1166"/>
      <c r="I160" s="1165"/>
    </row>
    <row r="161" spans="1:9" x14ac:dyDescent="0.2">
      <c r="A161" s="116">
        <f t="shared" si="5"/>
        <v>3</v>
      </c>
      <c r="B161" s="1169" t="str">
        <f>VLOOKUP(D161,'LA List'!$A$3:$B$500,2,0)</f>
        <v>E2633</v>
      </c>
      <c r="C161" s="1169" t="str">
        <f t="shared" si="4"/>
        <v>E2633EZ3</v>
      </c>
      <c r="D161" s="540" t="s">
        <v>114</v>
      </c>
      <c r="E161" s="540" t="s">
        <v>2974</v>
      </c>
      <c r="G161" s="1167"/>
      <c r="H161" s="1166"/>
      <c r="I161" s="1165"/>
    </row>
    <row r="162" spans="1:9" x14ac:dyDescent="0.2">
      <c r="A162" s="116">
        <f t="shared" si="5"/>
        <v>4</v>
      </c>
      <c r="B162" s="1169" t="str">
        <f>VLOOKUP(D162,'LA List'!$A$3:$B$500,2,0)</f>
        <v>E2633</v>
      </c>
      <c r="C162" s="1169" t="str">
        <f t="shared" si="4"/>
        <v>E2633EZ4</v>
      </c>
      <c r="D162" s="540" t="s">
        <v>114</v>
      </c>
      <c r="E162" s="540" t="s">
        <v>2975</v>
      </c>
      <c r="G162" s="1167"/>
      <c r="H162" s="1166"/>
      <c r="I162" s="1165"/>
    </row>
    <row r="163" spans="1:9" x14ac:dyDescent="0.2">
      <c r="A163" s="116">
        <f t="shared" si="5"/>
        <v>5</v>
      </c>
      <c r="B163" s="1169" t="str">
        <f>VLOOKUP(D163,'LA List'!$A$3:$B$500,2,0)</f>
        <v>E2633</v>
      </c>
      <c r="C163" s="1169" t="str">
        <f t="shared" si="4"/>
        <v>E2633EZ5</v>
      </c>
      <c r="D163" s="540" t="s">
        <v>114</v>
      </c>
      <c r="E163" s="540" t="s">
        <v>2976</v>
      </c>
      <c r="G163" s="1167"/>
      <c r="H163" s="1166"/>
      <c r="I163" s="1165"/>
    </row>
    <row r="164" spans="1:9" x14ac:dyDescent="0.2">
      <c r="A164" s="116">
        <f t="shared" si="5"/>
        <v>1</v>
      </c>
      <c r="B164" s="1169" t="str">
        <f>VLOOKUP(D164,'LA List'!$A$3:$B$500,2,0)</f>
        <v>E5012</v>
      </c>
      <c r="C164" s="1169" t="str">
        <f t="shared" si="4"/>
        <v>E5012EZ1</v>
      </c>
      <c r="D164" s="540" t="s">
        <v>116</v>
      </c>
      <c r="E164" s="540"/>
      <c r="G164" s="1167"/>
      <c r="H164" s="1166"/>
      <c r="I164" s="1165"/>
    </row>
    <row r="165" spans="1:9" x14ac:dyDescent="0.2">
      <c r="A165" s="116">
        <f t="shared" si="5"/>
        <v>1</v>
      </c>
      <c r="B165" s="1169" t="str">
        <f>VLOOKUP(D165,'LA List'!$A$3:$B$500,2,0)</f>
        <v>E3633</v>
      </c>
      <c r="C165" s="1169" t="str">
        <f t="shared" si="4"/>
        <v>E3633EZ1</v>
      </c>
      <c r="D165" s="540" t="s">
        <v>118</v>
      </c>
      <c r="E165" s="540"/>
      <c r="G165" s="1167"/>
      <c r="H165" s="1166"/>
      <c r="I165" s="1165"/>
    </row>
    <row r="166" spans="1:9" x14ac:dyDescent="0.2">
      <c r="A166" s="116">
        <f t="shared" si="5"/>
        <v>1</v>
      </c>
      <c r="B166" s="1169" t="str">
        <f>VLOOKUP(D166,'LA List'!$A$3:$B$500,2,0)</f>
        <v>E5013</v>
      </c>
      <c r="C166" s="1169" t="str">
        <f t="shared" si="4"/>
        <v>E5013EZ1</v>
      </c>
      <c r="D166" s="540" t="s">
        <v>120</v>
      </c>
      <c r="E166" s="540"/>
      <c r="G166" s="1167"/>
      <c r="H166" s="1166"/>
      <c r="I166" s="1165"/>
    </row>
    <row r="167" spans="1:9" x14ac:dyDescent="0.2">
      <c r="A167" s="116">
        <f t="shared" si="5"/>
        <v>1</v>
      </c>
      <c r="B167" s="1169" t="str">
        <f>VLOOKUP(D167,'LA List'!$A$3:$B$500,2,0)</f>
        <v>E0601</v>
      </c>
      <c r="C167" s="1169" t="str">
        <f t="shared" si="4"/>
        <v>E0601EZ1</v>
      </c>
      <c r="D167" s="540" t="s">
        <v>122</v>
      </c>
      <c r="E167" s="540" t="s">
        <v>984</v>
      </c>
      <c r="G167" s="1167"/>
      <c r="H167" s="1166"/>
      <c r="I167" s="1165"/>
    </row>
    <row r="168" spans="1:9" x14ac:dyDescent="0.2">
      <c r="A168" s="116">
        <f t="shared" si="5"/>
        <v>1</v>
      </c>
      <c r="B168" s="1169" t="str">
        <f>VLOOKUP(D168,'LA List'!$A$3:$B$500,2,0)</f>
        <v>E5014</v>
      </c>
      <c r="C168" s="1169" t="str">
        <f t="shared" si="4"/>
        <v>E5014EZ1</v>
      </c>
      <c r="D168" s="540" t="s">
        <v>126</v>
      </c>
      <c r="E168" s="540"/>
      <c r="G168" s="1167"/>
      <c r="H168" s="1166"/>
      <c r="I168" s="1165"/>
    </row>
    <row r="169" spans="1:9" x14ac:dyDescent="0.2">
      <c r="A169" s="116">
        <f t="shared" si="5"/>
        <v>1</v>
      </c>
      <c r="B169" s="1169" t="str">
        <f>VLOOKUP(D169,'LA List'!$A$3:$B$500,2,0)</f>
        <v>E2433</v>
      </c>
      <c r="C169" s="1169" t="str">
        <f t="shared" si="4"/>
        <v>E2433EZ1</v>
      </c>
      <c r="D169" s="540" t="s">
        <v>128</v>
      </c>
      <c r="E169" s="540"/>
      <c r="G169" s="1167"/>
      <c r="H169" s="1166"/>
      <c r="I169" s="1165"/>
    </row>
    <row r="170" spans="1:9" x14ac:dyDescent="0.2">
      <c r="A170" s="116">
        <f t="shared" si="5"/>
        <v>1</v>
      </c>
      <c r="B170" s="1169" t="str">
        <f>VLOOKUP(D170,'LA List'!$A$3:$B$500,2,0)</f>
        <v>E5038</v>
      </c>
      <c r="C170" s="1169" t="str">
        <f t="shared" si="4"/>
        <v>E5038EZ1</v>
      </c>
      <c r="D170" s="540" t="s">
        <v>130</v>
      </c>
      <c r="E170" s="540"/>
      <c r="G170" s="1167"/>
      <c r="H170" s="1166"/>
      <c r="I170" s="1165"/>
    </row>
    <row r="171" spans="1:9" x14ac:dyDescent="0.2">
      <c r="A171" s="116">
        <f t="shared" si="5"/>
        <v>1</v>
      </c>
      <c r="B171" s="1169" t="str">
        <f>VLOOKUP(D171,'LA List'!$A$3:$B$500,2,0)</f>
        <v>E1538</v>
      </c>
      <c r="C171" s="1169" t="str">
        <f t="shared" si="4"/>
        <v>E1538EZ1</v>
      </c>
      <c r="D171" s="540" t="s">
        <v>132</v>
      </c>
      <c r="E171" s="540" t="s">
        <v>132</v>
      </c>
      <c r="G171" s="1167"/>
      <c r="H171" s="1166"/>
      <c r="I171" s="1165"/>
    </row>
    <row r="172" spans="1:9" x14ac:dyDescent="0.2">
      <c r="A172" s="116">
        <f t="shared" si="5"/>
        <v>1</v>
      </c>
      <c r="B172" s="1169" t="str">
        <f>VLOOKUP(D172,'LA List'!$A$3:$B$500,2,0)</f>
        <v>E2753</v>
      </c>
      <c r="C172" s="1169" t="str">
        <f t="shared" si="4"/>
        <v>E2753EZ1</v>
      </c>
      <c r="D172" s="540" t="s">
        <v>134</v>
      </c>
      <c r="E172" s="540"/>
      <c r="G172" s="1167"/>
      <c r="H172" s="1166"/>
      <c r="I172" s="1165"/>
    </row>
    <row r="173" spans="1:9" x14ac:dyDescent="0.2">
      <c r="A173" s="116">
        <f t="shared" si="5"/>
        <v>1</v>
      </c>
      <c r="B173" s="1169" t="str">
        <f>VLOOKUP(D173,'LA List'!$A$3:$B$500,2,0)</f>
        <v>E5039</v>
      </c>
      <c r="C173" s="1169" t="str">
        <f t="shared" si="4"/>
        <v>E5039EZ1</v>
      </c>
      <c r="D173" s="540" t="s">
        <v>136</v>
      </c>
      <c r="E173" s="540"/>
      <c r="G173" s="1167"/>
      <c r="H173" s="1166"/>
      <c r="I173" s="1165"/>
    </row>
    <row r="174" spans="1:9" x14ac:dyDescent="0.2">
      <c r="A174" s="116">
        <f t="shared" si="5"/>
        <v>1</v>
      </c>
      <c r="B174" s="1169" t="str">
        <f>VLOOKUP(D174,'LA List'!$A$3:$B$500,2,0)</f>
        <v>E1736</v>
      </c>
      <c r="C174" s="1169" t="str">
        <f t="shared" si="4"/>
        <v>E1736EZ1</v>
      </c>
      <c r="D174" s="540" t="s">
        <v>138</v>
      </c>
      <c r="E174" s="540"/>
      <c r="G174" s="1167"/>
      <c r="H174" s="1166"/>
      <c r="I174" s="1165"/>
    </row>
    <row r="175" spans="1:9" x14ac:dyDescent="0.2">
      <c r="A175" s="116">
        <f t="shared" si="5"/>
        <v>1</v>
      </c>
      <c r="B175" s="1169" t="str">
        <f>VLOOKUP(D175,'LA List'!$A$3:$B$500,2,0)</f>
        <v>E0701</v>
      </c>
      <c r="C175" s="1169" t="str">
        <f t="shared" si="4"/>
        <v>E0701EZ1</v>
      </c>
      <c r="D175" s="540" t="s">
        <v>140</v>
      </c>
      <c r="E175" s="540" t="s">
        <v>985</v>
      </c>
      <c r="G175" s="1167"/>
      <c r="H175" s="1166"/>
      <c r="I175" s="1165"/>
    </row>
    <row r="176" spans="1:9" x14ac:dyDescent="0.2">
      <c r="A176" s="116">
        <f t="shared" si="5"/>
        <v>1</v>
      </c>
      <c r="B176" s="1169" t="str">
        <f>VLOOKUP(D176,'LA List'!$A$3:$B$500,2,0)</f>
        <v>E1433</v>
      </c>
      <c r="C176" s="1169" t="str">
        <f t="shared" si="4"/>
        <v>E1433EZ1</v>
      </c>
      <c r="D176" s="540" t="s">
        <v>142</v>
      </c>
      <c r="E176" s="540"/>
      <c r="G176" s="1167"/>
      <c r="H176" s="1166"/>
      <c r="I176" s="1165"/>
    </row>
    <row r="177" spans="1:9" x14ac:dyDescent="0.2">
      <c r="A177" s="116">
        <f t="shared" si="5"/>
        <v>1</v>
      </c>
      <c r="B177" s="1169" t="str">
        <f>VLOOKUP(D177,'LA List'!$A$3:$B$500,2,0)</f>
        <v>E1737</v>
      </c>
      <c r="C177" s="1169" t="str">
        <f t="shared" si="4"/>
        <v>E1737EZ1</v>
      </c>
      <c r="D177" s="540" t="s">
        <v>144</v>
      </c>
      <c r="E177" s="540"/>
      <c r="G177" s="1167"/>
      <c r="H177" s="1166"/>
      <c r="I177" s="1165"/>
    </row>
    <row r="178" spans="1:9" x14ac:dyDescent="0.2">
      <c r="A178" s="116">
        <f t="shared" si="5"/>
        <v>1</v>
      </c>
      <c r="B178" s="1169" t="str">
        <f>VLOOKUP(D178,'LA List'!$A$3:$B$500,2,0)</f>
        <v>E5040</v>
      </c>
      <c r="C178" s="1169" t="str">
        <f t="shared" si="4"/>
        <v>E5040EZ1</v>
      </c>
      <c r="D178" s="540" t="s">
        <v>146</v>
      </c>
      <c r="E178" s="540"/>
      <c r="G178" s="1167"/>
      <c r="H178" s="1166"/>
      <c r="I178" s="1165"/>
    </row>
    <row r="179" spans="1:9" x14ac:dyDescent="0.2">
      <c r="A179" s="116">
        <f t="shared" si="5"/>
        <v>1</v>
      </c>
      <c r="B179" s="1169" t="str">
        <f>VLOOKUP(D179,'LA List'!$A$3:$B$500,2,0)</f>
        <v>E1801</v>
      </c>
      <c r="C179" s="1169" t="str">
        <f t="shared" si="4"/>
        <v>E1801EZ1</v>
      </c>
      <c r="D179" s="540" t="s">
        <v>148</v>
      </c>
      <c r="E179" s="540" t="s">
        <v>986</v>
      </c>
      <c r="G179" s="1167"/>
      <c r="H179" s="1166"/>
      <c r="I179" s="1165"/>
    </row>
    <row r="180" spans="1:9" x14ac:dyDescent="0.2">
      <c r="A180" s="116">
        <f t="shared" si="5"/>
        <v>1</v>
      </c>
      <c r="B180" s="1169" t="str">
        <f>VLOOKUP(D180,'LA List'!$A$3:$B$500,2,0)</f>
        <v>E1934</v>
      </c>
      <c r="C180" s="1169" t="str">
        <f t="shared" si="4"/>
        <v>E1934EZ1</v>
      </c>
      <c r="D180" s="540" t="s">
        <v>150</v>
      </c>
      <c r="E180" s="540"/>
      <c r="G180" s="1167"/>
      <c r="H180" s="1166"/>
      <c r="I180" s="1165"/>
    </row>
    <row r="181" spans="1:9" x14ac:dyDescent="0.2">
      <c r="A181" s="116">
        <f t="shared" si="5"/>
        <v>1</v>
      </c>
      <c r="B181" s="1169" t="str">
        <f>VLOOKUP(D181,'LA List'!$A$3:$B$500,2,0)</f>
        <v>E1037</v>
      </c>
      <c r="C181" s="1169" t="str">
        <f t="shared" si="4"/>
        <v>E1037EZ1</v>
      </c>
      <c r="D181" s="540" t="s">
        <v>152</v>
      </c>
      <c r="E181" s="540"/>
      <c r="G181" s="1167"/>
      <c r="H181" s="1166"/>
      <c r="I181" s="1165"/>
    </row>
    <row r="182" spans="1:9" x14ac:dyDescent="0.2">
      <c r="A182" s="116">
        <f t="shared" si="5"/>
        <v>1</v>
      </c>
      <c r="B182" s="1169" t="str">
        <f>VLOOKUP(D182,'LA List'!$A$3:$B$500,2,0)</f>
        <v>E5041</v>
      </c>
      <c r="C182" s="1169" t="str">
        <f t="shared" si="4"/>
        <v>E5041EZ1</v>
      </c>
      <c r="D182" s="540" t="s">
        <v>154</v>
      </c>
      <c r="E182" s="540"/>
      <c r="G182" s="1167"/>
      <c r="H182" s="1166"/>
      <c r="I182" s="1165"/>
    </row>
    <row r="183" spans="1:9" x14ac:dyDescent="0.2">
      <c r="A183" s="116">
        <f t="shared" si="5"/>
        <v>1</v>
      </c>
      <c r="B183" s="1169" t="str">
        <f>VLOOKUP(D183,'LA List'!$A$3:$B$500,2,0)</f>
        <v>E2434</v>
      </c>
      <c r="C183" s="1169" t="str">
        <f t="shared" si="4"/>
        <v>E2434EZ1</v>
      </c>
      <c r="D183" s="540" t="s">
        <v>156</v>
      </c>
      <c r="E183" s="540" t="s">
        <v>987</v>
      </c>
      <c r="G183" s="1167"/>
      <c r="H183" s="1166"/>
      <c r="I183" s="1165"/>
    </row>
    <row r="184" spans="1:9" x14ac:dyDescent="0.2">
      <c r="A184" s="116">
        <f t="shared" si="5"/>
        <v>2</v>
      </c>
      <c r="B184" s="1169" t="str">
        <f>VLOOKUP(D184,'LA List'!$A$3:$B$500,2,0)</f>
        <v>E2434</v>
      </c>
      <c r="C184" s="1169" t="str">
        <f t="shared" si="4"/>
        <v>E2434EZ2</v>
      </c>
      <c r="D184" s="540" t="s">
        <v>156</v>
      </c>
      <c r="E184" s="540" t="s">
        <v>1204</v>
      </c>
      <c r="G184" s="1167"/>
      <c r="H184" s="1166"/>
      <c r="I184" s="1165"/>
    </row>
    <row r="185" spans="1:9" x14ac:dyDescent="0.2">
      <c r="A185" s="116">
        <f t="shared" si="5"/>
        <v>1</v>
      </c>
      <c r="B185" s="1169" t="str">
        <f>VLOOKUP(D185,'LA List'!$A$3:$B$500,2,0)</f>
        <v>E3835</v>
      </c>
      <c r="C185" s="1169" t="str">
        <f t="shared" si="4"/>
        <v>E3835EZ1</v>
      </c>
      <c r="D185" s="540" t="s">
        <v>158</v>
      </c>
      <c r="E185" s="540"/>
      <c r="G185" s="1167"/>
      <c r="H185" s="1166"/>
      <c r="I185" s="1165"/>
    </row>
    <row r="186" spans="1:9" x14ac:dyDescent="0.2">
      <c r="A186" s="116">
        <f t="shared" si="5"/>
        <v>1</v>
      </c>
      <c r="B186" s="1169" t="str">
        <f>VLOOKUP(D186,'LA List'!$A$3:$B$500,2,0)</f>
        <v>E5042</v>
      </c>
      <c r="C186" s="1169" t="str">
        <f t="shared" si="4"/>
        <v>E5042EZ1</v>
      </c>
      <c r="D186" s="540" t="s">
        <v>160</v>
      </c>
      <c r="E186" s="540"/>
      <c r="G186" s="1167"/>
      <c r="H186" s="1166"/>
      <c r="I186" s="1165"/>
    </row>
    <row r="187" spans="1:9" x14ac:dyDescent="0.2">
      <c r="A187" s="116">
        <f t="shared" si="5"/>
        <v>1</v>
      </c>
      <c r="B187" s="1169" t="str">
        <f>VLOOKUP(D187,'LA List'!$A$3:$B$500,2,0)</f>
        <v>E0551</v>
      </c>
      <c r="C187" s="1169" t="str">
        <f t="shared" si="4"/>
        <v>E0551EZ1</v>
      </c>
      <c r="D187" s="540" t="s">
        <v>162</v>
      </c>
      <c r="E187" s="540" t="s">
        <v>988</v>
      </c>
      <c r="G187" s="1167"/>
      <c r="H187" s="1166"/>
      <c r="I187" s="1165"/>
    </row>
    <row r="188" spans="1:9" x14ac:dyDescent="0.2">
      <c r="A188" s="116">
        <f t="shared" si="5"/>
        <v>1</v>
      </c>
      <c r="B188" s="1169" t="str">
        <f>VLOOKUP(D188,'LA List'!$A$3:$B$500,2,0)</f>
        <v>E2336</v>
      </c>
      <c r="C188" s="1169" t="str">
        <f t="shared" si="4"/>
        <v>E2336EZ1</v>
      </c>
      <c r="D188" s="540" t="s">
        <v>164</v>
      </c>
      <c r="E188" s="540"/>
      <c r="G188" s="1167"/>
      <c r="H188" s="1166"/>
      <c r="I188" s="1165"/>
    </row>
    <row r="189" spans="1:9" x14ac:dyDescent="0.2">
      <c r="A189" s="116">
        <f t="shared" si="5"/>
        <v>1</v>
      </c>
      <c r="B189" s="1169" t="str">
        <f>VLOOKUP(D189,'LA List'!$A$3:$B$500,2,0)</f>
        <v>E3533</v>
      </c>
      <c r="C189" s="1169" t="str">
        <f t="shared" si="4"/>
        <v>E3533EZ1</v>
      </c>
      <c r="D189" s="540" t="s">
        <v>166</v>
      </c>
      <c r="E189" s="540" t="s">
        <v>2977</v>
      </c>
      <c r="G189" s="1167"/>
      <c r="H189" s="1166"/>
      <c r="I189" s="1165"/>
    </row>
    <row r="190" spans="1:9" x14ac:dyDescent="0.2">
      <c r="A190" s="116">
        <f t="shared" si="5"/>
        <v>2</v>
      </c>
      <c r="B190" s="1169" t="str">
        <f>VLOOKUP(D190,'LA List'!$A$3:$B$500,2,0)</f>
        <v>E3533</v>
      </c>
      <c r="C190" s="1169" t="str">
        <f t="shared" si="4"/>
        <v>E3533EZ2</v>
      </c>
      <c r="D190" s="540" t="s">
        <v>166</v>
      </c>
      <c r="E190" s="540" t="s">
        <v>2978</v>
      </c>
      <c r="G190" s="1167"/>
      <c r="H190" s="1166"/>
      <c r="I190" s="1165"/>
    </row>
    <row r="191" spans="1:9" x14ac:dyDescent="0.2">
      <c r="A191" s="116">
        <f t="shared" si="5"/>
        <v>3</v>
      </c>
      <c r="B191" s="1169" t="str">
        <f>VLOOKUP(D191,'LA List'!$A$3:$B$500,2,0)</f>
        <v>E3533</v>
      </c>
      <c r="C191" s="1169" t="str">
        <f t="shared" si="4"/>
        <v>E3533EZ3</v>
      </c>
      <c r="D191" s="540" t="s">
        <v>166</v>
      </c>
      <c r="E191" s="540" t="s">
        <v>2979</v>
      </c>
      <c r="G191" s="1167"/>
      <c r="H191" s="1166"/>
      <c r="I191" s="1165"/>
    </row>
    <row r="192" spans="1:9" x14ac:dyDescent="0.2">
      <c r="A192" s="116">
        <f t="shared" si="5"/>
        <v>1</v>
      </c>
      <c r="B192" s="1169" t="str">
        <f>VLOOKUP(D192,'LA List'!$A$3:$B$500,2,0)</f>
        <v>E2101</v>
      </c>
      <c r="C192" s="1169" t="str">
        <f t="shared" si="4"/>
        <v>E2101EZ1</v>
      </c>
      <c r="D192" s="540" t="s">
        <v>168</v>
      </c>
      <c r="E192" s="540"/>
      <c r="G192" s="1167"/>
      <c r="H192" s="1166"/>
      <c r="I192" s="1165"/>
    </row>
    <row r="193" spans="1:9" x14ac:dyDescent="0.2">
      <c r="A193" s="116">
        <f t="shared" si="5"/>
        <v>1</v>
      </c>
      <c r="B193" s="1169" t="str">
        <f>VLOOKUP(D193,'LA List'!$A$3:$B$500,2,0)</f>
        <v>E4001</v>
      </c>
      <c r="C193" s="1169" t="str">
        <f t="shared" si="4"/>
        <v>E4001EZ1</v>
      </c>
      <c r="D193" s="540" t="s">
        <v>170</v>
      </c>
      <c r="E193" s="540"/>
      <c r="G193" s="1167"/>
      <c r="H193" s="1166"/>
      <c r="I193" s="1165"/>
    </row>
    <row r="194" spans="1:9" x14ac:dyDescent="0.2">
      <c r="A194" s="116">
        <f t="shared" si="5"/>
        <v>1</v>
      </c>
      <c r="B194" s="1169" t="str">
        <f>VLOOKUP(D194,'LA List'!$A$3:$B$500,2,0)</f>
        <v>E5015</v>
      </c>
      <c r="C194" s="1169" t="str">
        <f t="shared" si="4"/>
        <v>E5015EZ1</v>
      </c>
      <c r="D194" s="540" t="s">
        <v>172</v>
      </c>
      <c r="E194" s="540"/>
      <c r="G194" s="1167"/>
      <c r="H194" s="1166"/>
      <c r="I194" s="1165"/>
    </row>
    <row r="195" spans="1:9" x14ac:dyDescent="0.2">
      <c r="A195" s="116">
        <f t="shared" si="5"/>
        <v>1</v>
      </c>
      <c r="B195" s="1169" t="str">
        <f>VLOOKUP(D195,'LA List'!$A$3:$B$500,2,0)</f>
        <v>E5016</v>
      </c>
      <c r="C195" s="1169" t="str">
        <f t="shared" si="4"/>
        <v>E5016EZ1</v>
      </c>
      <c r="D195" s="540" t="s">
        <v>174</v>
      </c>
      <c r="E195" s="540"/>
      <c r="G195" s="1167"/>
      <c r="H195" s="1166"/>
      <c r="I195" s="1165"/>
    </row>
    <row r="196" spans="1:9" x14ac:dyDescent="0.2">
      <c r="A196" s="116">
        <f t="shared" si="5"/>
        <v>1</v>
      </c>
      <c r="B196" s="1169" t="str">
        <f>VLOOKUP(D196,'LA List'!$A$3:$B$500,2,0)</f>
        <v>E2834</v>
      </c>
      <c r="C196" s="1169" t="str">
        <f t="shared" ref="C196:C259" si="6">CONCATENATE(B196,"EZ",A196)</f>
        <v>E2834EZ1</v>
      </c>
      <c r="D196" s="540" t="s">
        <v>176</v>
      </c>
      <c r="E196" s="540"/>
      <c r="G196" s="1167"/>
      <c r="H196" s="1166"/>
      <c r="I196" s="1165"/>
    </row>
    <row r="197" spans="1:9" x14ac:dyDescent="0.2">
      <c r="A197" s="116">
        <f t="shared" ref="A197:A260" si="7">IF(D197=D196,A196+1,1)</f>
        <v>1</v>
      </c>
      <c r="B197" s="1169" t="str">
        <f>VLOOKUP(D197,'LA List'!$A$3:$B$500,2,0)</f>
        <v>E2634</v>
      </c>
      <c r="C197" s="1169" t="str">
        <f t="shared" si="6"/>
        <v>E2634EZ1</v>
      </c>
      <c r="D197" s="540" t="s">
        <v>178</v>
      </c>
      <c r="E197" s="540" t="s">
        <v>2980</v>
      </c>
      <c r="G197" s="1167"/>
      <c r="H197" s="1166"/>
      <c r="I197" s="1165"/>
    </row>
    <row r="198" spans="1:9" x14ac:dyDescent="0.2">
      <c r="A198" s="116">
        <f t="shared" si="7"/>
        <v>1</v>
      </c>
      <c r="B198" s="1169" t="str">
        <f>VLOOKUP(D198,'LA List'!$A$3:$B$500,2,0)</f>
        <v>E2002</v>
      </c>
      <c r="C198" s="1169" t="str">
        <f t="shared" si="6"/>
        <v>E2002EZ1</v>
      </c>
      <c r="D198" s="540" t="s">
        <v>180</v>
      </c>
      <c r="E198" s="540" t="s">
        <v>978</v>
      </c>
      <c r="G198" s="1167"/>
      <c r="H198" s="1166"/>
      <c r="I198" s="1165"/>
    </row>
    <row r="199" spans="1:9" x14ac:dyDescent="0.2">
      <c r="A199" s="116">
        <f t="shared" si="7"/>
        <v>2</v>
      </c>
      <c r="B199" s="1169" t="str">
        <f>VLOOKUP(D199,'LA List'!$A$3:$B$500,2,0)</f>
        <v>E2002</v>
      </c>
      <c r="C199" s="1169" t="str">
        <f t="shared" si="6"/>
        <v>E2002EZ2</v>
      </c>
      <c r="D199" s="540" t="s">
        <v>180</v>
      </c>
      <c r="E199" s="540" t="s">
        <v>979</v>
      </c>
      <c r="G199" s="1167"/>
      <c r="H199" s="1166"/>
      <c r="I199" s="1165"/>
    </row>
    <row r="200" spans="1:9" x14ac:dyDescent="0.2">
      <c r="A200" s="116">
        <f t="shared" si="7"/>
        <v>3</v>
      </c>
      <c r="B200" s="1169" t="str">
        <f>VLOOKUP(D200,'LA List'!$A$3:$B$500,2,0)</f>
        <v>E2002</v>
      </c>
      <c r="C200" s="1169" t="str">
        <f t="shared" si="6"/>
        <v>E2002EZ3</v>
      </c>
      <c r="D200" s="540" t="s">
        <v>180</v>
      </c>
      <c r="E200" s="540" t="s">
        <v>2981</v>
      </c>
      <c r="G200" s="1167"/>
      <c r="H200" s="1166"/>
      <c r="I200" s="1165"/>
    </row>
    <row r="201" spans="1:9" x14ac:dyDescent="0.2">
      <c r="A201" s="116">
        <f t="shared" si="7"/>
        <v>4</v>
      </c>
      <c r="B201" s="1169" t="str">
        <f>VLOOKUP(D201,'LA List'!$A$3:$B$500,2,0)</f>
        <v>E2002</v>
      </c>
      <c r="C201" s="1169" t="str">
        <f t="shared" si="6"/>
        <v>E2002EZ4</v>
      </c>
      <c r="D201" s="540" t="s">
        <v>180</v>
      </c>
      <c r="E201" s="540" t="s">
        <v>2982</v>
      </c>
      <c r="G201" s="1167"/>
      <c r="H201" s="1166"/>
      <c r="I201" s="1165"/>
    </row>
    <row r="202" spans="1:9" x14ac:dyDescent="0.2">
      <c r="A202" s="116">
        <f t="shared" si="7"/>
        <v>5</v>
      </c>
      <c r="B202" s="1169" t="str">
        <f>VLOOKUP(D202,'LA List'!$A$3:$B$500,2,0)</f>
        <v>E2002</v>
      </c>
      <c r="C202" s="1169" t="str">
        <f t="shared" si="6"/>
        <v>E2002EZ5</v>
      </c>
      <c r="D202" s="540" t="s">
        <v>180</v>
      </c>
      <c r="E202" s="540" t="s">
        <v>2983</v>
      </c>
      <c r="G202" s="1167"/>
      <c r="H202" s="1166"/>
      <c r="I202" s="1165"/>
    </row>
    <row r="203" spans="1:9" x14ac:dyDescent="0.2">
      <c r="A203" s="116">
        <f t="shared" si="7"/>
        <v>6</v>
      </c>
      <c r="B203" s="1169" t="str">
        <f>VLOOKUP(D203,'LA List'!$A$3:$B$500,2,0)</f>
        <v>E2002</v>
      </c>
      <c r="C203" s="1169" t="str">
        <f t="shared" si="6"/>
        <v>E2002EZ6</v>
      </c>
      <c r="D203" s="540" t="s">
        <v>180</v>
      </c>
      <c r="E203" s="540" t="s">
        <v>2984</v>
      </c>
      <c r="G203" s="1167"/>
      <c r="H203" s="1166"/>
      <c r="I203" s="1165"/>
    </row>
    <row r="204" spans="1:9" x14ac:dyDescent="0.2">
      <c r="A204" s="116">
        <f t="shared" si="7"/>
        <v>7</v>
      </c>
      <c r="B204" s="1169" t="str">
        <f>VLOOKUP(D204,'LA List'!$A$3:$B$500,2,0)</f>
        <v>E2002</v>
      </c>
      <c r="C204" s="1169" t="str">
        <f t="shared" si="6"/>
        <v>E2002EZ7</v>
      </c>
      <c r="D204" s="540" t="s">
        <v>180</v>
      </c>
      <c r="E204" s="540" t="s">
        <v>2985</v>
      </c>
      <c r="G204" s="1167"/>
      <c r="H204" s="1166"/>
      <c r="I204" s="1165"/>
    </row>
    <row r="205" spans="1:9" x14ac:dyDescent="0.2">
      <c r="A205" s="116">
        <f t="shared" si="7"/>
        <v>8</v>
      </c>
      <c r="B205" s="1169" t="str">
        <f>VLOOKUP(D205,'LA List'!$A$3:$B$500,2,0)</f>
        <v>E2002</v>
      </c>
      <c r="C205" s="1169" t="str">
        <f t="shared" si="6"/>
        <v>E2002EZ8</v>
      </c>
      <c r="D205" s="540" t="s">
        <v>180</v>
      </c>
      <c r="E205" s="540" t="s">
        <v>2986</v>
      </c>
      <c r="G205" s="1167"/>
      <c r="H205" s="1166"/>
      <c r="I205" s="1165"/>
    </row>
    <row r="206" spans="1:9" x14ac:dyDescent="0.2">
      <c r="A206" s="116">
        <f t="shared" si="7"/>
        <v>9</v>
      </c>
      <c r="B206" s="1169" t="str">
        <f>VLOOKUP(D206,'LA List'!$A$3:$B$500,2,0)</f>
        <v>E2002</v>
      </c>
      <c r="C206" s="1169" t="str">
        <f t="shared" si="6"/>
        <v>E2002EZ9</v>
      </c>
      <c r="D206" s="540" t="s">
        <v>180</v>
      </c>
      <c r="E206" s="540" t="s">
        <v>2987</v>
      </c>
      <c r="G206" s="1167"/>
      <c r="H206" s="1166"/>
      <c r="I206" s="1165"/>
    </row>
    <row r="207" spans="1:9" x14ac:dyDescent="0.2">
      <c r="A207" s="116">
        <f t="shared" si="7"/>
        <v>10</v>
      </c>
      <c r="B207" s="1169" t="str">
        <f>VLOOKUP(D207,'LA List'!$A$3:$B$500,2,0)</f>
        <v>E2002</v>
      </c>
      <c r="C207" s="1169" t="str">
        <f t="shared" si="6"/>
        <v>E2002EZ10</v>
      </c>
      <c r="D207" s="540" t="s">
        <v>180</v>
      </c>
      <c r="E207" s="540" t="s">
        <v>2988</v>
      </c>
      <c r="G207" s="1167"/>
      <c r="H207" s="1166"/>
      <c r="I207" s="1165"/>
    </row>
    <row r="208" spans="1:9" x14ac:dyDescent="0.2">
      <c r="A208" s="116">
        <f t="shared" si="7"/>
        <v>11</v>
      </c>
      <c r="B208" s="1169" t="str">
        <f>VLOOKUP(D208,'LA List'!$A$3:$B$500,2,0)</f>
        <v>E2002</v>
      </c>
      <c r="C208" s="1169" t="str">
        <f t="shared" si="6"/>
        <v>E2002EZ11</v>
      </c>
      <c r="D208" s="540" t="s">
        <v>180</v>
      </c>
      <c r="E208" s="540" t="s">
        <v>2989</v>
      </c>
      <c r="G208" s="1167"/>
      <c r="H208" s="1166"/>
      <c r="I208" s="1165"/>
    </row>
    <row r="209" spans="1:9" x14ac:dyDescent="0.2">
      <c r="A209" s="116">
        <f t="shared" si="7"/>
        <v>12</v>
      </c>
      <c r="B209" s="1169" t="str">
        <f>VLOOKUP(D209,'LA List'!$A$3:$B$500,2,0)</f>
        <v>E2002</v>
      </c>
      <c r="C209" s="1169" t="str">
        <f t="shared" si="6"/>
        <v>E2002EZ12</v>
      </c>
      <c r="D209" s="540" t="s">
        <v>180</v>
      </c>
      <c r="E209" s="540" t="s">
        <v>2990</v>
      </c>
      <c r="G209" s="1167"/>
      <c r="H209" s="1166"/>
      <c r="I209" s="1165"/>
    </row>
    <row r="210" spans="1:9" x14ac:dyDescent="0.2">
      <c r="A210" s="116">
        <f t="shared" si="7"/>
        <v>13</v>
      </c>
      <c r="B210" s="1169" t="str">
        <f>VLOOKUP(D210,'LA List'!$A$3:$B$500,2,0)</f>
        <v>E2002</v>
      </c>
      <c r="C210" s="1169" t="str">
        <f t="shared" si="6"/>
        <v>E2002EZ13</v>
      </c>
      <c r="D210" s="540" t="s">
        <v>180</v>
      </c>
      <c r="E210" s="540" t="s">
        <v>2991</v>
      </c>
      <c r="G210" s="1167"/>
      <c r="H210" s="1166"/>
      <c r="I210" s="1165"/>
    </row>
    <row r="211" spans="1:9" x14ac:dyDescent="0.2">
      <c r="A211" s="116">
        <f t="shared" si="7"/>
        <v>14</v>
      </c>
      <c r="B211" s="1169" t="str">
        <f>VLOOKUP(D211,'LA List'!$A$3:$B$500,2,0)</f>
        <v>E2002</v>
      </c>
      <c r="C211" s="1169" t="str">
        <f t="shared" si="6"/>
        <v>E2002EZ14</v>
      </c>
      <c r="D211" s="540" t="s">
        <v>180</v>
      </c>
      <c r="E211" s="540" t="s">
        <v>2992</v>
      </c>
      <c r="G211" s="1167"/>
      <c r="H211" s="1166"/>
      <c r="I211" s="1165"/>
    </row>
    <row r="212" spans="1:9" x14ac:dyDescent="0.2">
      <c r="A212" s="116">
        <f t="shared" si="7"/>
        <v>15</v>
      </c>
      <c r="B212" s="1169" t="str">
        <f>VLOOKUP(D212,'LA List'!$A$3:$B$500,2,0)</f>
        <v>E2002</v>
      </c>
      <c r="C212" s="1169" t="str">
        <f t="shared" si="6"/>
        <v>E2002EZ15</v>
      </c>
      <c r="D212" s="540" t="s">
        <v>180</v>
      </c>
      <c r="E212" s="540" t="s">
        <v>2993</v>
      </c>
      <c r="G212" s="1167"/>
      <c r="H212" s="1166"/>
      <c r="I212" s="1165"/>
    </row>
    <row r="213" spans="1:9" x14ac:dyDescent="0.2">
      <c r="A213" s="116">
        <f t="shared" si="7"/>
        <v>16</v>
      </c>
      <c r="B213" s="1169" t="str">
        <f>VLOOKUP(D213,'LA List'!$A$3:$B$500,2,0)</f>
        <v>E2002</v>
      </c>
      <c r="C213" s="1169" t="str">
        <f t="shared" si="6"/>
        <v>E2002EZ16</v>
      </c>
      <c r="D213" s="540" t="s">
        <v>180</v>
      </c>
      <c r="E213" s="540" t="s">
        <v>2994</v>
      </c>
      <c r="G213" s="1167"/>
      <c r="H213" s="1166"/>
      <c r="I213" s="1165"/>
    </row>
    <row r="214" spans="1:9" x14ac:dyDescent="0.2">
      <c r="A214" s="116">
        <f t="shared" si="7"/>
        <v>17</v>
      </c>
      <c r="B214" s="1169" t="str">
        <f>VLOOKUP(D214,'LA List'!$A$3:$B$500,2,0)</f>
        <v>E2002</v>
      </c>
      <c r="C214" s="1169" t="str">
        <f t="shared" si="6"/>
        <v>E2002EZ17</v>
      </c>
      <c r="D214" s="540" t="s">
        <v>180</v>
      </c>
      <c r="E214" s="540" t="s">
        <v>2995</v>
      </c>
      <c r="G214" s="1167"/>
      <c r="H214" s="1166"/>
      <c r="I214" s="1165"/>
    </row>
    <row r="215" spans="1:9" x14ac:dyDescent="0.2">
      <c r="A215" s="116">
        <f t="shared" si="7"/>
        <v>18</v>
      </c>
      <c r="B215" s="1169" t="str">
        <f>VLOOKUP(D215,'LA List'!$A$3:$B$500,2,0)</f>
        <v>E2002</v>
      </c>
      <c r="C215" s="1169" t="str">
        <f t="shared" si="6"/>
        <v>E2002EZ18</v>
      </c>
      <c r="D215" s="540" t="s">
        <v>180</v>
      </c>
      <c r="E215" s="540" t="s">
        <v>2996</v>
      </c>
      <c r="G215" s="1167"/>
      <c r="H215" s="1166"/>
      <c r="I215" s="1165"/>
    </row>
    <row r="216" spans="1:9" x14ac:dyDescent="0.2">
      <c r="A216" s="116">
        <f t="shared" si="7"/>
        <v>19</v>
      </c>
      <c r="B216" s="1169" t="str">
        <f>VLOOKUP(D216,'LA List'!$A$3:$B$500,2,0)</f>
        <v>E2002</v>
      </c>
      <c r="C216" s="1169" t="str">
        <f t="shared" si="6"/>
        <v>E2002EZ19</v>
      </c>
      <c r="D216" s="540" t="s">
        <v>180</v>
      </c>
      <c r="E216" s="540" t="s">
        <v>2997</v>
      </c>
      <c r="G216" s="1167"/>
      <c r="H216" s="1166"/>
      <c r="I216" s="1165"/>
    </row>
    <row r="217" spans="1:9" x14ac:dyDescent="0.2">
      <c r="A217" s="116">
        <f t="shared" si="7"/>
        <v>20</v>
      </c>
      <c r="B217" s="1169" t="str">
        <f>VLOOKUP(D217,'LA List'!$A$3:$B$500,2,0)</f>
        <v>E2002</v>
      </c>
      <c r="C217" s="1169" t="str">
        <f t="shared" si="6"/>
        <v>E2002EZ20</v>
      </c>
      <c r="D217" s="540" t="s">
        <v>180</v>
      </c>
      <c r="E217" s="540" t="s">
        <v>2998</v>
      </c>
      <c r="G217" s="1167"/>
      <c r="H217" s="1166"/>
      <c r="I217" s="1165"/>
    </row>
    <row r="218" spans="1:9" x14ac:dyDescent="0.2">
      <c r="A218" s="116">
        <f t="shared" si="7"/>
        <v>21</v>
      </c>
      <c r="B218" s="1169" t="str">
        <f>VLOOKUP(D218,'LA List'!$A$3:$B$500,2,0)</f>
        <v>E2002</v>
      </c>
      <c r="C218" s="1169" t="str">
        <f t="shared" si="6"/>
        <v>E2002EZ21</v>
      </c>
      <c r="D218" s="540" t="s">
        <v>180</v>
      </c>
      <c r="E218" s="540" t="s">
        <v>2999</v>
      </c>
      <c r="G218" s="1167"/>
      <c r="H218" s="1166"/>
      <c r="I218" s="1165"/>
    </row>
    <row r="219" spans="1:9" x14ac:dyDescent="0.2">
      <c r="A219" s="116">
        <f t="shared" si="7"/>
        <v>22</v>
      </c>
      <c r="B219" s="1169" t="str">
        <f>VLOOKUP(D219,'LA List'!$A$3:$B$500,2,0)</f>
        <v>E2002</v>
      </c>
      <c r="C219" s="1169" t="str">
        <f t="shared" si="6"/>
        <v>E2002EZ22</v>
      </c>
      <c r="D219" s="540" t="s">
        <v>180</v>
      </c>
      <c r="E219" s="540" t="s">
        <v>3000</v>
      </c>
      <c r="G219" s="1167"/>
      <c r="H219" s="1166"/>
      <c r="I219" s="1165"/>
    </row>
    <row r="220" spans="1:9" x14ac:dyDescent="0.2">
      <c r="A220" s="116">
        <f t="shared" si="7"/>
        <v>1</v>
      </c>
      <c r="B220" s="1169" t="str">
        <f>VLOOKUP(D220,'LA List'!$A$3:$B$500,2,0)</f>
        <v>E5043</v>
      </c>
      <c r="C220" s="1169" t="str">
        <f t="shared" si="6"/>
        <v>E5043EZ1</v>
      </c>
      <c r="D220" s="540" t="s">
        <v>182</v>
      </c>
      <c r="E220" s="540"/>
      <c r="G220" s="1167"/>
      <c r="H220" s="1166"/>
      <c r="I220" s="1165"/>
    </row>
    <row r="221" spans="1:9" x14ac:dyDescent="0.2">
      <c r="A221" s="116">
        <f t="shared" si="7"/>
        <v>1</v>
      </c>
      <c r="B221" s="1169" t="str">
        <f>VLOOKUP(D221,'LA List'!$A$3:$B$500,2,0)</f>
        <v>E4703</v>
      </c>
      <c r="C221" s="1169" t="str">
        <f t="shared" si="6"/>
        <v>E4703EZ1</v>
      </c>
      <c r="D221" s="540" t="s">
        <v>184</v>
      </c>
      <c r="E221" s="540" t="s">
        <v>3001</v>
      </c>
      <c r="G221" s="1167"/>
      <c r="H221" s="1166"/>
      <c r="I221" s="1165"/>
    </row>
    <row r="222" spans="1:9" x14ac:dyDescent="0.2">
      <c r="A222" s="116">
        <f t="shared" si="7"/>
        <v>2</v>
      </c>
      <c r="B222" s="1169" t="str">
        <f>VLOOKUP(D222,'LA List'!$A$3:$B$500,2,0)</f>
        <v>E4703</v>
      </c>
      <c r="C222" s="1169" t="str">
        <f t="shared" si="6"/>
        <v>E4703EZ2</v>
      </c>
      <c r="D222" s="540" t="s">
        <v>184</v>
      </c>
      <c r="E222" s="540" t="s">
        <v>3002</v>
      </c>
      <c r="G222" s="1167"/>
      <c r="H222" s="1166"/>
      <c r="I222" s="1165"/>
    </row>
    <row r="223" spans="1:9" x14ac:dyDescent="0.2">
      <c r="A223" s="116">
        <f t="shared" si="7"/>
        <v>3</v>
      </c>
      <c r="B223" s="1169" t="str">
        <f>VLOOKUP(D223,'LA List'!$A$3:$B$500,2,0)</f>
        <v>E4703</v>
      </c>
      <c r="C223" s="1169" t="str">
        <f t="shared" si="6"/>
        <v>E4703EZ3</v>
      </c>
      <c r="D223" s="540" t="s">
        <v>184</v>
      </c>
      <c r="E223" s="540" t="s">
        <v>3003</v>
      </c>
      <c r="G223" s="1167"/>
      <c r="H223" s="1166"/>
      <c r="I223" s="1165"/>
    </row>
    <row r="224" spans="1:9" x14ac:dyDescent="0.2">
      <c r="A224" s="116">
        <f t="shared" si="7"/>
        <v>1</v>
      </c>
      <c r="B224" s="1169" t="str">
        <f>VLOOKUP(D224,'LA List'!$A$3:$B$500,2,0)</f>
        <v>E4301</v>
      </c>
      <c r="C224" s="1169" t="str">
        <f t="shared" si="6"/>
        <v>E4301EZ1</v>
      </c>
      <c r="D224" s="540" t="s">
        <v>186</v>
      </c>
      <c r="E224" s="540"/>
      <c r="G224" s="1167"/>
      <c r="H224" s="1166"/>
      <c r="I224" s="1165"/>
    </row>
    <row r="225" spans="1:9" x14ac:dyDescent="0.2">
      <c r="A225" s="116">
        <f t="shared" si="7"/>
        <v>1</v>
      </c>
      <c r="B225" s="1169" t="str">
        <f>VLOOKUP(D225,'LA List'!$A$3:$B$500,2,0)</f>
        <v>E5017</v>
      </c>
      <c r="C225" s="1169" t="str">
        <f t="shared" si="6"/>
        <v>E5017EZ1</v>
      </c>
      <c r="D225" s="540" t="s">
        <v>188</v>
      </c>
      <c r="E225" s="540" t="s">
        <v>2109</v>
      </c>
      <c r="G225" s="1167"/>
      <c r="H225" s="1166"/>
      <c r="I225" s="1165"/>
    </row>
    <row r="226" spans="1:9" x14ac:dyDescent="0.2">
      <c r="A226" s="116">
        <f t="shared" si="7"/>
        <v>1</v>
      </c>
      <c r="B226" s="1169" t="str">
        <f>VLOOKUP(D226,'LA List'!$A$3:$B$500,2,0)</f>
        <v>E2337</v>
      </c>
      <c r="C226" s="1169" t="str">
        <f t="shared" si="6"/>
        <v>E2337EZ1</v>
      </c>
      <c r="D226" s="540" t="s">
        <v>190</v>
      </c>
      <c r="E226" s="540"/>
      <c r="G226" s="1167"/>
      <c r="H226" s="1166"/>
      <c r="I226" s="1165"/>
    </row>
    <row r="227" spans="1:9" x14ac:dyDescent="0.2">
      <c r="A227" s="116">
        <f t="shared" si="7"/>
        <v>1</v>
      </c>
      <c r="B227" s="1169" t="str">
        <f>VLOOKUP(D227,'LA List'!$A$3:$B$500,2,0)</f>
        <v>E4704</v>
      </c>
      <c r="C227" s="1169" t="str">
        <f t="shared" si="6"/>
        <v>E4704EZ1</v>
      </c>
      <c r="D227" s="540" t="s">
        <v>192</v>
      </c>
      <c r="E227" s="540" t="s">
        <v>989</v>
      </c>
      <c r="G227" s="1167"/>
      <c r="H227" s="1166"/>
      <c r="I227" s="1165"/>
    </row>
    <row r="228" spans="1:9" x14ac:dyDescent="0.2">
      <c r="A228" s="116">
        <f t="shared" si="7"/>
        <v>1</v>
      </c>
      <c r="B228" s="1169" t="str">
        <f>VLOOKUP(D228,'LA List'!$A$3:$B$500,2,0)</f>
        <v>E2401</v>
      </c>
      <c r="C228" s="1169" t="str">
        <f t="shared" si="6"/>
        <v>E2401EZ1</v>
      </c>
      <c r="D228" s="540" t="s">
        <v>194</v>
      </c>
      <c r="E228" s="540" t="s">
        <v>3004</v>
      </c>
      <c r="G228" s="1167"/>
      <c r="H228" s="1166"/>
      <c r="I228" s="1165"/>
    </row>
    <row r="229" spans="1:9" x14ac:dyDescent="0.2">
      <c r="A229" s="116">
        <f t="shared" si="7"/>
        <v>1</v>
      </c>
      <c r="B229" s="1169" t="str">
        <f>VLOOKUP(D229,'LA List'!$A$3:$B$500,2,0)</f>
        <v>E1435</v>
      </c>
      <c r="C229" s="1169" t="str">
        <f t="shared" si="6"/>
        <v>E1435EZ1</v>
      </c>
      <c r="D229" s="540" t="s">
        <v>196</v>
      </c>
      <c r="E229" s="540" t="s">
        <v>3005</v>
      </c>
      <c r="G229" s="1167"/>
      <c r="H229" s="1166"/>
      <c r="I229" s="1165"/>
    </row>
    <row r="230" spans="1:9" x14ac:dyDescent="0.2">
      <c r="A230" s="116">
        <f t="shared" si="7"/>
        <v>2</v>
      </c>
      <c r="B230" s="1169" t="str">
        <f>VLOOKUP(D230,'LA List'!$A$3:$B$500,2,0)</f>
        <v>E1435</v>
      </c>
      <c r="C230" s="1169" t="str">
        <f t="shared" si="6"/>
        <v>E1435EZ2</v>
      </c>
      <c r="D230" s="540" t="s">
        <v>196</v>
      </c>
      <c r="E230" s="540" t="s">
        <v>3006</v>
      </c>
      <c r="G230" s="1167"/>
      <c r="H230" s="1166"/>
      <c r="I230" s="1165"/>
    </row>
    <row r="231" spans="1:9" x14ac:dyDescent="0.2">
      <c r="A231" s="116">
        <f t="shared" si="7"/>
        <v>3</v>
      </c>
      <c r="B231" s="1169" t="str">
        <f>VLOOKUP(D231,'LA List'!$A$3:$B$500,2,0)</f>
        <v>E1435</v>
      </c>
      <c r="C231" s="1169" t="str">
        <f t="shared" si="6"/>
        <v>E1435EZ3</v>
      </c>
      <c r="D231" s="540" t="s">
        <v>196</v>
      </c>
      <c r="E231" s="540" t="s">
        <v>3007</v>
      </c>
      <c r="G231" s="1167"/>
      <c r="H231" s="1166"/>
      <c r="I231" s="1165"/>
    </row>
    <row r="232" spans="1:9" x14ac:dyDescent="0.2">
      <c r="A232" s="116">
        <f t="shared" si="7"/>
        <v>4</v>
      </c>
      <c r="B232" s="1169" t="str">
        <f>VLOOKUP(D232,'LA List'!$A$3:$B$500,2,0)</f>
        <v>E1435</v>
      </c>
      <c r="C232" s="1169" t="str">
        <f t="shared" si="6"/>
        <v>E1435EZ4</v>
      </c>
      <c r="D232" s="540" t="s">
        <v>196</v>
      </c>
      <c r="E232" s="540" t="s">
        <v>3008</v>
      </c>
      <c r="G232" s="1167"/>
      <c r="H232" s="1166"/>
      <c r="I232" s="1165"/>
    </row>
    <row r="233" spans="1:9" x14ac:dyDescent="0.2">
      <c r="A233" s="116">
        <f t="shared" si="7"/>
        <v>5</v>
      </c>
      <c r="B233" s="1169" t="str">
        <f>VLOOKUP(D233,'LA List'!$A$3:$B$500,2,0)</f>
        <v>E1435</v>
      </c>
      <c r="C233" s="1169" t="str">
        <f t="shared" si="6"/>
        <v>E1435EZ5</v>
      </c>
      <c r="D233" s="540" t="s">
        <v>196</v>
      </c>
      <c r="E233" s="540" t="s">
        <v>3009</v>
      </c>
      <c r="G233" s="1167"/>
      <c r="H233" s="1166"/>
      <c r="I233" s="1165"/>
    </row>
    <row r="234" spans="1:9" x14ac:dyDescent="0.2">
      <c r="A234" s="116">
        <f t="shared" si="7"/>
        <v>6</v>
      </c>
      <c r="B234" s="1169" t="str">
        <f>VLOOKUP(D234,'LA List'!$A$3:$B$500,2,0)</f>
        <v>E1435</v>
      </c>
      <c r="C234" s="1169" t="str">
        <f t="shared" si="6"/>
        <v>E1435EZ6</v>
      </c>
      <c r="D234" s="540" t="s">
        <v>196</v>
      </c>
      <c r="E234" s="540" t="s">
        <v>3010</v>
      </c>
      <c r="G234" s="1167"/>
      <c r="H234" s="1166"/>
      <c r="I234" s="1165"/>
    </row>
    <row r="235" spans="1:9" x14ac:dyDescent="0.2">
      <c r="A235" s="116">
        <f t="shared" si="7"/>
        <v>7</v>
      </c>
      <c r="B235" s="1169" t="str">
        <f>VLOOKUP(D235,'LA List'!$A$3:$B$500,2,0)</f>
        <v>E1435</v>
      </c>
      <c r="C235" s="1169" t="str">
        <f t="shared" si="6"/>
        <v>E1435EZ7</v>
      </c>
      <c r="D235" s="540" t="s">
        <v>196</v>
      </c>
      <c r="E235" s="540" t="s">
        <v>3011</v>
      </c>
      <c r="G235" s="1167"/>
      <c r="H235" s="1166"/>
      <c r="I235" s="1165"/>
    </row>
    <row r="236" spans="1:9" x14ac:dyDescent="0.2">
      <c r="A236" s="116">
        <f t="shared" si="7"/>
        <v>8</v>
      </c>
      <c r="B236" s="1169" t="str">
        <f>VLOOKUP(D236,'LA List'!$A$3:$B$500,2,0)</f>
        <v>E1435</v>
      </c>
      <c r="C236" s="1169" t="str">
        <f t="shared" si="6"/>
        <v>E1435EZ8</v>
      </c>
      <c r="D236" s="540" t="s">
        <v>196</v>
      </c>
      <c r="E236" s="540" t="s">
        <v>3012</v>
      </c>
      <c r="G236" s="1167"/>
      <c r="H236" s="1166"/>
      <c r="I236" s="1165"/>
    </row>
    <row r="237" spans="1:9" x14ac:dyDescent="0.2">
      <c r="A237" s="116">
        <f t="shared" si="7"/>
        <v>1</v>
      </c>
      <c r="B237" s="1169" t="str">
        <f>VLOOKUP(D237,'LA List'!$A$3:$B$500,2,0)</f>
        <v>E5018</v>
      </c>
      <c r="C237" s="1169" t="str">
        <f t="shared" si="6"/>
        <v>E5018EZ1</v>
      </c>
      <c r="D237" s="540" t="s">
        <v>198</v>
      </c>
      <c r="E237" s="540"/>
      <c r="G237" s="1167"/>
      <c r="H237" s="1166"/>
      <c r="I237" s="1165"/>
    </row>
    <row r="238" spans="1:9" x14ac:dyDescent="0.2">
      <c r="A238" s="116">
        <f t="shared" si="7"/>
        <v>1</v>
      </c>
      <c r="B238" s="1169" t="str">
        <f>VLOOKUP(D238,'LA List'!$A$3:$B$500,2,0)</f>
        <v>E3433</v>
      </c>
      <c r="C238" s="1169" t="str">
        <f t="shared" si="6"/>
        <v>E3433EZ1</v>
      </c>
      <c r="D238" s="540" t="s">
        <v>200</v>
      </c>
      <c r="E238" s="540"/>
      <c r="G238" s="1167"/>
      <c r="H238" s="1166"/>
      <c r="I238" s="1165"/>
    </row>
    <row r="239" spans="1:9" x14ac:dyDescent="0.2">
      <c r="A239" s="116">
        <f t="shared" si="7"/>
        <v>1</v>
      </c>
      <c r="B239" s="1169" t="str">
        <f>VLOOKUP(D239,'LA List'!$A$3:$B$500,2,0)</f>
        <v>E2533</v>
      </c>
      <c r="C239" s="1169" t="str">
        <f t="shared" si="6"/>
        <v>E2533EZ1</v>
      </c>
      <c r="D239" s="540" t="s">
        <v>202</v>
      </c>
      <c r="E239" s="540"/>
      <c r="G239" s="1167"/>
      <c r="H239" s="1166"/>
      <c r="I239" s="1165"/>
    </row>
    <row r="240" spans="1:9" x14ac:dyDescent="0.2">
      <c r="A240" s="116">
        <f t="shared" si="7"/>
        <v>1</v>
      </c>
      <c r="B240" s="1169" t="str">
        <f>VLOOKUP(D240,'LA List'!$A$3:$B$500,2,0)</f>
        <v>E4302</v>
      </c>
      <c r="C240" s="1169" t="str">
        <f t="shared" si="6"/>
        <v>E4302EZ1</v>
      </c>
      <c r="D240" s="540" t="s">
        <v>204</v>
      </c>
      <c r="E240" s="540" t="s">
        <v>990</v>
      </c>
      <c r="G240" s="1167"/>
      <c r="H240" s="1166"/>
      <c r="I240" s="1165"/>
    </row>
    <row r="241" spans="1:9" x14ac:dyDescent="0.2">
      <c r="A241" s="116">
        <f t="shared" si="7"/>
        <v>2</v>
      </c>
      <c r="B241" s="1169" t="str">
        <f>VLOOKUP(D241,'LA List'!$A$3:$B$500,2,0)</f>
        <v>E4302</v>
      </c>
      <c r="C241" s="1169" t="str">
        <f t="shared" si="6"/>
        <v>E4302EZ2</v>
      </c>
      <c r="D241" s="540" t="s">
        <v>204</v>
      </c>
      <c r="E241" s="540" t="s">
        <v>991</v>
      </c>
      <c r="G241" s="1167"/>
      <c r="H241" s="1166"/>
      <c r="I241" s="1165"/>
    </row>
    <row r="242" spans="1:9" x14ac:dyDescent="0.2">
      <c r="A242" s="116">
        <f t="shared" si="7"/>
        <v>1</v>
      </c>
      <c r="B242" s="1169" t="str">
        <f>VLOOKUP(D242,'LA List'!$A$3:$B$500,2,0)</f>
        <v>E0201</v>
      </c>
      <c r="C242" s="1169" t="str">
        <f t="shared" si="6"/>
        <v>E0201EZ1</v>
      </c>
      <c r="D242" s="540" t="s">
        <v>206</v>
      </c>
      <c r="E242" s="540" t="s">
        <v>3013</v>
      </c>
      <c r="G242" s="1167"/>
      <c r="H242" s="1166"/>
      <c r="I242" s="1165"/>
    </row>
    <row r="243" spans="1:9" x14ac:dyDescent="0.2">
      <c r="A243" s="116">
        <f t="shared" si="7"/>
        <v>1</v>
      </c>
      <c r="B243" s="1169" t="str">
        <f>VLOOKUP(D243,'LA List'!$A$3:$B$500,2,0)</f>
        <v>E2237</v>
      </c>
      <c r="C243" s="1169" t="str">
        <f t="shared" si="6"/>
        <v>E2237EZ1</v>
      </c>
      <c r="D243" s="540" t="s">
        <v>208</v>
      </c>
      <c r="E243" s="540" t="s">
        <v>3014</v>
      </c>
      <c r="G243" s="1167"/>
      <c r="H243" s="1166"/>
      <c r="I243" s="1165"/>
    </row>
    <row r="244" spans="1:9" x14ac:dyDescent="0.2">
      <c r="A244" s="116">
        <f t="shared" si="7"/>
        <v>1</v>
      </c>
      <c r="B244" s="1169" t="str">
        <f>VLOOKUP(D244,'LA List'!$A$3:$B$500,2,0)</f>
        <v>E1539</v>
      </c>
      <c r="C244" s="1169" t="str">
        <f t="shared" si="6"/>
        <v>E1539EZ1</v>
      </c>
      <c r="D244" s="540" t="s">
        <v>210</v>
      </c>
      <c r="E244" s="540"/>
      <c r="G244" s="1167"/>
      <c r="H244" s="1166"/>
      <c r="I244" s="1165"/>
    </row>
    <row r="245" spans="1:9" x14ac:dyDescent="0.2">
      <c r="A245" s="116">
        <f t="shared" si="7"/>
        <v>1</v>
      </c>
      <c r="B245" s="1169" t="str">
        <f>VLOOKUP(D245,'LA List'!$A$3:$B$500,2,0)</f>
        <v>E1851</v>
      </c>
      <c r="C245" s="1169" t="str">
        <f t="shared" si="6"/>
        <v>E1851EZ1</v>
      </c>
      <c r="D245" s="540" t="s">
        <v>212</v>
      </c>
      <c r="E245" s="540"/>
      <c r="G245" s="1167"/>
      <c r="H245" s="1166"/>
      <c r="I245" s="1165"/>
    </row>
    <row r="246" spans="1:9" x14ac:dyDescent="0.2">
      <c r="A246" s="116">
        <f t="shared" si="7"/>
        <v>1</v>
      </c>
      <c r="B246" s="1169" t="str">
        <f>VLOOKUP(D246,'LA List'!$A$3:$B$500,2,0)</f>
        <v>E4203</v>
      </c>
      <c r="C246" s="1169" t="str">
        <f t="shared" si="6"/>
        <v>E4203EZ1</v>
      </c>
      <c r="D246" s="540" t="s">
        <v>214</v>
      </c>
      <c r="E246" s="540" t="s">
        <v>3015</v>
      </c>
      <c r="G246" s="1167"/>
      <c r="H246" s="1166"/>
      <c r="I246" s="1165"/>
    </row>
    <row r="247" spans="1:9" x14ac:dyDescent="0.2">
      <c r="A247" s="116">
        <f t="shared" si="7"/>
        <v>2</v>
      </c>
      <c r="B247" s="1169" t="str">
        <f>VLOOKUP(D247,'LA List'!$A$3:$B$500,2,0)</f>
        <v>E4203</v>
      </c>
      <c r="C247" s="1169" t="str">
        <f t="shared" si="6"/>
        <v>E4203EZ2</v>
      </c>
      <c r="D247" s="540" t="s">
        <v>214</v>
      </c>
      <c r="E247" s="540" t="s">
        <v>3016</v>
      </c>
      <c r="G247" s="1167"/>
      <c r="H247" s="1166"/>
      <c r="I247" s="1165"/>
    </row>
    <row r="248" spans="1:9" x14ac:dyDescent="0.2">
      <c r="A248" s="116">
        <f t="shared" si="7"/>
        <v>3</v>
      </c>
      <c r="B248" s="1169" t="str">
        <f>VLOOKUP(D248,'LA List'!$A$3:$B$500,2,0)</f>
        <v>E4203</v>
      </c>
      <c r="C248" s="1169" t="str">
        <f t="shared" si="6"/>
        <v>E4203EZ3</v>
      </c>
      <c r="D248" s="540" t="s">
        <v>214</v>
      </c>
      <c r="E248" s="540" t="s">
        <v>3017</v>
      </c>
      <c r="G248" s="1167"/>
      <c r="H248" s="1166"/>
      <c r="I248" s="1165"/>
    </row>
    <row r="249" spans="1:9" x14ac:dyDescent="0.2">
      <c r="A249" s="116">
        <f t="shared" si="7"/>
        <v>1</v>
      </c>
      <c r="B249" s="1169" t="str">
        <f>VLOOKUP(D249,'LA List'!$A$3:$B$500,2,0)</f>
        <v>E3035</v>
      </c>
      <c r="C249" s="1169" t="str">
        <f t="shared" si="6"/>
        <v>E3035EZ1</v>
      </c>
      <c r="D249" s="540" t="s">
        <v>216</v>
      </c>
      <c r="E249" s="540"/>
      <c r="G249" s="1167"/>
      <c r="H249" s="1166"/>
      <c r="I249" s="1165"/>
    </row>
    <row r="250" spans="1:9" x14ac:dyDescent="0.2">
      <c r="A250" s="116">
        <f t="shared" si="7"/>
        <v>1</v>
      </c>
      <c r="B250" s="1169" t="str">
        <f>VLOOKUP(D250,'LA List'!$A$3:$B$500,2,0)</f>
        <v>E2201</v>
      </c>
      <c r="C250" s="1169" t="str">
        <f t="shared" si="6"/>
        <v>E2201EZ1</v>
      </c>
      <c r="D250" s="540" t="s">
        <v>218</v>
      </c>
      <c r="E250" s="540" t="s">
        <v>3018</v>
      </c>
      <c r="G250" s="1167"/>
      <c r="H250" s="1166"/>
      <c r="I250" s="1165"/>
    </row>
    <row r="251" spans="1:9" x14ac:dyDescent="0.2">
      <c r="A251" s="116">
        <f t="shared" si="7"/>
        <v>1</v>
      </c>
      <c r="B251" s="1169" t="str">
        <f>VLOOKUP(D251,'LA List'!$A$3:$B$500,2,0)</f>
        <v>E2436</v>
      </c>
      <c r="C251" s="1169" t="str">
        <f t="shared" si="6"/>
        <v>E2436EZ1</v>
      </c>
      <c r="D251" s="540" t="s">
        <v>220</v>
      </c>
      <c r="E251" s="540"/>
      <c r="G251" s="1167"/>
      <c r="H251" s="1166"/>
      <c r="I251" s="1165"/>
    </row>
    <row r="252" spans="1:9" x14ac:dyDescent="0.2">
      <c r="A252" s="116">
        <f t="shared" si="7"/>
        <v>1</v>
      </c>
      <c r="B252" s="1169" t="str">
        <f>VLOOKUP(D252,'LA List'!$A$3:$B$500,2,0)</f>
        <v>E3331</v>
      </c>
      <c r="C252" s="1169" t="str">
        <f t="shared" si="6"/>
        <v>E3331EZ1</v>
      </c>
      <c r="D252" s="540" t="s">
        <v>222</v>
      </c>
      <c r="E252" s="540"/>
      <c r="G252" s="1167"/>
      <c r="H252" s="1166"/>
      <c r="I252" s="1165"/>
    </row>
    <row r="253" spans="1:9" x14ac:dyDescent="0.2">
      <c r="A253" s="116">
        <f t="shared" si="7"/>
        <v>1</v>
      </c>
      <c r="B253" s="1169" t="str">
        <f>VLOOKUP(D253,'LA List'!$A$3:$B$500,2,0)</f>
        <v>E5044</v>
      </c>
      <c r="C253" s="1169" t="str">
        <f t="shared" si="6"/>
        <v>E5044EZ1</v>
      </c>
      <c r="D253" s="540" t="s">
        <v>224</v>
      </c>
      <c r="E253" s="540"/>
      <c r="G253" s="1167"/>
      <c r="H253" s="1166"/>
      <c r="I253" s="1165"/>
    </row>
    <row r="254" spans="1:9" x14ac:dyDescent="0.2">
      <c r="A254" s="116">
        <f t="shared" si="7"/>
        <v>1</v>
      </c>
      <c r="B254" s="1169" t="str">
        <f>VLOOKUP(D254,'LA List'!$A$3:$B$500,2,0)</f>
        <v>E1133</v>
      </c>
      <c r="C254" s="1169" t="str">
        <f t="shared" si="6"/>
        <v>E1133EZ1</v>
      </c>
      <c r="D254" s="540" t="s">
        <v>226</v>
      </c>
      <c r="E254" s="540"/>
      <c r="G254" s="1167"/>
      <c r="H254" s="1166"/>
      <c r="I254" s="1165"/>
    </row>
    <row r="255" spans="1:9" x14ac:dyDescent="0.2">
      <c r="A255" s="116">
        <f t="shared" si="7"/>
        <v>1</v>
      </c>
      <c r="B255" s="1169" t="str">
        <f>VLOOKUP(D255,'LA List'!$A$3:$B$500,2,0)</f>
        <v>E3534</v>
      </c>
      <c r="C255" s="1169" t="str">
        <f t="shared" si="6"/>
        <v>E3534EZ1</v>
      </c>
      <c r="D255" s="540" t="s">
        <v>228</v>
      </c>
      <c r="E255" s="540" t="s">
        <v>3019</v>
      </c>
      <c r="G255" s="1167"/>
      <c r="H255" s="1166"/>
      <c r="I255" s="1165"/>
    </row>
    <row r="256" spans="1:9" x14ac:dyDescent="0.2">
      <c r="A256" s="116">
        <f t="shared" si="7"/>
        <v>2</v>
      </c>
      <c r="B256" s="1169" t="str">
        <f>VLOOKUP(D256,'LA List'!$A$3:$B$500,2,0)</f>
        <v>E3534</v>
      </c>
      <c r="C256" s="1169" t="str">
        <f t="shared" si="6"/>
        <v>E3534EZ2</v>
      </c>
      <c r="D256" s="540" t="s">
        <v>228</v>
      </c>
      <c r="E256" s="540" t="s">
        <v>3020</v>
      </c>
      <c r="G256" s="1167"/>
      <c r="H256" s="1166"/>
      <c r="I256" s="1165"/>
    </row>
    <row r="257" spans="1:9" x14ac:dyDescent="0.2">
      <c r="A257" s="116">
        <f t="shared" si="7"/>
        <v>1</v>
      </c>
      <c r="B257" s="1169" t="str">
        <f>VLOOKUP(D257,'LA List'!$A$3:$B$500,2,0)</f>
        <v>E3836</v>
      </c>
      <c r="C257" s="1169" t="str">
        <f t="shared" si="6"/>
        <v>E3836EZ1</v>
      </c>
      <c r="D257" s="540" t="s">
        <v>230</v>
      </c>
      <c r="E257" s="540"/>
      <c r="G257" s="1167"/>
      <c r="H257" s="1166"/>
      <c r="I257" s="1165"/>
    </row>
    <row r="258" spans="1:9" x14ac:dyDescent="0.2">
      <c r="A258" s="116">
        <f t="shared" si="7"/>
        <v>1</v>
      </c>
      <c r="B258" s="1169" t="str">
        <f>VLOOKUP(D258,'LA List'!$A$3:$B$500,2,0)</f>
        <v>E0702</v>
      </c>
      <c r="C258" s="1169" t="str">
        <f t="shared" si="6"/>
        <v>E0702EZ1</v>
      </c>
      <c r="D258" s="540" t="s">
        <v>232</v>
      </c>
      <c r="E258" s="540" t="s">
        <v>985</v>
      </c>
      <c r="G258" s="1167"/>
      <c r="H258" s="1166"/>
      <c r="I258" s="1165"/>
    </row>
    <row r="259" spans="1:9" x14ac:dyDescent="0.2">
      <c r="A259" s="116">
        <f t="shared" si="7"/>
        <v>2</v>
      </c>
      <c r="B259" s="1169" t="str">
        <f>VLOOKUP(D259,'LA List'!$A$3:$B$500,2,0)</f>
        <v>E0702</v>
      </c>
      <c r="C259" s="1169" t="str">
        <f t="shared" si="6"/>
        <v>E0702EZ2</v>
      </c>
      <c r="D259" s="540" t="s">
        <v>232</v>
      </c>
      <c r="E259" s="540" t="s">
        <v>3021</v>
      </c>
      <c r="G259" s="1167"/>
      <c r="H259" s="1166"/>
      <c r="I259" s="1165"/>
    </row>
    <row r="260" spans="1:9" x14ac:dyDescent="0.2">
      <c r="A260" s="116">
        <f t="shared" si="7"/>
        <v>1</v>
      </c>
      <c r="B260" s="1169" t="str">
        <f>VLOOKUP(D260,'LA List'!$A$3:$B$500,2,0)</f>
        <v>E0401</v>
      </c>
      <c r="C260" s="1169" t="str">
        <f t="shared" ref="C260:C323" si="8">CONCATENATE(B260,"EZ",A260)</f>
        <v>E0401EZ1</v>
      </c>
      <c r="D260" s="540" t="s">
        <v>234</v>
      </c>
      <c r="E260" s="540"/>
      <c r="G260" s="1167"/>
      <c r="H260" s="1166"/>
      <c r="I260" s="1165"/>
    </row>
    <row r="261" spans="1:9" x14ac:dyDescent="0.2">
      <c r="A261" s="116">
        <f t="shared" ref="A261:A324" si="9">IF(D261=D260,A260+1,1)</f>
        <v>1</v>
      </c>
      <c r="B261" s="1169" t="str">
        <f>VLOOKUP(D261,'LA List'!$A$3:$B$500,2,0)</f>
        <v>E3634</v>
      </c>
      <c r="C261" s="1169" t="str">
        <f t="shared" si="8"/>
        <v>E3634EZ1</v>
      </c>
      <c r="D261" s="540" t="s">
        <v>236</v>
      </c>
      <c r="E261" s="540"/>
      <c r="G261" s="1167"/>
      <c r="H261" s="1166"/>
      <c r="I261" s="1165"/>
    </row>
    <row r="262" spans="1:9" x14ac:dyDescent="0.2">
      <c r="A262" s="116">
        <f t="shared" si="9"/>
        <v>1</v>
      </c>
      <c r="B262" s="1169" t="str">
        <f>VLOOKUP(D262,'LA List'!$A$3:$B$500,2,0)</f>
        <v>E1738</v>
      </c>
      <c r="C262" s="1169" t="str">
        <f t="shared" si="8"/>
        <v>E1738EZ1</v>
      </c>
      <c r="D262" s="540" t="s">
        <v>238</v>
      </c>
      <c r="E262" s="540"/>
      <c r="G262" s="1167"/>
      <c r="H262" s="1166"/>
      <c r="I262" s="1165"/>
    </row>
    <row r="263" spans="1:9" x14ac:dyDescent="0.2">
      <c r="A263" s="116">
        <f t="shared" si="9"/>
        <v>1</v>
      </c>
      <c r="B263" s="1169" t="str">
        <f>VLOOKUP(D263,'LA List'!$A$3:$B$500,2,0)</f>
        <v>E3036</v>
      </c>
      <c r="C263" s="1169" t="str">
        <f t="shared" si="8"/>
        <v>E3036EZ1</v>
      </c>
      <c r="D263" s="540" t="s">
        <v>240</v>
      </c>
      <c r="E263" s="540"/>
      <c r="G263" s="1167"/>
      <c r="H263" s="1166"/>
      <c r="I263" s="1165"/>
    </row>
    <row r="264" spans="1:9" x14ac:dyDescent="0.2">
      <c r="A264" s="116">
        <f t="shared" si="9"/>
        <v>1</v>
      </c>
      <c r="B264" s="1169" t="str">
        <f>VLOOKUP(D264,'LA List'!$A$3:$B$500,2,0)</f>
        <v>E4502</v>
      </c>
      <c r="C264" s="1169" t="str">
        <f t="shared" si="8"/>
        <v>E4502EZ1</v>
      </c>
      <c r="D264" s="540" t="s">
        <v>1709</v>
      </c>
      <c r="E264" s="540" t="s">
        <v>993</v>
      </c>
      <c r="G264" s="1167"/>
      <c r="H264" s="1166"/>
      <c r="I264" s="1165"/>
    </row>
    <row r="265" spans="1:9" x14ac:dyDescent="0.2">
      <c r="A265" s="116">
        <f t="shared" si="9"/>
        <v>2</v>
      </c>
      <c r="B265" s="1169" t="str">
        <f>VLOOKUP(D265,'LA List'!$A$3:$B$500,2,0)</f>
        <v>E4502</v>
      </c>
      <c r="C265" s="1169" t="str">
        <f t="shared" si="8"/>
        <v>E4502EZ2</v>
      </c>
      <c r="D265" s="540" t="s">
        <v>1709</v>
      </c>
      <c r="E265" s="540" t="s">
        <v>982</v>
      </c>
      <c r="G265" s="1167"/>
      <c r="H265" s="1166"/>
      <c r="I265" s="1165"/>
    </row>
    <row r="266" spans="1:9" x14ac:dyDescent="0.2">
      <c r="A266" s="116">
        <f t="shared" si="9"/>
        <v>3</v>
      </c>
      <c r="B266" s="1169" t="str">
        <f>VLOOKUP(D266,'LA List'!$A$3:$B$500,2,0)</f>
        <v>E4502</v>
      </c>
      <c r="C266" s="1169" t="str">
        <f t="shared" si="8"/>
        <v>E4502EZ3</v>
      </c>
      <c r="D266" s="540" t="s">
        <v>1709</v>
      </c>
      <c r="E266" s="540" t="s">
        <v>3023</v>
      </c>
      <c r="G266" s="1167"/>
      <c r="H266" s="1166"/>
      <c r="I266" s="1165"/>
    </row>
    <row r="267" spans="1:9" x14ac:dyDescent="0.2">
      <c r="A267" s="116">
        <f t="shared" si="9"/>
        <v>4</v>
      </c>
      <c r="B267" s="1169" t="str">
        <f>VLOOKUP(D267,'LA List'!$A$3:$B$500,2,0)</f>
        <v>E4502</v>
      </c>
      <c r="C267" s="1169" t="str">
        <f t="shared" si="8"/>
        <v>E4502EZ4</v>
      </c>
      <c r="D267" s="540" t="s">
        <v>1709</v>
      </c>
      <c r="E267" s="540" t="s">
        <v>3024</v>
      </c>
      <c r="G267" s="1167"/>
      <c r="H267" s="1166"/>
      <c r="I267" s="1165"/>
    </row>
    <row r="268" spans="1:9" x14ac:dyDescent="0.2">
      <c r="A268" s="116">
        <f t="shared" si="9"/>
        <v>1</v>
      </c>
      <c r="B268" s="1169" t="str">
        <f>VLOOKUP(D268,'LA List'!$A$3:$B$500,2,0)</f>
        <v>E3434</v>
      </c>
      <c r="C268" s="1169" t="str">
        <f t="shared" si="8"/>
        <v>E3434EZ1</v>
      </c>
      <c r="D268" s="540" t="s">
        <v>244</v>
      </c>
      <c r="E268" s="540" t="s">
        <v>3022</v>
      </c>
      <c r="G268" s="1167"/>
      <c r="H268" s="1166"/>
      <c r="I268" s="1165"/>
    </row>
    <row r="269" spans="1:9" x14ac:dyDescent="0.2">
      <c r="A269" s="116">
        <f t="shared" si="9"/>
        <v>1</v>
      </c>
      <c r="B269" s="1169" t="str">
        <f>VLOOKUP(D269,'LA List'!$A$3:$B$500,2,0)</f>
        <v>E5045</v>
      </c>
      <c r="C269" s="1169" t="str">
        <f t="shared" si="8"/>
        <v>E5045EZ1</v>
      </c>
      <c r="D269" s="540" t="s">
        <v>246</v>
      </c>
      <c r="E269" s="540" t="s">
        <v>994</v>
      </c>
      <c r="G269" s="1167"/>
      <c r="H269" s="1166"/>
      <c r="I269" s="1165"/>
    </row>
    <row r="270" spans="1:9" x14ac:dyDescent="0.2">
      <c r="A270" s="116">
        <f t="shared" si="9"/>
        <v>1</v>
      </c>
      <c r="B270" s="1169" t="str">
        <f>VLOOKUP(D270,'LA List'!$A$3:$B$500,2,0)</f>
        <v>E1134</v>
      </c>
      <c r="C270" s="1169" t="str">
        <f t="shared" si="8"/>
        <v>E1134EZ1</v>
      </c>
      <c r="D270" s="540" t="s">
        <v>248</v>
      </c>
      <c r="E270" s="540"/>
      <c r="G270" s="1167"/>
      <c r="H270" s="1166"/>
      <c r="I270" s="1165"/>
    </row>
    <row r="271" spans="1:9" x14ac:dyDescent="0.2">
      <c r="A271" s="116">
        <f t="shared" si="9"/>
        <v>1</v>
      </c>
      <c r="B271" s="1169" t="str">
        <f>VLOOKUP(D271,'LA List'!$A$3:$B$500,2,0)</f>
        <v>E1234</v>
      </c>
      <c r="C271" s="1169" t="str">
        <f t="shared" si="8"/>
        <v>E1234EZ1</v>
      </c>
      <c r="D271" s="540" t="s">
        <v>250</v>
      </c>
      <c r="E271" s="540"/>
      <c r="G271" s="1167"/>
      <c r="H271" s="1166"/>
      <c r="I271" s="1165"/>
    </row>
    <row r="272" spans="1:9" x14ac:dyDescent="0.2">
      <c r="A272" s="116">
        <f t="shared" si="9"/>
        <v>1</v>
      </c>
      <c r="B272" s="1169" t="str">
        <f>VLOOKUP(D272,'LA List'!$A$3:$B$500,2,0)</f>
        <v>E1038</v>
      </c>
      <c r="C272" s="1169" t="str">
        <f t="shared" si="8"/>
        <v>E1038EZ1</v>
      </c>
      <c r="D272" s="540" t="s">
        <v>252</v>
      </c>
      <c r="E272" s="540"/>
      <c r="G272" s="1167"/>
      <c r="H272" s="1166"/>
      <c r="I272" s="1165"/>
    </row>
    <row r="273" spans="1:9" x14ac:dyDescent="0.2">
      <c r="A273" s="116">
        <f t="shared" si="9"/>
        <v>1</v>
      </c>
      <c r="B273" s="1169" t="str">
        <f>VLOOKUP(D273,'LA List'!$A$3:$B$500,2,0)</f>
        <v>E2003</v>
      </c>
      <c r="C273" s="1169" t="str">
        <f t="shared" si="8"/>
        <v>E2003EZ1</v>
      </c>
      <c r="D273" s="540" t="s">
        <v>254</v>
      </c>
      <c r="E273" s="540" t="s">
        <v>978</v>
      </c>
      <c r="G273" s="1167"/>
      <c r="H273" s="1166"/>
      <c r="I273" s="1165"/>
    </row>
    <row r="274" spans="1:9" x14ac:dyDescent="0.2">
      <c r="A274" s="116">
        <f t="shared" si="9"/>
        <v>2</v>
      </c>
      <c r="B274" s="1169" t="str">
        <f>VLOOKUP(D274,'LA List'!$A$3:$B$500,2,0)</f>
        <v>E2003</v>
      </c>
      <c r="C274" s="1169" t="str">
        <f t="shared" si="8"/>
        <v>E2003EZ2</v>
      </c>
      <c r="D274" s="540" t="s">
        <v>254</v>
      </c>
      <c r="E274" s="540" t="s">
        <v>979</v>
      </c>
      <c r="G274" s="1167"/>
      <c r="H274" s="1166"/>
      <c r="I274" s="1165"/>
    </row>
    <row r="275" spans="1:9" x14ac:dyDescent="0.2">
      <c r="A275" s="116">
        <f t="shared" si="9"/>
        <v>3</v>
      </c>
      <c r="B275" s="1169" t="str">
        <f>VLOOKUP(D275,'LA List'!$A$3:$B$500,2,0)</f>
        <v>E2003</v>
      </c>
      <c r="C275" s="1169" t="str">
        <f t="shared" si="8"/>
        <v>E2003EZ3</v>
      </c>
      <c r="D275" s="540" t="s">
        <v>254</v>
      </c>
      <c r="E275" s="540" t="s">
        <v>3025</v>
      </c>
      <c r="G275" s="1167"/>
      <c r="H275" s="1166"/>
      <c r="I275" s="1165"/>
    </row>
    <row r="276" spans="1:9" x14ac:dyDescent="0.2">
      <c r="A276" s="116">
        <f t="shared" si="9"/>
        <v>4</v>
      </c>
      <c r="B276" s="1169" t="str">
        <f>VLOOKUP(D276,'LA List'!$A$3:$B$500,2,0)</f>
        <v>E2003</v>
      </c>
      <c r="C276" s="1169" t="str">
        <f t="shared" si="8"/>
        <v>E2003EZ4</v>
      </c>
      <c r="D276" s="540" t="s">
        <v>254</v>
      </c>
      <c r="E276" s="540" t="s">
        <v>3026</v>
      </c>
      <c r="G276" s="1167"/>
      <c r="H276" s="1166"/>
      <c r="I276" s="1165"/>
    </row>
    <row r="277" spans="1:9" x14ac:dyDescent="0.2">
      <c r="A277" s="116">
        <f t="shared" si="9"/>
        <v>5</v>
      </c>
      <c r="B277" s="1169" t="str">
        <f>VLOOKUP(D277,'LA List'!$A$3:$B$500,2,0)</f>
        <v>E2003</v>
      </c>
      <c r="C277" s="1169" t="str">
        <f t="shared" si="8"/>
        <v>E2003EZ5</v>
      </c>
      <c r="D277" s="540" t="s">
        <v>254</v>
      </c>
      <c r="E277" s="540" t="s">
        <v>3027</v>
      </c>
      <c r="G277" s="1167"/>
      <c r="H277" s="1166"/>
      <c r="I277" s="1165"/>
    </row>
    <row r="278" spans="1:9" x14ac:dyDescent="0.2">
      <c r="A278" s="116">
        <f t="shared" si="9"/>
        <v>6</v>
      </c>
      <c r="B278" s="1169" t="str">
        <f>VLOOKUP(D278,'LA List'!$A$3:$B$500,2,0)</f>
        <v>E2003</v>
      </c>
      <c r="C278" s="1169" t="str">
        <f t="shared" si="8"/>
        <v>E2003EZ6</v>
      </c>
      <c r="D278" s="540" t="s">
        <v>254</v>
      </c>
      <c r="E278" s="540" t="s">
        <v>3028</v>
      </c>
      <c r="G278" s="1167"/>
      <c r="H278" s="1166"/>
      <c r="I278" s="1165"/>
    </row>
    <row r="279" spans="1:9" x14ac:dyDescent="0.2">
      <c r="A279" s="116">
        <f t="shared" si="9"/>
        <v>7</v>
      </c>
      <c r="B279" s="1169" t="str">
        <f>VLOOKUP(D279,'LA List'!$A$3:$B$500,2,0)</f>
        <v>E2003</v>
      </c>
      <c r="C279" s="1169" t="str">
        <f t="shared" si="8"/>
        <v>E2003EZ7</v>
      </c>
      <c r="D279" s="540" t="s">
        <v>254</v>
      </c>
      <c r="E279" s="540" t="s">
        <v>3029</v>
      </c>
      <c r="G279" s="1167"/>
      <c r="H279" s="1166"/>
      <c r="I279" s="1165"/>
    </row>
    <row r="280" spans="1:9" x14ac:dyDescent="0.2">
      <c r="A280" s="116">
        <f t="shared" si="9"/>
        <v>8</v>
      </c>
      <c r="B280" s="1169" t="str">
        <f>VLOOKUP(D280,'LA List'!$A$3:$B$500,2,0)</f>
        <v>E2003</v>
      </c>
      <c r="C280" s="1169" t="str">
        <f t="shared" si="8"/>
        <v>E2003EZ8</v>
      </c>
      <c r="D280" s="540" t="s">
        <v>254</v>
      </c>
      <c r="E280" s="540" t="s">
        <v>3030</v>
      </c>
      <c r="G280" s="1167"/>
      <c r="H280" s="1166"/>
      <c r="I280" s="1165"/>
    </row>
    <row r="281" spans="1:9" x14ac:dyDescent="0.2">
      <c r="A281" s="116">
        <f t="shared" si="9"/>
        <v>1</v>
      </c>
      <c r="B281" s="1169" t="str">
        <f>VLOOKUP(D281,'LA List'!$A$3:$B$500,2,0)</f>
        <v>E1935</v>
      </c>
      <c r="C281" s="1169" t="str">
        <f t="shared" si="8"/>
        <v>E1935EZ1</v>
      </c>
      <c r="D281" s="540" t="s">
        <v>256</v>
      </c>
      <c r="E281" s="540"/>
      <c r="G281" s="1167"/>
      <c r="H281" s="1166"/>
      <c r="I281" s="1165"/>
    </row>
    <row r="282" spans="1:9" x14ac:dyDescent="0.2">
      <c r="A282" s="116">
        <f t="shared" si="9"/>
        <v>1</v>
      </c>
      <c r="B282" s="1169" t="str">
        <f>VLOOKUP(D282,'LA List'!$A$3:$B$500,2,0)</f>
        <v>E2534</v>
      </c>
      <c r="C282" s="1169" t="str">
        <f t="shared" si="8"/>
        <v>E2534EZ1</v>
      </c>
      <c r="D282" s="540" t="s">
        <v>258</v>
      </c>
      <c r="E282" s="540"/>
      <c r="G282" s="1167"/>
      <c r="H282" s="1166"/>
      <c r="I282" s="1165"/>
    </row>
    <row r="283" spans="1:9" x14ac:dyDescent="0.2">
      <c r="A283" s="116">
        <f t="shared" si="9"/>
        <v>1</v>
      </c>
      <c r="B283" s="1169" t="str">
        <f>VLOOKUP(D283,'LA List'!$A$3:$B$500,2,0)</f>
        <v>E2004</v>
      </c>
      <c r="C283" s="1169" t="str">
        <f t="shared" si="8"/>
        <v>E2004EZ1</v>
      </c>
      <c r="D283" s="540" t="s">
        <v>260</v>
      </c>
      <c r="E283" s="540" t="s">
        <v>979</v>
      </c>
      <c r="G283" s="1167"/>
      <c r="H283" s="1166"/>
      <c r="I283" s="1165"/>
    </row>
    <row r="284" spans="1:9" x14ac:dyDescent="0.2">
      <c r="A284" s="116">
        <f t="shared" si="9"/>
        <v>2</v>
      </c>
      <c r="B284" s="1169" t="str">
        <f>VLOOKUP(D284,'LA List'!$A$3:$B$500,2,0)</f>
        <v>E2004</v>
      </c>
      <c r="C284" s="1169" t="str">
        <f t="shared" si="8"/>
        <v>E2004EZ2</v>
      </c>
      <c r="D284" s="540" t="s">
        <v>260</v>
      </c>
      <c r="E284" s="540" t="s">
        <v>3031</v>
      </c>
      <c r="G284" s="1167"/>
      <c r="H284" s="1166"/>
      <c r="I284" s="1165"/>
    </row>
    <row r="285" spans="1:9" x14ac:dyDescent="0.2">
      <c r="A285" s="116">
        <f t="shared" si="9"/>
        <v>1</v>
      </c>
      <c r="B285" s="1169" t="str">
        <f>VLOOKUP(D285,'LA List'!$A$3:$B$500,2,0)</f>
        <v>E2635</v>
      </c>
      <c r="C285" s="1169" t="str">
        <f t="shared" si="8"/>
        <v>E2635EZ1</v>
      </c>
      <c r="D285" s="540" t="s">
        <v>262</v>
      </c>
      <c r="E285" s="540" t="s">
        <v>3032</v>
      </c>
      <c r="G285" s="1167"/>
      <c r="H285" s="1166"/>
      <c r="I285" s="1165"/>
    </row>
    <row r="286" spans="1:9" x14ac:dyDescent="0.2">
      <c r="A286" s="116">
        <f t="shared" si="9"/>
        <v>2</v>
      </c>
      <c r="B286" s="1169" t="str">
        <f>VLOOKUP(D286,'LA List'!$A$3:$B$500,2,0)</f>
        <v>E2635</v>
      </c>
      <c r="C286" s="1169" t="str">
        <f t="shared" si="8"/>
        <v>E2635EZ2</v>
      </c>
      <c r="D286" s="540" t="s">
        <v>262</v>
      </c>
      <c r="E286" s="540" t="s">
        <v>3033</v>
      </c>
      <c r="G286" s="1167"/>
      <c r="H286" s="1166"/>
      <c r="I286" s="1165"/>
    </row>
    <row r="287" spans="1:9" x14ac:dyDescent="0.2">
      <c r="A287" s="116">
        <f t="shared" si="9"/>
        <v>1</v>
      </c>
      <c r="B287" s="1169" t="str">
        <f>VLOOKUP(D287,'LA List'!$A$3:$B$500,2,0)</f>
        <v>E0104</v>
      </c>
      <c r="C287" s="1169" t="str">
        <f t="shared" si="8"/>
        <v>E0104EZ1</v>
      </c>
      <c r="D287" s="540" t="s">
        <v>264</v>
      </c>
      <c r="E287" s="540" t="s">
        <v>973</v>
      </c>
      <c r="G287" s="1167"/>
      <c r="H287" s="1166"/>
      <c r="I287" s="1165"/>
    </row>
    <row r="288" spans="1:9" x14ac:dyDescent="0.2">
      <c r="A288" s="116">
        <f t="shared" si="9"/>
        <v>1</v>
      </c>
      <c r="B288" s="1169" t="str">
        <f>VLOOKUP(D288,'LA List'!$A$3:$B$500,2,0)</f>
        <v>E4503</v>
      </c>
      <c r="C288" s="1169" t="str">
        <f t="shared" si="8"/>
        <v>E4503EZ1</v>
      </c>
      <c r="D288" s="540" t="s">
        <v>266</v>
      </c>
      <c r="E288" s="540" t="s">
        <v>995</v>
      </c>
      <c r="G288" s="1167"/>
      <c r="H288" s="1166"/>
      <c r="I288" s="1165"/>
    </row>
    <row r="289" spans="1:9" x14ac:dyDescent="0.2">
      <c r="A289" s="116">
        <f t="shared" si="9"/>
        <v>1</v>
      </c>
      <c r="B289" s="1169" t="str">
        <f>VLOOKUP(D289,'LA List'!$A$3:$B$500,2,0)</f>
        <v>E3731</v>
      </c>
      <c r="C289" s="1169" t="str">
        <f t="shared" si="8"/>
        <v>E3731EZ1</v>
      </c>
      <c r="D289" s="540" t="s">
        <v>268</v>
      </c>
      <c r="E289" s="540"/>
      <c r="G289" s="1167"/>
      <c r="H289" s="1166"/>
      <c r="I289" s="1165"/>
    </row>
    <row r="290" spans="1:9" x14ac:dyDescent="0.2">
      <c r="A290" s="116">
        <f t="shared" si="9"/>
        <v>1</v>
      </c>
      <c r="B290" s="1169" t="str">
        <f>VLOOKUP(D290,'LA List'!$A$3:$B$500,2,0)</f>
        <v>E2437</v>
      </c>
      <c r="C290" s="1169" t="str">
        <f t="shared" si="8"/>
        <v>E2437EZ1</v>
      </c>
      <c r="D290" s="540" t="s">
        <v>286</v>
      </c>
      <c r="E290" s="540"/>
      <c r="G290" s="1167"/>
      <c r="H290" s="1166"/>
      <c r="I290" s="1165"/>
    </row>
    <row r="291" spans="1:9" x14ac:dyDescent="0.2">
      <c r="A291" s="116">
        <f t="shared" si="9"/>
        <v>1</v>
      </c>
      <c r="B291" s="1169" t="str">
        <f>VLOOKUP(D291,'LA List'!$A$3:$B$500,2,0)</f>
        <v>E2835</v>
      </c>
      <c r="C291" s="1169" t="str">
        <f t="shared" si="8"/>
        <v>E2835EZ1</v>
      </c>
      <c r="D291" s="540" t="s">
        <v>288</v>
      </c>
      <c r="E291" s="540" t="s">
        <v>996</v>
      </c>
      <c r="G291" s="1167"/>
      <c r="H291" s="1166"/>
      <c r="I291" s="1165"/>
    </row>
    <row r="292" spans="1:9" x14ac:dyDescent="0.2">
      <c r="A292" s="116">
        <f t="shared" si="9"/>
        <v>1</v>
      </c>
      <c r="B292" s="1169" t="str">
        <f>VLOOKUP(D292,'LA List'!$A$3:$B$500,2,0)</f>
        <v>E2901</v>
      </c>
      <c r="C292" s="1169" t="str">
        <f t="shared" si="8"/>
        <v>E2901EZ1</v>
      </c>
      <c r="D292" s="540" t="s">
        <v>290</v>
      </c>
      <c r="E292" s="540" t="s">
        <v>997</v>
      </c>
      <c r="G292" s="1167"/>
      <c r="H292" s="1166"/>
      <c r="I292" s="1165"/>
    </row>
    <row r="293" spans="1:9" x14ac:dyDescent="0.2">
      <c r="A293" s="116">
        <f t="shared" si="9"/>
        <v>2</v>
      </c>
      <c r="B293" s="1169" t="str">
        <f>VLOOKUP(D293,'LA List'!$A$3:$B$500,2,0)</f>
        <v>E2901</v>
      </c>
      <c r="C293" s="1169" t="str">
        <f t="shared" si="8"/>
        <v>E2901EZ2</v>
      </c>
      <c r="D293" s="540" t="s">
        <v>290</v>
      </c>
      <c r="E293" s="540" t="s">
        <v>3034</v>
      </c>
      <c r="G293" s="1167"/>
      <c r="H293" s="1166"/>
      <c r="I293" s="1165"/>
    </row>
    <row r="294" spans="1:9" x14ac:dyDescent="0.2">
      <c r="A294" s="116">
        <f t="shared" si="9"/>
        <v>3</v>
      </c>
      <c r="B294" s="1169" t="str">
        <f>VLOOKUP(D294,'LA List'!$A$3:$B$500,2,0)</f>
        <v>E2901</v>
      </c>
      <c r="C294" s="1169" t="str">
        <f t="shared" si="8"/>
        <v>E2901EZ3</v>
      </c>
      <c r="D294" s="540" t="s">
        <v>290</v>
      </c>
      <c r="E294" s="540" t="s">
        <v>3035</v>
      </c>
      <c r="G294" s="1167"/>
      <c r="H294" s="1166"/>
      <c r="I294" s="1165"/>
    </row>
    <row r="295" spans="1:9" x14ac:dyDescent="0.2">
      <c r="A295" s="116">
        <f t="shared" si="9"/>
        <v>4</v>
      </c>
      <c r="B295" s="1169" t="str">
        <f>VLOOKUP(D295,'LA List'!$A$3:$B$500,2,0)</f>
        <v>E2901</v>
      </c>
      <c r="C295" s="1169" t="str">
        <f t="shared" si="8"/>
        <v>E2901EZ4</v>
      </c>
      <c r="D295" s="540" t="s">
        <v>290</v>
      </c>
      <c r="E295" s="540" t="s">
        <v>3036</v>
      </c>
      <c r="G295" s="1167"/>
      <c r="H295" s="1166"/>
      <c r="I295" s="1165"/>
    </row>
    <row r="296" spans="1:9" x14ac:dyDescent="0.2">
      <c r="A296" s="116">
        <f t="shared" si="9"/>
        <v>1</v>
      </c>
      <c r="B296" s="1169" t="str">
        <f>VLOOKUP(D296,'LA List'!$A$3:$B$500,2,0)</f>
        <v>E2636</v>
      </c>
      <c r="C296" s="1169" t="str">
        <f t="shared" si="8"/>
        <v>E2636EZ1</v>
      </c>
      <c r="D296" s="540" t="s">
        <v>292</v>
      </c>
      <c r="E296" s="540"/>
      <c r="G296" s="1167"/>
      <c r="H296" s="1166"/>
      <c r="I296" s="1165"/>
    </row>
    <row r="297" spans="1:9" x14ac:dyDescent="0.2">
      <c r="A297" s="116">
        <f t="shared" si="9"/>
        <v>1</v>
      </c>
      <c r="B297" s="1169" t="str">
        <f>VLOOKUP(D297,'LA List'!$A$3:$B$500,2,0)</f>
        <v>E3001</v>
      </c>
      <c r="C297" s="1169" t="str">
        <f t="shared" si="8"/>
        <v>E3001EZ1</v>
      </c>
      <c r="D297" s="540" t="s">
        <v>294</v>
      </c>
      <c r="E297" s="540" t="s">
        <v>998</v>
      </c>
      <c r="G297" s="1167"/>
      <c r="H297" s="1166"/>
      <c r="I297" s="1165"/>
    </row>
    <row r="298" spans="1:9" x14ac:dyDescent="0.2">
      <c r="A298" s="116">
        <f t="shared" si="9"/>
        <v>2</v>
      </c>
      <c r="B298" s="1169" t="str">
        <f>VLOOKUP(D298,'LA List'!$A$3:$B$500,2,0)</f>
        <v>E3001</v>
      </c>
      <c r="C298" s="1169" t="str">
        <f t="shared" si="8"/>
        <v>E3001EZ2</v>
      </c>
      <c r="D298" s="540" t="s">
        <v>294</v>
      </c>
      <c r="E298" s="540" t="s">
        <v>999</v>
      </c>
      <c r="G298" s="1167"/>
      <c r="H298" s="1166"/>
      <c r="I298" s="1165"/>
    </row>
    <row r="299" spans="1:9" x14ac:dyDescent="0.2">
      <c r="A299" s="116">
        <f t="shared" si="9"/>
        <v>1</v>
      </c>
      <c r="B299" s="1169" t="str">
        <f>VLOOKUP(D299,'LA List'!$A$3:$B$500,2,0)</f>
        <v>E3732</v>
      </c>
      <c r="C299" s="1169" t="str">
        <f t="shared" si="8"/>
        <v>E3732EZ1</v>
      </c>
      <c r="D299" s="540" t="s">
        <v>296</v>
      </c>
      <c r="E299" s="540"/>
      <c r="G299" s="1167"/>
      <c r="H299" s="1166"/>
      <c r="I299" s="1165"/>
    </row>
    <row r="300" spans="1:9" x14ac:dyDescent="0.2">
      <c r="A300" s="116">
        <f t="shared" si="9"/>
        <v>1</v>
      </c>
      <c r="B300" s="1169" t="str">
        <f>VLOOKUP(D300,'LA List'!$A$3:$B$500,2,0)</f>
        <v>E2438</v>
      </c>
      <c r="C300" s="1169" t="str">
        <f t="shared" si="8"/>
        <v>E2438EZ1</v>
      </c>
      <c r="D300" s="540" t="s">
        <v>298</v>
      </c>
      <c r="E300" s="540"/>
      <c r="G300" s="1167"/>
      <c r="H300" s="1166"/>
      <c r="I300" s="1165"/>
    </row>
    <row r="301" spans="1:9" x14ac:dyDescent="0.2">
      <c r="A301" s="116">
        <f t="shared" si="9"/>
        <v>1</v>
      </c>
      <c r="B301" s="1169" t="str">
        <f>VLOOKUP(D301,'LA List'!$A$3:$B$500,2,0)</f>
        <v>E4204</v>
      </c>
      <c r="C301" s="1169" t="str">
        <f t="shared" si="8"/>
        <v>E4204EZ1</v>
      </c>
      <c r="D301" s="540" t="s">
        <v>300</v>
      </c>
      <c r="E301" s="540"/>
      <c r="G301" s="1167"/>
      <c r="H301" s="1166"/>
      <c r="I301" s="1165"/>
    </row>
    <row r="302" spans="1:9" x14ac:dyDescent="0.2">
      <c r="A302" s="116">
        <f t="shared" si="9"/>
        <v>1</v>
      </c>
      <c r="B302" s="1169" t="str">
        <f>VLOOKUP(D302,'LA List'!$A$3:$B$500,2,0)</f>
        <v>E3132</v>
      </c>
      <c r="C302" s="1169" t="str">
        <f t="shared" si="8"/>
        <v>E3132EZ1</v>
      </c>
      <c r="D302" s="540" t="s">
        <v>302</v>
      </c>
      <c r="E302" s="540"/>
      <c r="G302" s="1167"/>
      <c r="H302" s="1166"/>
      <c r="I302" s="1165"/>
    </row>
    <row r="303" spans="1:9" x14ac:dyDescent="0.2">
      <c r="A303" s="116">
        <f t="shared" si="9"/>
        <v>1</v>
      </c>
      <c r="B303" s="1169" t="str">
        <f>VLOOKUP(D303,'LA List'!$A$3:$B$500,2,0)</f>
        <v>E2338</v>
      </c>
      <c r="C303" s="1169" t="str">
        <f t="shared" si="8"/>
        <v>E2338EZ1</v>
      </c>
      <c r="D303" s="540" t="s">
        <v>304</v>
      </c>
      <c r="E303" s="540"/>
      <c r="G303" s="1167"/>
      <c r="H303" s="1166"/>
      <c r="I303" s="1165"/>
    </row>
    <row r="304" spans="1:9" x14ac:dyDescent="0.2">
      <c r="A304" s="116">
        <f t="shared" si="9"/>
        <v>1</v>
      </c>
      <c r="B304" s="1169" t="str">
        <f>VLOOKUP(D304,'LA List'!$A$3:$B$500,2,0)</f>
        <v>E0501</v>
      </c>
      <c r="C304" s="1169" t="str">
        <f t="shared" si="8"/>
        <v>E0501EZ1</v>
      </c>
      <c r="D304" s="540" t="s">
        <v>306</v>
      </c>
      <c r="E304" s="540"/>
      <c r="G304" s="1167"/>
      <c r="H304" s="1166"/>
      <c r="I304" s="1165"/>
    </row>
    <row r="305" spans="1:9" x14ac:dyDescent="0.2">
      <c r="A305" s="116">
        <f t="shared" si="9"/>
        <v>1</v>
      </c>
      <c r="B305" s="1169" t="str">
        <f>VLOOKUP(D305,'LA List'!$A$3:$B$500,2,0)</f>
        <v>E1101</v>
      </c>
      <c r="C305" s="1169" t="str">
        <f t="shared" si="8"/>
        <v>E1101EZ1</v>
      </c>
      <c r="D305" s="540" t="s">
        <v>308</v>
      </c>
      <c r="E305" s="540" t="s">
        <v>3037</v>
      </c>
      <c r="G305" s="1167"/>
      <c r="H305" s="1166"/>
      <c r="I305" s="1165"/>
    </row>
    <row r="306" spans="1:9" x14ac:dyDescent="0.2">
      <c r="A306" s="116">
        <f t="shared" si="9"/>
        <v>1</v>
      </c>
      <c r="B306" s="1169" t="str">
        <f>VLOOKUP(D306,'LA List'!$A$3:$B$500,2,0)</f>
        <v>E1201</v>
      </c>
      <c r="C306" s="1169" t="str">
        <f t="shared" si="8"/>
        <v>E1201EZ1</v>
      </c>
      <c r="D306" s="540" t="s">
        <v>310</v>
      </c>
      <c r="E306" s="540"/>
      <c r="G306" s="1167"/>
      <c r="H306" s="1166"/>
      <c r="I306" s="1165"/>
    </row>
    <row r="307" spans="1:9" x14ac:dyDescent="0.2">
      <c r="A307" s="116">
        <f t="shared" si="9"/>
        <v>1</v>
      </c>
      <c r="B307" s="1169" t="str">
        <f>VLOOKUP(D307,'LA List'!$A$3:$B$500,2,0)</f>
        <v>E1701</v>
      </c>
      <c r="C307" s="1169" t="str">
        <f t="shared" si="8"/>
        <v>E1701EZ1</v>
      </c>
      <c r="D307" s="540" t="s">
        <v>312</v>
      </c>
      <c r="E307" s="540"/>
      <c r="G307" s="1167"/>
      <c r="H307" s="1166"/>
      <c r="I307" s="1165"/>
    </row>
    <row r="308" spans="1:9" x14ac:dyDescent="0.2">
      <c r="A308" s="116">
        <f t="shared" si="9"/>
        <v>1</v>
      </c>
      <c r="B308" s="1169" t="str">
        <f>VLOOKUP(D308,'LA List'!$A$3:$B$500,2,0)</f>
        <v>E2339</v>
      </c>
      <c r="C308" s="1169" t="str">
        <f t="shared" si="8"/>
        <v>E2339EZ1</v>
      </c>
      <c r="D308" s="540" t="s">
        <v>314</v>
      </c>
      <c r="E308" s="540"/>
      <c r="G308" s="1167"/>
      <c r="H308" s="1166"/>
      <c r="I308" s="1165"/>
    </row>
    <row r="309" spans="1:9" x14ac:dyDescent="0.2">
      <c r="A309" s="116">
        <f t="shared" si="9"/>
        <v>1</v>
      </c>
      <c r="B309" s="1169" t="str">
        <f>VLOOKUP(D309,'LA List'!$A$3:$B$500,2,0)</f>
        <v>E1236</v>
      </c>
      <c r="C309" s="1169" t="str">
        <f t="shared" si="8"/>
        <v>E1236EZ1</v>
      </c>
      <c r="D309" s="540" t="s">
        <v>316</v>
      </c>
      <c r="E309" s="540" t="s">
        <v>3038</v>
      </c>
      <c r="G309" s="1167"/>
      <c r="H309" s="1166"/>
      <c r="I309" s="1165"/>
    </row>
    <row r="310" spans="1:9" x14ac:dyDescent="0.2">
      <c r="A310" s="116">
        <f t="shared" si="9"/>
        <v>1</v>
      </c>
      <c r="B310" s="1169" t="str">
        <f>VLOOKUP(D310,'LA List'!$A$3:$B$500,2,0)</f>
        <v>E0303</v>
      </c>
      <c r="C310" s="1169" t="str">
        <f t="shared" si="8"/>
        <v>E0303EZ1</v>
      </c>
      <c r="D310" s="540" t="s">
        <v>318</v>
      </c>
      <c r="E310" s="540"/>
      <c r="G310" s="1167"/>
      <c r="H310" s="1166"/>
      <c r="I310" s="1165"/>
    </row>
    <row r="311" spans="1:9" x14ac:dyDescent="0.2">
      <c r="A311" s="116">
        <f t="shared" si="9"/>
        <v>1</v>
      </c>
      <c r="B311" s="1169" t="str">
        <f>VLOOKUP(D311,'LA List'!$A$3:$B$500,2,0)</f>
        <v>E5046</v>
      </c>
      <c r="C311" s="1169" t="str">
        <f t="shared" si="8"/>
        <v>E5046EZ1</v>
      </c>
      <c r="D311" s="540" t="s">
        <v>320</v>
      </c>
      <c r="E311" s="540"/>
      <c r="G311" s="1167"/>
      <c r="H311" s="1166"/>
      <c r="I311" s="1165"/>
    </row>
    <row r="312" spans="1:9" x14ac:dyDescent="0.2">
      <c r="A312" s="116">
        <f t="shared" si="9"/>
        <v>1</v>
      </c>
      <c r="B312" s="1169" t="str">
        <f>VLOOKUP(D312,'LA List'!$A$3:$B$500,2,0)</f>
        <v>E0703</v>
      </c>
      <c r="C312" s="1169" t="str">
        <f t="shared" si="8"/>
        <v>E0703EZ1</v>
      </c>
      <c r="D312" s="540" t="s">
        <v>322</v>
      </c>
      <c r="E312" s="540" t="s">
        <v>985</v>
      </c>
      <c r="G312" s="1167"/>
      <c r="H312" s="1166"/>
      <c r="I312" s="1165"/>
    </row>
    <row r="313" spans="1:9" x14ac:dyDescent="0.2">
      <c r="A313" s="116">
        <f t="shared" si="9"/>
        <v>1</v>
      </c>
      <c r="B313" s="1169" t="str">
        <f>VLOOKUP(D313,'LA List'!$A$3:$B$500,2,0)</f>
        <v>E1835</v>
      </c>
      <c r="C313" s="1169" t="str">
        <f t="shared" si="8"/>
        <v>E1835EZ1</v>
      </c>
      <c r="D313" s="540" t="s">
        <v>324</v>
      </c>
      <c r="E313" s="540"/>
      <c r="G313" s="1167"/>
      <c r="H313" s="1166"/>
      <c r="I313" s="1165"/>
    </row>
    <row r="314" spans="1:9" x14ac:dyDescent="0.2">
      <c r="A314" s="116">
        <f t="shared" si="9"/>
        <v>1</v>
      </c>
      <c r="B314" s="1169" t="str">
        <f>VLOOKUP(D314,'LA List'!$A$3:$B$500,2,0)</f>
        <v>E3635</v>
      </c>
      <c r="C314" s="1169" t="str">
        <f t="shared" si="8"/>
        <v>E3635EZ1</v>
      </c>
      <c r="D314" s="540" t="s">
        <v>326</v>
      </c>
      <c r="E314" s="540"/>
      <c r="G314" s="1167"/>
      <c r="H314" s="1166"/>
      <c r="I314" s="1165"/>
    </row>
    <row r="315" spans="1:9" x14ac:dyDescent="0.2">
      <c r="A315" s="116">
        <f t="shared" si="9"/>
        <v>1</v>
      </c>
      <c r="B315" s="1169" t="str">
        <f>VLOOKUP(D315,'LA List'!$A$3:$B$500,2,0)</f>
        <v>E2340</v>
      </c>
      <c r="C315" s="1169" t="str">
        <f t="shared" si="8"/>
        <v>E2340EZ1</v>
      </c>
      <c r="D315" s="540" t="s">
        <v>328</v>
      </c>
      <c r="E315" s="540" t="s">
        <v>981</v>
      </c>
      <c r="G315" s="1167"/>
      <c r="H315" s="1166"/>
      <c r="I315" s="1165"/>
    </row>
    <row r="316" spans="1:9" x14ac:dyDescent="0.2">
      <c r="A316" s="116">
        <f t="shared" si="9"/>
        <v>1</v>
      </c>
      <c r="B316" s="1169" t="str">
        <f>VLOOKUP(D316,'LA List'!$A$3:$B$500,2,0)</f>
        <v>E5047</v>
      </c>
      <c r="C316" s="1169" t="str">
        <f t="shared" si="8"/>
        <v>E5047EZ1</v>
      </c>
      <c r="D316" s="540" t="s">
        <v>330</v>
      </c>
      <c r="E316" s="540"/>
      <c r="G316" s="1167"/>
      <c r="H316" s="1166"/>
      <c r="I316" s="1165"/>
    </row>
    <row r="317" spans="1:9" x14ac:dyDescent="0.2">
      <c r="A317" s="116">
        <f t="shared" si="9"/>
        <v>1</v>
      </c>
      <c r="B317" s="1169" t="str">
        <f>VLOOKUP(D317,'LA List'!$A$3:$B$500,2,0)</f>
        <v>E2734</v>
      </c>
      <c r="C317" s="1169" t="str">
        <f t="shared" si="8"/>
        <v>E2734EZ1</v>
      </c>
      <c r="D317" s="540" t="s">
        <v>332</v>
      </c>
      <c r="E317" s="540"/>
      <c r="G317" s="1167"/>
      <c r="H317" s="1166"/>
      <c r="I317" s="1165"/>
    </row>
    <row r="318" spans="1:9" x14ac:dyDescent="0.2">
      <c r="A318" s="116">
        <f t="shared" si="9"/>
        <v>1</v>
      </c>
      <c r="B318" s="1169" t="str">
        <f>VLOOKUP(D318,'LA List'!$A$3:$B$500,2,0)</f>
        <v>E4205</v>
      </c>
      <c r="C318" s="1169" t="str">
        <f t="shared" si="8"/>
        <v>E4205EZ1</v>
      </c>
      <c r="D318" s="540" t="s">
        <v>334</v>
      </c>
      <c r="E318" s="540"/>
      <c r="G318" s="1167"/>
      <c r="H318" s="1166"/>
      <c r="I318" s="1165"/>
    </row>
    <row r="319" spans="1:9" x14ac:dyDescent="0.2">
      <c r="A319" s="116">
        <f t="shared" si="9"/>
        <v>1</v>
      </c>
      <c r="B319" s="1169" t="str">
        <f>VLOOKUP(D319,'LA List'!$A$3:$B$500,2,0)</f>
        <v>E1540</v>
      </c>
      <c r="C319" s="1169" t="str">
        <f t="shared" si="8"/>
        <v>E1540EZ1</v>
      </c>
      <c r="D319" s="540" t="s">
        <v>336</v>
      </c>
      <c r="E319" s="540"/>
      <c r="G319" s="1167"/>
      <c r="H319" s="1166"/>
      <c r="I319" s="1165"/>
    </row>
    <row r="320" spans="1:9" x14ac:dyDescent="0.2">
      <c r="A320" s="116">
        <f t="shared" si="9"/>
        <v>1</v>
      </c>
      <c r="B320" s="1169" t="str">
        <f>VLOOKUP(D320,'LA List'!$A$3:$B$500,2,0)</f>
        <v>E2341</v>
      </c>
      <c r="C320" s="1169" t="str">
        <f t="shared" si="8"/>
        <v>E2341EZ1</v>
      </c>
      <c r="D320" s="540" t="s">
        <v>338</v>
      </c>
      <c r="E320" s="540"/>
      <c r="G320" s="1167"/>
      <c r="H320" s="1166"/>
      <c r="I320" s="1165"/>
    </row>
    <row r="321" spans="1:9" x14ac:dyDescent="0.2">
      <c r="A321" s="116">
        <f t="shared" si="9"/>
        <v>1</v>
      </c>
      <c r="B321" s="1169" t="str">
        <f>VLOOKUP(D321,'LA List'!$A$3:$B$500,2,0)</f>
        <v>E1436</v>
      </c>
      <c r="C321" s="1169" t="str">
        <f t="shared" si="8"/>
        <v>E1436EZ1</v>
      </c>
      <c r="D321" s="540" t="s">
        <v>340</v>
      </c>
      <c r="E321" s="540"/>
      <c r="G321" s="1167"/>
      <c r="H321" s="1166"/>
      <c r="I321" s="1165"/>
    </row>
    <row r="322" spans="1:9" x14ac:dyDescent="0.2">
      <c r="A322" s="116">
        <f t="shared" si="9"/>
        <v>1</v>
      </c>
      <c r="B322" s="1169" t="str">
        <f>VLOOKUP(D322,'LA List'!$A$3:$B$500,2,0)</f>
        <v>E4403</v>
      </c>
      <c r="C322" s="1169" t="str">
        <f t="shared" si="8"/>
        <v>E4403EZ1</v>
      </c>
      <c r="D322" s="540" t="s">
        <v>342</v>
      </c>
      <c r="E322" s="540" t="s">
        <v>976</v>
      </c>
      <c r="G322" s="1167"/>
      <c r="H322" s="1166"/>
      <c r="I322" s="1165"/>
    </row>
    <row r="323" spans="1:9" x14ac:dyDescent="0.2">
      <c r="A323" s="116">
        <f t="shared" si="9"/>
        <v>1</v>
      </c>
      <c r="B323" s="1169" t="str">
        <f>VLOOKUP(D323,'LA List'!$A$3:$B$500,2,0)</f>
        <v>E3733</v>
      </c>
      <c r="C323" s="1169" t="str">
        <f t="shared" si="8"/>
        <v>E3733EZ1</v>
      </c>
      <c r="D323" s="540" t="s">
        <v>344</v>
      </c>
      <c r="E323" s="540"/>
      <c r="G323" s="1167"/>
      <c r="H323" s="1166"/>
      <c r="I323" s="1165"/>
    </row>
    <row r="324" spans="1:9" x14ac:dyDescent="0.2">
      <c r="A324" s="116">
        <f t="shared" si="9"/>
        <v>1</v>
      </c>
      <c r="B324" s="1169" t="str">
        <f>VLOOKUP(D324,'LA List'!$A$3:$B$500,2,0)</f>
        <v>E3636</v>
      </c>
      <c r="C324" s="1169" t="str">
        <f t="shared" ref="C324:C387" si="10">CONCATENATE(B324,"EZ",A324)</f>
        <v>E3636EZ1</v>
      </c>
      <c r="D324" s="540" t="s">
        <v>346</v>
      </c>
      <c r="E324" s="540" t="s">
        <v>3039</v>
      </c>
      <c r="G324" s="1167"/>
      <c r="H324" s="1166"/>
      <c r="I324" s="1165"/>
    </row>
    <row r="325" spans="1:9" x14ac:dyDescent="0.2">
      <c r="A325" s="116">
        <f t="shared" ref="A325:A388" si="11">IF(D325=D324,A324+1,1)</f>
        <v>1</v>
      </c>
      <c r="B325" s="1169" t="str">
        <f>VLOOKUP(D325,'LA List'!$A$3:$B$500,2,0)</f>
        <v>E3038</v>
      </c>
      <c r="C325" s="1169" t="str">
        <f t="shared" si="10"/>
        <v>E3038EZ1</v>
      </c>
      <c r="D325" s="540" t="s">
        <v>348</v>
      </c>
      <c r="E325" s="540"/>
      <c r="G325" s="1167"/>
      <c r="H325" s="1166"/>
      <c r="I325" s="1165"/>
    </row>
    <row r="326" spans="1:9" x14ac:dyDescent="0.2">
      <c r="A326" s="116">
        <f t="shared" si="11"/>
        <v>1</v>
      </c>
      <c r="B326" s="1169" t="str">
        <f>VLOOKUP(D326,'LA List'!$A$3:$B$500,2,0)</f>
        <v>E1740</v>
      </c>
      <c r="C326" s="1169" t="str">
        <f t="shared" si="10"/>
        <v>E1740EZ1</v>
      </c>
      <c r="D326" s="540" t="s">
        <v>350</v>
      </c>
      <c r="E326" s="540"/>
      <c r="G326" s="1167"/>
      <c r="H326" s="1166"/>
      <c r="I326" s="1165"/>
    </row>
    <row r="327" spans="1:9" x14ac:dyDescent="0.2">
      <c r="A327" s="116">
        <f t="shared" si="11"/>
        <v>1</v>
      </c>
      <c r="B327" s="1169" t="str">
        <f>VLOOKUP(D327,'LA List'!$A$3:$B$500,2,0)</f>
        <v>E2402</v>
      </c>
      <c r="C327" s="1169" t="str">
        <f t="shared" si="10"/>
        <v>E2402EZ1</v>
      </c>
      <c r="D327" s="540" t="s">
        <v>352</v>
      </c>
      <c r="E327" s="540"/>
      <c r="G327" s="1167"/>
      <c r="H327" s="1166"/>
      <c r="I327" s="1165"/>
    </row>
    <row r="328" spans="1:9" x14ac:dyDescent="0.2">
      <c r="A328" s="116">
        <f t="shared" si="11"/>
        <v>1</v>
      </c>
      <c r="B328" s="1169" t="str">
        <f>VLOOKUP(D328,'LA List'!$A$3:$B$500,2,0)</f>
        <v>E2755</v>
      </c>
      <c r="C328" s="1169" t="str">
        <f t="shared" si="10"/>
        <v>E2755EZ1</v>
      </c>
      <c r="D328" s="540" t="s">
        <v>354</v>
      </c>
      <c r="E328" s="540"/>
      <c r="G328" s="1167"/>
      <c r="H328" s="1166"/>
      <c r="I328" s="1165"/>
    </row>
    <row r="329" spans="1:9" x14ac:dyDescent="0.2">
      <c r="A329" s="116">
        <f t="shared" si="11"/>
        <v>1</v>
      </c>
      <c r="B329" s="1169" t="str">
        <f>VLOOKUP(D329,'LA List'!$A$3:$B$500,2,0)</f>
        <v>E4206</v>
      </c>
      <c r="C329" s="1169" t="str">
        <f t="shared" si="10"/>
        <v>E4206EZ1</v>
      </c>
      <c r="D329" s="540" t="s">
        <v>356</v>
      </c>
      <c r="E329" s="540"/>
      <c r="G329" s="1167"/>
      <c r="H329" s="1166"/>
      <c r="I329" s="1165"/>
    </row>
    <row r="330" spans="1:9" x14ac:dyDescent="0.2">
      <c r="A330" s="116">
        <f t="shared" si="11"/>
        <v>1</v>
      </c>
      <c r="B330" s="1169" t="str">
        <f>VLOOKUP(D330,'LA List'!$A$3:$B$500,2,0)</f>
        <v>E4604</v>
      </c>
      <c r="C330" s="1169" t="str">
        <f t="shared" si="10"/>
        <v>E4604EZ1</v>
      </c>
      <c r="D330" s="540" t="s">
        <v>358</v>
      </c>
      <c r="E330" s="540"/>
      <c r="G330" s="1167"/>
      <c r="H330" s="1166"/>
      <c r="I330" s="1165"/>
    </row>
    <row r="331" spans="1:9" x14ac:dyDescent="0.2">
      <c r="A331" s="116">
        <f t="shared" si="11"/>
        <v>1</v>
      </c>
      <c r="B331" s="1169" t="str">
        <f>VLOOKUP(D331,'LA List'!$A$3:$B$500,2,0)</f>
        <v>E2736</v>
      </c>
      <c r="C331" s="1169" t="str">
        <f t="shared" si="10"/>
        <v>E2736EZ1</v>
      </c>
      <c r="D331" s="540" t="s">
        <v>360</v>
      </c>
      <c r="E331" s="540"/>
      <c r="G331" s="1167"/>
      <c r="H331" s="1166"/>
      <c r="I331" s="1165"/>
    </row>
    <row r="332" spans="1:9" x14ac:dyDescent="0.2">
      <c r="A332" s="116">
        <f t="shared" si="11"/>
        <v>1</v>
      </c>
      <c r="B332" s="1169" t="str">
        <f>VLOOKUP(D332,'LA List'!$A$3:$B$500,2,0)</f>
        <v>E3332</v>
      </c>
      <c r="C332" s="1169" t="str">
        <f t="shared" si="10"/>
        <v>E3332EZ1</v>
      </c>
      <c r="D332" s="540" t="s">
        <v>362</v>
      </c>
      <c r="E332" s="540" t="s">
        <v>3040</v>
      </c>
      <c r="G332" s="1167"/>
      <c r="H332" s="1166"/>
      <c r="I332" s="1165"/>
    </row>
    <row r="333" spans="1:9" x14ac:dyDescent="0.2">
      <c r="A333" s="116">
        <f t="shared" si="11"/>
        <v>1</v>
      </c>
      <c r="B333" s="1169" t="str">
        <f>VLOOKUP(D333,'LA List'!$A$3:$B$500,2,0)</f>
        <v>E4304</v>
      </c>
      <c r="C333" s="1169" t="str">
        <f t="shared" si="10"/>
        <v>E4304EZ1</v>
      </c>
      <c r="D333" s="540" t="s">
        <v>364</v>
      </c>
      <c r="E333" s="540"/>
      <c r="G333" s="1167"/>
      <c r="H333" s="1166"/>
      <c r="I333" s="1165"/>
    </row>
    <row r="334" spans="1:9" x14ac:dyDescent="0.2">
      <c r="A334" s="116">
        <f t="shared" si="11"/>
        <v>1</v>
      </c>
      <c r="B334" s="1169" t="str">
        <f>VLOOKUP(D334,'LA List'!$A$3:$B$500,2,0)</f>
        <v>E2757</v>
      </c>
      <c r="C334" s="1169" t="str">
        <f t="shared" si="10"/>
        <v>E2757EZ1</v>
      </c>
      <c r="D334" s="540" t="s">
        <v>366</v>
      </c>
      <c r="E334" s="540"/>
      <c r="G334" s="1167"/>
      <c r="H334" s="1166"/>
      <c r="I334" s="1165"/>
    </row>
    <row r="335" spans="1:9" x14ac:dyDescent="0.2">
      <c r="A335" s="116">
        <f t="shared" si="11"/>
        <v>1</v>
      </c>
      <c r="B335" s="1169" t="str">
        <f>VLOOKUP(D335,'LA List'!$A$3:$B$500,2,0)</f>
        <v>E2239</v>
      </c>
      <c r="C335" s="1169" t="str">
        <f t="shared" si="10"/>
        <v>E2239EZ1</v>
      </c>
      <c r="D335" s="540" t="s">
        <v>368</v>
      </c>
      <c r="E335" s="540"/>
      <c r="G335" s="1167"/>
      <c r="H335" s="1166"/>
      <c r="I335" s="1165"/>
    </row>
    <row r="336" spans="1:9" x14ac:dyDescent="0.2">
      <c r="A336" s="116">
        <f t="shared" si="11"/>
        <v>1</v>
      </c>
      <c r="B336" s="1169" t="str">
        <f>VLOOKUP(D336,'LA List'!$A$3:$B$500,2,0)</f>
        <v>E4404</v>
      </c>
      <c r="C336" s="1169" t="str">
        <f t="shared" si="10"/>
        <v>E4404EZ1</v>
      </c>
      <c r="D336" s="540" t="s">
        <v>370</v>
      </c>
      <c r="E336" s="540" t="s">
        <v>976</v>
      </c>
      <c r="G336" s="1167"/>
      <c r="H336" s="1166"/>
      <c r="I336" s="1165"/>
    </row>
    <row r="337" spans="1:9" x14ac:dyDescent="0.2">
      <c r="A337" s="116">
        <f t="shared" si="11"/>
        <v>2</v>
      </c>
      <c r="B337" s="1169" t="str">
        <f>VLOOKUP(D337,'LA List'!$A$3:$B$500,2,0)</f>
        <v>E4404</v>
      </c>
      <c r="C337" s="1169" t="str">
        <f t="shared" si="10"/>
        <v>E4404EZ2</v>
      </c>
      <c r="D337" s="540" t="s">
        <v>370</v>
      </c>
      <c r="E337" s="540" t="s">
        <v>982</v>
      </c>
      <c r="G337" s="1167"/>
      <c r="H337" s="1166"/>
      <c r="I337" s="1165"/>
    </row>
    <row r="338" spans="1:9" x14ac:dyDescent="0.2">
      <c r="A338" s="116">
        <f t="shared" si="11"/>
        <v>1</v>
      </c>
      <c r="B338" s="1169" t="str">
        <f>VLOOKUP(D338,'LA List'!$A$3:$B$500,2,0)</f>
        <v>E2240</v>
      </c>
      <c r="C338" s="1169" t="str">
        <f t="shared" si="10"/>
        <v>E2240EZ1</v>
      </c>
      <c r="D338" s="540" t="s">
        <v>372</v>
      </c>
      <c r="E338" s="540"/>
      <c r="G338" s="1167"/>
      <c r="H338" s="1166"/>
      <c r="I338" s="1165"/>
    </row>
    <row r="339" spans="1:9" x14ac:dyDescent="0.2">
      <c r="A339" s="116">
        <f t="shared" si="11"/>
        <v>1</v>
      </c>
      <c r="B339" s="1169" t="str">
        <f>VLOOKUP(D339,'LA List'!$A$3:$B$500,2,0)</f>
        <v>E3202</v>
      </c>
      <c r="C339" s="1169" t="str">
        <f t="shared" si="10"/>
        <v>E3202EZ1</v>
      </c>
      <c r="D339" s="540" t="s">
        <v>374</v>
      </c>
      <c r="E339" s="540"/>
      <c r="G339" s="1167"/>
      <c r="H339" s="1166"/>
      <c r="I339" s="1165"/>
    </row>
    <row r="340" spans="1:9" x14ac:dyDescent="0.2">
      <c r="A340" s="116">
        <f t="shared" si="11"/>
        <v>1</v>
      </c>
      <c r="B340" s="1169" t="str">
        <f>VLOOKUP(D340,'LA List'!$A$3:$B$500,2,0)</f>
        <v>E0304</v>
      </c>
      <c r="C340" s="1169" t="str">
        <f t="shared" si="10"/>
        <v>E0304EZ1</v>
      </c>
      <c r="D340" s="540" t="s">
        <v>376</v>
      </c>
      <c r="E340" s="540"/>
      <c r="G340" s="1167"/>
      <c r="H340" s="1166"/>
      <c r="I340" s="1165"/>
    </row>
    <row r="341" spans="1:9" x14ac:dyDescent="0.2">
      <c r="A341" s="116">
        <f t="shared" si="11"/>
        <v>1</v>
      </c>
      <c r="B341" s="1169" t="str">
        <f>VLOOKUP(D341,'LA List'!$A$3:$B$500,2,0)</f>
        <v>E4605</v>
      </c>
      <c r="C341" s="1169" t="str">
        <f t="shared" si="10"/>
        <v>E4605EZ1</v>
      </c>
      <c r="D341" s="540" t="s">
        <v>378</v>
      </c>
      <c r="E341" s="540"/>
      <c r="G341" s="1167"/>
      <c r="H341" s="1166"/>
      <c r="I341" s="1165"/>
    </row>
    <row r="342" spans="1:9" x14ac:dyDescent="0.2">
      <c r="A342" s="116">
        <f t="shared" si="11"/>
        <v>1</v>
      </c>
      <c r="B342" s="1169" t="str">
        <f>VLOOKUP(D342,'LA List'!$A$3:$B$500,2,0)</f>
        <v>E0434</v>
      </c>
      <c r="C342" s="1169" t="str">
        <f t="shared" si="10"/>
        <v>E0434EZ1</v>
      </c>
      <c r="D342" s="540" t="s">
        <v>380</v>
      </c>
      <c r="E342" s="540"/>
      <c r="G342" s="1167"/>
      <c r="H342" s="1166"/>
      <c r="I342" s="1165"/>
    </row>
    <row r="343" spans="1:9" x14ac:dyDescent="0.2">
      <c r="A343" s="116">
        <f t="shared" si="11"/>
        <v>1</v>
      </c>
      <c r="B343" s="1169" t="str">
        <f>VLOOKUP(D343,'LA List'!$A$3:$B$500,2,0)</f>
        <v>E0536</v>
      </c>
      <c r="C343" s="1169" t="str">
        <f t="shared" si="10"/>
        <v>E0536EZ1</v>
      </c>
      <c r="D343" s="540" t="s">
        <v>382</v>
      </c>
      <c r="E343" s="540" t="s">
        <v>3041</v>
      </c>
      <c r="G343" s="1167"/>
      <c r="H343" s="1166"/>
      <c r="I343" s="1165"/>
    </row>
    <row r="344" spans="1:9" x14ac:dyDescent="0.2">
      <c r="A344" s="116">
        <f t="shared" si="11"/>
        <v>2</v>
      </c>
      <c r="B344" s="1169" t="str">
        <f>VLOOKUP(D344,'LA List'!$A$3:$B$500,2,0)</f>
        <v>E0536</v>
      </c>
      <c r="C344" s="1169" t="str">
        <f t="shared" si="10"/>
        <v>E0536EZ2</v>
      </c>
      <c r="D344" s="540" t="s">
        <v>382</v>
      </c>
      <c r="E344" s="540" t="s">
        <v>3042</v>
      </c>
      <c r="G344" s="1167"/>
      <c r="H344" s="1166"/>
      <c r="I344" s="1165"/>
    </row>
    <row r="345" spans="1:9" x14ac:dyDescent="0.2">
      <c r="A345" s="116">
        <f t="shared" si="11"/>
        <v>3</v>
      </c>
      <c r="B345" s="1169" t="str">
        <f>VLOOKUP(D345,'LA List'!$A$3:$B$500,2,0)</f>
        <v>E0536</v>
      </c>
      <c r="C345" s="1169" t="str">
        <f t="shared" si="10"/>
        <v>E0536EZ3</v>
      </c>
      <c r="D345" s="540" t="s">
        <v>382</v>
      </c>
      <c r="E345" s="540" t="s">
        <v>3043</v>
      </c>
      <c r="G345" s="1167"/>
      <c r="H345" s="1166"/>
      <c r="I345" s="1165"/>
    </row>
    <row r="346" spans="1:9" x14ac:dyDescent="0.2">
      <c r="A346" s="116">
        <f t="shared" si="11"/>
        <v>1</v>
      </c>
      <c r="B346" s="1169" t="str">
        <f>VLOOKUP(D346,'LA List'!$A$3:$B$500,2,0)</f>
        <v>E1039</v>
      </c>
      <c r="C346" s="1169" t="str">
        <f t="shared" si="10"/>
        <v>E1039EZ1</v>
      </c>
      <c r="D346" s="540" t="s">
        <v>384</v>
      </c>
      <c r="E346" s="540"/>
      <c r="G346" s="1167"/>
      <c r="H346" s="1166"/>
      <c r="I346" s="1165"/>
    </row>
    <row r="347" spans="1:9" x14ac:dyDescent="0.2">
      <c r="A347" s="116">
        <f t="shared" si="11"/>
        <v>1</v>
      </c>
      <c r="B347" s="1169" t="str">
        <f>VLOOKUP(D347,'LA List'!$A$3:$B$500,2,0)</f>
        <v>E0103</v>
      </c>
      <c r="C347" s="1169" t="str">
        <f t="shared" si="10"/>
        <v>E0103EZ1</v>
      </c>
      <c r="D347" s="540" t="s">
        <v>386</v>
      </c>
      <c r="E347" s="540" t="s">
        <v>973</v>
      </c>
      <c r="G347" s="1167"/>
      <c r="H347" s="1166"/>
      <c r="I347" s="1165"/>
    </row>
    <row r="348" spans="1:9" x14ac:dyDescent="0.2">
      <c r="A348" s="116">
        <f t="shared" si="11"/>
        <v>1</v>
      </c>
      <c r="B348" s="1169" t="str">
        <f>VLOOKUP(D348,'LA List'!$A$3:$B$500,2,0)</f>
        <v>E1136</v>
      </c>
      <c r="C348" s="1169" t="str">
        <f t="shared" si="10"/>
        <v>E1136EZ1</v>
      </c>
      <c r="D348" s="540" t="s">
        <v>388</v>
      </c>
      <c r="E348" s="540"/>
      <c r="G348" s="1167"/>
      <c r="H348" s="1166"/>
      <c r="I348" s="1165"/>
    </row>
    <row r="349" spans="1:9" x14ac:dyDescent="0.2">
      <c r="A349" s="116">
        <f t="shared" si="11"/>
        <v>1</v>
      </c>
      <c r="B349" s="1169" t="str">
        <f>VLOOKUP(D349,'LA List'!$A$3:$B$500,2,0)</f>
        <v>E2535</v>
      </c>
      <c r="C349" s="1169" t="str">
        <f t="shared" si="10"/>
        <v>E2535EZ1</v>
      </c>
      <c r="D349" s="540" t="s">
        <v>390</v>
      </c>
      <c r="E349" s="540"/>
      <c r="G349" s="1167"/>
      <c r="H349" s="1166"/>
      <c r="I349" s="1165"/>
    </row>
    <row r="350" spans="1:9" x14ac:dyDescent="0.2">
      <c r="A350" s="116">
        <f t="shared" si="11"/>
        <v>1</v>
      </c>
      <c r="B350" s="1169" t="str">
        <f>VLOOKUP(D350,'LA List'!$A$3:$B$500,2,0)</f>
        <v>E2536</v>
      </c>
      <c r="C350" s="1169" t="str">
        <f t="shared" si="10"/>
        <v>E2536EZ1</v>
      </c>
      <c r="D350" s="540" t="s">
        <v>392</v>
      </c>
      <c r="E350" s="540"/>
      <c r="G350" s="1167"/>
      <c r="H350" s="1166"/>
      <c r="I350" s="1165"/>
    </row>
    <row r="351" spans="1:9" x14ac:dyDescent="0.2">
      <c r="A351" s="116">
        <f t="shared" si="11"/>
        <v>1</v>
      </c>
      <c r="B351" s="1169" t="str">
        <f>VLOOKUP(D351,'LA List'!$A$3:$B$500,2,0)</f>
        <v>E0936</v>
      </c>
      <c r="C351" s="1169" t="str">
        <f t="shared" si="10"/>
        <v>E0936EZ1</v>
      </c>
      <c r="D351" s="540" t="s">
        <v>394</v>
      </c>
      <c r="E351" s="540"/>
      <c r="G351" s="1167"/>
      <c r="H351" s="1166"/>
      <c r="I351" s="1165"/>
    </row>
    <row r="352" spans="1:9" x14ac:dyDescent="0.2">
      <c r="A352" s="116">
        <f t="shared" si="11"/>
        <v>1</v>
      </c>
      <c r="B352" s="1169" t="str">
        <f>VLOOKUP(D352,'LA List'!$A$3:$B$500,2,0)</f>
        <v>E2637</v>
      </c>
      <c r="C352" s="1169" t="str">
        <f t="shared" si="10"/>
        <v>E2637EZ1</v>
      </c>
      <c r="D352" s="540" t="s">
        <v>396</v>
      </c>
      <c r="E352" s="540" t="s">
        <v>3044</v>
      </c>
      <c r="G352" s="1167"/>
      <c r="H352" s="1166"/>
      <c r="I352" s="1165"/>
    </row>
    <row r="353" spans="1:9" x14ac:dyDescent="0.2">
      <c r="A353" s="116">
        <f t="shared" si="11"/>
        <v>1</v>
      </c>
      <c r="B353" s="1169" t="str">
        <f>VLOOKUP(D353,'LA List'!$A$3:$B$500,2,0)</f>
        <v>E2836</v>
      </c>
      <c r="C353" s="1169" t="str">
        <f t="shared" si="10"/>
        <v>E2836EZ1</v>
      </c>
      <c r="D353" s="540" t="s">
        <v>398</v>
      </c>
      <c r="E353" s="540"/>
      <c r="G353" s="1167"/>
      <c r="H353" s="1166"/>
      <c r="I353" s="1165"/>
    </row>
    <row r="354" spans="1:9" x14ac:dyDescent="0.2">
      <c r="A354" s="116">
        <f t="shared" si="11"/>
        <v>1</v>
      </c>
      <c r="B354" s="1169" t="str">
        <f>VLOOKUP(D354,'LA List'!$A$3:$B$500,2,0)</f>
        <v>E3133</v>
      </c>
      <c r="C354" s="1169" t="str">
        <f t="shared" si="10"/>
        <v>E3133EZ1</v>
      </c>
      <c r="D354" s="540" t="s">
        <v>400</v>
      </c>
      <c r="E354" s="540" t="s">
        <v>3045</v>
      </c>
      <c r="G354" s="1167"/>
      <c r="H354" s="1166"/>
      <c r="I354" s="1165"/>
    </row>
    <row r="355" spans="1:9" x14ac:dyDescent="0.2">
      <c r="A355" s="116">
        <f t="shared" si="11"/>
        <v>2</v>
      </c>
      <c r="B355" s="1169" t="str">
        <f>VLOOKUP(D355,'LA List'!$A$3:$B$500,2,0)</f>
        <v>E3133</v>
      </c>
      <c r="C355" s="1169" t="str">
        <f t="shared" si="10"/>
        <v>E3133EZ2</v>
      </c>
      <c r="D355" s="540" t="s">
        <v>400</v>
      </c>
      <c r="E355" s="540" t="s">
        <v>3046</v>
      </c>
      <c r="G355" s="1167"/>
      <c r="H355" s="1166"/>
      <c r="I355" s="1165"/>
    </row>
    <row r="356" spans="1:9" x14ac:dyDescent="0.2">
      <c r="A356" s="116">
        <f t="shared" si="11"/>
        <v>3</v>
      </c>
      <c r="B356" s="1169" t="str">
        <f>VLOOKUP(D356,'LA List'!$A$3:$B$500,2,0)</f>
        <v>E3133</v>
      </c>
      <c r="C356" s="1169" t="str">
        <f t="shared" si="10"/>
        <v>E3133EZ3</v>
      </c>
      <c r="D356" s="540" t="s">
        <v>400</v>
      </c>
      <c r="E356" s="540" t="s">
        <v>3047</v>
      </c>
      <c r="G356" s="1167"/>
      <c r="H356" s="1166"/>
      <c r="I356" s="1165"/>
    </row>
    <row r="357" spans="1:9" x14ac:dyDescent="0.2">
      <c r="A357" s="116">
        <f t="shared" si="11"/>
        <v>4</v>
      </c>
      <c r="B357" s="1169" t="str">
        <f>VLOOKUP(D357,'LA List'!$A$3:$B$500,2,0)</f>
        <v>E3133</v>
      </c>
      <c r="C357" s="1169" t="str">
        <f t="shared" si="10"/>
        <v>E3133EZ4</v>
      </c>
      <c r="D357" s="540" t="s">
        <v>400</v>
      </c>
      <c r="E357" s="540" t="s">
        <v>3048</v>
      </c>
      <c r="G357" s="1167"/>
      <c r="H357" s="1166"/>
      <c r="I357" s="1165"/>
    </row>
    <row r="358" spans="1:9" x14ac:dyDescent="0.2">
      <c r="A358" s="116">
        <f t="shared" si="11"/>
        <v>1</v>
      </c>
      <c r="B358" s="1169" t="str">
        <f>VLOOKUP(D358,'LA List'!$A$3:$B$500,2,0)</f>
        <v>E2342</v>
      </c>
      <c r="C358" s="1169" t="str">
        <f t="shared" si="10"/>
        <v>E2342EZ1</v>
      </c>
      <c r="D358" s="540" t="s">
        <v>402</v>
      </c>
      <c r="E358" s="540" t="s">
        <v>981</v>
      </c>
      <c r="G358" s="1167"/>
      <c r="H358" s="1166"/>
      <c r="I358" s="1165"/>
    </row>
    <row r="359" spans="1:9" x14ac:dyDescent="0.2">
      <c r="A359" s="116">
        <f t="shared" si="11"/>
        <v>1</v>
      </c>
      <c r="B359" s="1169" t="str">
        <f>VLOOKUP(D359,'LA List'!$A$3:$B$500,2,0)</f>
        <v>E3334</v>
      </c>
      <c r="C359" s="1169" t="str">
        <f t="shared" si="10"/>
        <v>E3334EZ1</v>
      </c>
      <c r="D359" s="540" t="s">
        <v>404</v>
      </c>
      <c r="E359" s="540"/>
      <c r="G359" s="1167"/>
      <c r="H359" s="1166"/>
      <c r="I359" s="1165"/>
    </row>
    <row r="360" spans="1:9" x14ac:dyDescent="0.2">
      <c r="A360" s="116">
        <f t="shared" si="11"/>
        <v>1</v>
      </c>
      <c r="B360" s="1169" t="str">
        <f>VLOOKUP(D360,'LA List'!$A$3:$B$500,2,0)</f>
        <v>E3435</v>
      </c>
      <c r="C360" s="1169" t="str">
        <f t="shared" si="10"/>
        <v>E3435EZ1</v>
      </c>
      <c r="D360" s="540" t="s">
        <v>406</v>
      </c>
      <c r="E360" s="540" t="s">
        <v>1000</v>
      </c>
      <c r="G360" s="1167"/>
      <c r="H360" s="1166"/>
      <c r="I360" s="1165"/>
    </row>
    <row r="361" spans="1:9" x14ac:dyDescent="0.2">
      <c r="A361" s="116">
        <f t="shared" si="11"/>
        <v>1</v>
      </c>
      <c r="B361" s="1169" t="str">
        <f>VLOOKUP(D361,'LA List'!$A$3:$B$500,2,0)</f>
        <v>E4504</v>
      </c>
      <c r="C361" s="1169" t="str">
        <f t="shared" si="10"/>
        <v>E4504EZ1</v>
      </c>
      <c r="D361" s="540" t="s">
        <v>408</v>
      </c>
      <c r="E361" s="540" t="s">
        <v>3049</v>
      </c>
      <c r="G361" s="1167"/>
      <c r="H361" s="1166"/>
      <c r="I361" s="1165"/>
    </row>
    <row r="362" spans="1:9" x14ac:dyDescent="0.2">
      <c r="A362" s="116">
        <f t="shared" si="11"/>
        <v>2</v>
      </c>
      <c r="B362" s="1169" t="str">
        <f>VLOOKUP(D362,'LA List'!$A$3:$B$500,2,0)</f>
        <v>E4504</v>
      </c>
      <c r="C362" s="1169" t="str">
        <f t="shared" si="10"/>
        <v>E4504EZ2</v>
      </c>
      <c r="D362" s="540" t="s">
        <v>408</v>
      </c>
      <c r="E362" s="540" t="s">
        <v>3050</v>
      </c>
      <c r="G362" s="1167"/>
      <c r="H362" s="1166"/>
      <c r="I362" s="1165"/>
    </row>
    <row r="363" spans="1:9" x14ac:dyDescent="0.2">
      <c r="A363" s="116">
        <f t="shared" si="11"/>
        <v>1</v>
      </c>
      <c r="B363" s="1169" t="str">
        <f>VLOOKUP(D363,'LA List'!$A$3:$B$500,2,0)</f>
        <v>E1702</v>
      </c>
      <c r="C363" s="1169" t="str">
        <f t="shared" si="10"/>
        <v>E1702EZ1</v>
      </c>
      <c r="D363" s="540" t="s">
        <v>410</v>
      </c>
      <c r="E363" s="540"/>
      <c r="G363" s="1167"/>
      <c r="H363" s="1166"/>
      <c r="I363" s="1165"/>
    </row>
    <row r="364" spans="1:9" x14ac:dyDescent="0.2">
      <c r="A364" s="116">
        <f t="shared" si="11"/>
        <v>1</v>
      </c>
      <c r="B364" s="1169" t="str">
        <f>VLOOKUP(D364,'LA List'!$A$3:$B$500,2,0)</f>
        <v>E1501</v>
      </c>
      <c r="C364" s="1169" t="str">
        <f t="shared" si="10"/>
        <v>E1501EZ1</v>
      </c>
      <c r="D364" s="540" t="s">
        <v>412</v>
      </c>
      <c r="E364" s="540"/>
      <c r="G364" s="1167"/>
      <c r="H364" s="1166"/>
      <c r="I364" s="1165"/>
    </row>
    <row r="365" spans="1:9" x14ac:dyDescent="0.2">
      <c r="A365" s="116">
        <f t="shared" si="11"/>
        <v>1</v>
      </c>
      <c r="B365" s="1169" t="str">
        <f>VLOOKUP(D365,'LA List'!$A$3:$B$500,2,0)</f>
        <v>E5019</v>
      </c>
      <c r="C365" s="1169" t="str">
        <f t="shared" si="10"/>
        <v>E5019EZ1</v>
      </c>
      <c r="D365" s="540" t="s">
        <v>414</v>
      </c>
      <c r="E365" s="540"/>
      <c r="G365" s="1167"/>
      <c r="H365" s="1166"/>
      <c r="I365" s="1165"/>
    </row>
    <row r="366" spans="1:9" x14ac:dyDescent="0.2">
      <c r="A366" s="116">
        <f t="shared" si="11"/>
        <v>1</v>
      </c>
      <c r="B366" s="1169" t="str">
        <f>VLOOKUP(D366,'LA List'!$A$3:$B$500,2,0)</f>
        <v>E3637</v>
      </c>
      <c r="C366" s="1169" t="str">
        <f t="shared" si="10"/>
        <v>E3637EZ1</v>
      </c>
      <c r="D366" s="540" t="s">
        <v>416</v>
      </c>
      <c r="E366" s="540"/>
      <c r="G366" s="1167"/>
      <c r="H366" s="1166"/>
      <c r="I366" s="1165"/>
    </row>
    <row r="367" spans="1:9" x14ac:dyDescent="0.2">
      <c r="A367" s="116">
        <f t="shared" si="11"/>
        <v>1</v>
      </c>
      <c r="B367" s="1169" t="str">
        <f>VLOOKUP(D367,'LA List'!$A$3:$B$500,2,0)</f>
        <v>E1936</v>
      </c>
      <c r="C367" s="1169" t="str">
        <f t="shared" si="10"/>
        <v>E1936EZ1</v>
      </c>
      <c r="D367" s="540" t="s">
        <v>418</v>
      </c>
      <c r="E367" s="540" t="s">
        <v>3051</v>
      </c>
      <c r="G367" s="1167"/>
      <c r="H367" s="1166"/>
      <c r="I367" s="1165"/>
    </row>
    <row r="368" spans="1:9" x14ac:dyDescent="0.2">
      <c r="A368" s="116">
        <f t="shared" si="11"/>
        <v>2</v>
      </c>
      <c r="B368" s="1169" t="str">
        <f>VLOOKUP(D368,'LA List'!$A$3:$B$500,2,0)</f>
        <v>E1936</v>
      </c>
      <c r="C368" s="1169" t="str">
        <f t="shared" si="10"/>
        <v>E1936EZ2</v>
      </c>
      <c r="D368" s="540" t="s">
        <v>418</v>
      </c>
      <c r="E368" s="540" t="s">
        <v>3052</v>
      </c>
      <c r="G368" s="1167"/>
      <c r="H368" s="1166"/>
      <c r="I368" s="1165"/>
    </row>
    <row r="369" spans="1:9" x14ac:dyDescent="0.2">
      <c r="A369" s="116">
        <f t="shared" si="11"/>
        <v>3</v>
      </c>
      <c r="B369" s="1169" t="str">
        <f>VLOOKUP(D369,'LA List'!$A$3:$B$500,2,0)</f>
        <v>E1936</v>
      </c>
      <c r="C369" s="1169" t="str">
        <f t="shared" si="10"/>
        <v>E1936EZ3</v>
      </c>
      <c r="D369" s="540" t="s">
        <v>418</v>
      </c>
      <c r="E369" s="540" t="s">
        <v>3053</v>
      </c>
      <c r="G369" s="1167"/>
      <c r="H369" s="1166"/>
      <c r="I369" s="1165"/>
    </row>
    <row r="370" spans="1:9" x14ac:dyDescent="0.2">
      <c r="A370" s="116">
        <f t="shared" si="11"/>
        <v>1</v>
      </c>
      <c r="B370" s="1169" t="str">
        <f>VLOOKUP(D370,'LA List'!$A$3:$B$500,2,0)</f>
        <v>E3535</v>
      </c>
      <c r="C370" s="1169" t="str">
        <f t="shared" si="10"/>
        <v>E3535EZ1</v>
      </c>
      <c r="D370" s="540" t="s">
        <v>420</v>
      </c>
      <c r="E370" s="540" t="s">
        <v>3054</v>
      </c>
      <c r="G370" s="1167"/>
      <c r="H370" s="1166"/>
      <c r="I370" s="1165"/>
    </row>
    <row r="371" spans="1:9" x14ac:dyDescent="0.2">
      <c r="A371" s="116">
        <f t="shared" si="11"/>
        <v>2</v>
      </c>
      <c r="B371" s="1169" t="str">
        <f>VLOOKUP(D371,'LA List'!$A$3:$B$500,2,0)</f>
        <v>E3535</v>
      </c>
      <c r="C371" s="1169" t="str">
        <f t="shared" si="10"/>
        <v>E3535EZ2</v>
      </c>
      <c r="D371" s="540" t="s">
        <v>420</v>
      </c>
      <c r="E371" s="540" t="s">
        <v>3055</v>
      </c>
      <c r="G371" s="1167"/>
      <c r="H371" s="1166"/>
      <c r="I371" s="1165"/>
    </row>
    <row r="372" spans="1:9" x14ac:dyDescent="0.2">
      <c r="A372" s="116">
        <f t="shared" si="11"/>
        <v>1</v>
      </c>
      <c r="B372" s="1169" t="str">
        <f>VLOOKUP(D372,'LA List'!$A$3:$B$500,2,0)</f>
        <v>E4303</v>
      </c>
      <c r="C372" s="1169" t="str">
        <f t="shared" si="10"/>
        <v>E4303EZ1</v>
      </c>
      <c r="D372" s="540" t="s">
        <v>422</v>
      </c>
      <c r="E372" s="540"/>
      <c r="G372" s="1167"/>
      <c r="H372" s="1166"/>
      <c r="I372" s="1165"/>
    </row>
    <row r="373" spans="1:9" x14ac:dyDescent="0.2">
      <c r="A373" s="116">
        <f t="shared" si="11"/>
        <v>1</v>
      </c>
      <c r="B373" s="1169" t="str">
        <f>VLOOKUP(D373,'LA List'!$A$3:$B$500,2,0)</f>
        <v>E3436</v>
      </c>
      <c r="C373" s="1169" t="str">
        <f t="shared" si="10"/>
        <v>E3436EZ1</v>
      </c>
      <c r="D373" s="540" t="s">
        <v>424</v>
      </c>
      <c r="E373" s="540"/>
      <c r="G373" s="1167"/>
      <c r="H373" s="1166"/>
      <c r="I373" s="1165"/>
    </row>
    <row r="374" spans="1:9" x14ac:dyDescent="0.2">
      <c r="A374" s="116">
        <f t="shared" si="11"/>
        <v>1</v>
      </c>
      <c r="B374" s="1169" t="str">
        <f>VLOOKUP(D374,'LA List'!$A$3:$B$500,2,0)</f>
        <v>E3437</v>
      </c>
      <c r="C374" s="1169" t="str">
        <f t="shared" si="10"/>
        <v>E3437EZ1</v>
      </c>
      <c r="D374" s="540" t="s">
        <v>426</v>
      </c>
      <c r="E374" s="540"/>
      <c r="G374" s="1167"/>
      <c r="H374" s="1166"/>
      <c r="I374" s="1165"/>
    </row>
    <row r="375" spans="1:9" x14ac:dyDescent="0.2">
      <c r="A375" s="116">
        <f t="shared" si="11"/>
        <v>1</v>
      </c>
      <c r="B375" s="1169" t="str">
        <f>VLOOKUP(D375,'LA List'!$A$3:$B$500,2,0)</f>
        <v>E1937</v>
      </c>
      <c r="C375" s="1169" t="str">
        <f t="shared" si="10"/>
        <v>E1937EZ1</v>
      </c>
      <c r="D375" s="540" t="s">
        <v>428</v>
      </c>
      <c r="E375" s="540"/>
      <c r="G375" s="1167"/>
      <c r="H375" s="1166"/>
      <c r="I375" s="1165"/>
    </row>
    <row r="376" spans="1:9" x14ac:dyDescent="0.2">
      <c r="A376" s="116">
        <f t="shared" si="11"/>
        <v>1</v>
      </c>
      <c r="B376" s="1169" t="str">
        <f>VLOOKUP(D376,'LA List'!$A$3:$B$500,2,0)</f>
        <v>E4207</v>
      </c>
      <c r="C376" s="1169" t="str">
        <f t="shared" si="10"/>
        <v>E4207EZ1</v>
      </c>
      <c r="D376" s="540" t="s">
        <v>430</v>
      </c>
      <c r="E376" s="540" t="s">
        <v>1080</v>
      </c>
      <c r="G376" s="1167"/>
      <c r="H376" s="1166"/>
      <c r="I376" s="1165"/>
    </row>
    <row r="377" spans="1:9" x14ac:dyDescent="0.2">
      <c r="A377" s="116">
        <f t="shared" si="11"/>
        <v>1</v>
      </c>
      <c r="B377" s="1169" t="str">
        <f>VLOOKUP(D377,'LA List'!$A$3:$B$500,2,0)</f>
        <v>E0704</v>
      </c>
      <c r="C377" s="1169" t="str">
        <f t="shared" si="10"/>
        <v>E0704EZ1</v>
      </c>
      <c r="D377" s="540" t="s">
        <v>432</v>
      </c>
      <c r="E377" s="540" t="s">
        <v>985</v>
      </c>
      <c r="G377" s="1167"/>
      <c r="H377" s="1166"/>
      <c r="I377" s="1165"/>
    </row>
    <row r="378" spans="1:9" x14ac:dyDescent="0.2">
      <c r="A378" s="116">
        <f t="shared" si="11"/>
        <v>2</v>
      </c>
      <c r="B378" s="1169" t="str">
        <f>VLOOKUP(D378,'LA List'!$A$3:$B$500,2,0)</f>
        <v>E0704</v>
      </c>
      <c r="C378" s="1169" t="str">
        <f t="shared" si="10"/>
        <v>E0704EZ2</v>
      </c>
      <c r="D378" s="540" t="s">
        <v>432</v>
      </c>
      <c r="E378" s="540" t="s">
        <v>3056</v>
      </c>
      <c r="G378" s="1167"/>
      <c r="H378" s="1166"/>
      <c r="I378" s="1165"/>
    </row>
    <row r="379" spans="1:9" x14ac:dyDescent="0.2">
      <c r="A379" s="116">
        <f t="shared" si="11"/>
        <v>1</v>
      </c>
      <c r="B379" s="1169" t="str">
        <f>VLOOKUP(D379,'LA List'!$A$3:$B$500,2,0)</f>
        <v>E3401</v>
      </c>
      <c r="C379" s="1169" t="str">
        <f t="shared" si="10"/>
        <v>E3401EZ1</v>
      </c>
      <c r="D379" s="540" t="s">
        <v>434</v>
      </c>
      <c r="E379" s="540" t="s">
        <v>3057</v>
      </c>
      <c r="G379" s="1167"/>
      <c r="H379" s="1166"/>
      <c r="I379" s="1165"/>
    </row>
    <row r="380" spans="1:9" x14ac:dyDescent="0.2">
      <c r="A380" s="116">
        <f t="shared" si="11"/>
        <v>2</v>
      </c>
      <c r="B380" s="1169" t="str">
        <f>VLOOKUP(D380,'LA List'!$A$3:$B$500,2,0)</f>
        <v>E3401</v>
      </c>
      <c r="C380" s="1169" t="str">
        <f t="shared" si="10"/>
        <v>E3401EZ2</v>
      </c>
      <c r="D380" s="540" t="s">
        <v>434</v>
      </c>
      <c r="E380" s="540" t="s">
        <v>3058</v>
      </c>
      <c r="G380" s="1167"/>
      <c r="H380" s="1166"/>
      <c r="I380" s="1165"/>
    </row>
    <row r="381" spans="1:9" x14ac:dyDescent="0.2">
      <c r="A381" s="116">
        <f t="shared" si="11"/>
        <v>3</v>
      </c>
      <c r="B381" s="1169" t="str">
        <f>VLOOKUP(D381,'LA List'!$A$3:$B$500,2,0)</f>
        <v>E3401</v>
      </c>
      <c r="C381" s="1169" t="str">
        <f t="shared" si="10"/>
        <v>E3401EZ3</v>
      </c>
      <c r="D381" s="540" t="s">
        <v>434</v>
      </c>
      <c r="E381" s="540" t="s">
        <v>3059</v>
      </c>
      <c r="G381" s="1167"/>
      <c r="H381" s="1166"/>
      <c r="I381" s="1165"/>
    </row>
    <row r="382" spans="1:9" x14ac:dyDescent="0.2">
      <c r="A382" s="116">
        <f t="shared" si="11"/>
        <v>4</v>
      </c>
      <c r="B382" s="1169" t="str">
        <f>VLOOKUP(D382,'LA List'!$A$3:$B$500,2,0)</f>
        <v>E3401</v>
      </c>
      <c r="C382" s="1169" t="str">
        <f t="shared" si="10"/>
        <v>E3401EZ4</v>
      </c>
      <c r="D382" s="540" t="s">
        <v>434</v>
      </c>
      <c r="E382" s="540" t="s">
        <v>3060</v>
      </c>
      <c r="G382" s="1167"/>
      <c r="H382" s="1166"/>
      <c r="I382" s="1165"/>
    </row>
    <row r="383" spans="1:9" x14ac:dyDescent="0.2">
      <c r="A383" s="116">
        <f t="shared" si="11"/>
        <v>5</v>
      </c>
      <c r="B383" s="1169" t="str">
        <f>VLOOKUP(D383,'LA List'!$A$3:$B$500,2,0)</f>
        <v>E3401</v>
      </c>
      <c r="C383" s="1169" t="str">
        <f t="shared" si="10"/>
        <v>E3401EZ5</v>
      </c>
      <c r="D383" s="540" t="s">
        <v>434</v>
      </c>
      <c r="E383" s="540" t="s">
        <v>3061</v>
      </c>
      <c r="G383" s="1167"/>
      <c r="H383" s="1166"/>
      <c r="I383" s="1165"/>
    </row>
    <row r="384" spans="1:9" x14ac:dyDescent="0.2">
      <c r="A384" s="116">
        <f t="shared" si="11"/>
        <v>1</v>
      </c>
      <c r="B384" s="1169" t="str">
        <f>VLOOKUP(D384,'LA List'!$A$3:$B$500,2,0)</f>
        <v>E3734</v>
      </c>
      <c r="C384" s="1169" t="str">
        <f t="shared" si="10"/>
        <v>E3734EZ1</v>
      </c>
      <c r="D384" s="540" t="s">
        <v>436</v>
      </c>
      <c r="E384" s="540"/>
      <c r="G384" s="1167"/>
      <c r="H384" s="1166"/>
      <c r="I384" s="1165"/>
    </row>
    <row r="385" spans="1:9" x14ac:dyDescent="0.2">
      <c r="A385" s="116">
        <f t="shared" si="11"/>
        <v>1</v>
      </c>
      <c r="B385" s="1169" t="str">
        <f>VLOOKUP(D385,'LA List'!$A$3:$B$500,2,0)</f>
        <v>E1635</v>
      </c>
      <c r="C385" s="1169" t="str">
        <f t="shared" si="10"/>
        <v>E1635EZ1</v>
      </c>
      <c r="D385" s="540" t="s">
        <v>438</v>
      </c>
      <c r="E385" s="540"/>
      <c r="G385" s="1167"/>
      <c r="H385" s="1166"/>
      <c r="I385" s="1165"/>
    </row>
    <row r="386" spans="1:9" x14ac:dyDescent="0.2">
      <c r="A386" s="116">
        <f t="shared" si="11"/>
        <v>1</v>
      </c>
      <c r="B386" s="1169" t="str">
        <f>VLOOKUP(D386,'LA List'!$A$3:$B$500,2,0)</f>
        <v>E3536</v>
      </c>
      <c r="C386" s="1169" t="str">
        <f t="shared" si="10"/>
        <v>E3536EZ1</v>
      </c>
      <c r="D386" s="540" t="s">
        <v>440</v>
      </c>
      <c r="E386" s="540"/>
      <c r="G386" s="1167"/>
      <c r="H386" s="1166"/>
      <c r="I386" s="1165"/>
    </row>
    <row r="387" spans="1:9" x14ac:dyDescent="0.2">
      <c r="A387" s="116">
        <f t="shared" si="11"/>
        <v>1</v>
      </c>
      <c r="B387" s="1169" t="str">
        <f>VLOOKUP(D387,'LA List'!$A$3:$B$500,2,0)</f>
        <v>E4505</v>
      </c>
      <c r="C387" s="1169" t="str">
        <f t="shared" si="10"/>
        <v>E4505EZ1</v>
      </c>
      <c r="D387" s="540" t="s">
        <v>442</v>
      </c>
      <c r="E387" s="540" t="s">
        <v>997</v>
      </c>
      <c r="G387" s="1167"/>
      <c r="H387" s="1166"/>
      <c r="I387" s="1165"/>
    </row>
    <row r="388" spans="1:9" x14ac:dyDescent="0.2">
      <c r="A388" s="116">
        <f t="shared" si="11"/>
        <v>2</v>
      </c>
      <c r="B388" s="1169" t="str">
        <f>VLOOKUP(D388,'LA List'!$A$3:$B$500,2,0)</f>
        <v>E4505</v>
      </c>
      <c r="C388" s="1169" t="str">
        <f t="shared" ref="C388:C451" si="12">CONCATENATE(B388,"EZ",A388)</f>
        <v>E4505EZ2</v>
      </c>
      <c r="D388" s="540" t="s">
        <v>442</v>
      </c>
      <c r="E388" s="540" t="s">
        <v>3062</v>
      </c>
      <c r="G388" s="1167"/>
      <c r="H388" s="1166"/>
      <c r="I388" s="1165"/>
    </row>
    <row r="389" spans="1:9" x14ac:dyDescent="0.2">
      <c r="A389" s="116">
        <f t="shared" ref="A389:A452" si="13">IF(D389=D388,A388+1,1)</f>
        <v>3</v>
      </c>
      <c r="B389" s="1169" t="str">
        <f>VLOOKUP(D389,'LA List'!$A$3:$B$500,2,0)</f>
        <v>E4505</v>
      </c>
      <c r="C389" s="1169" t="str">
        <f t="shared" si="12"/>
        <v>E4505EZ3</v>
      </c>
      <c r="D389" s="540" t="s">
        <v>442</v>
      </c>
      <c r="E389" s="540" t="s">
        <v>3063</v>
      </c>
      <c r="G389" s="1167"/>
      <c r="H389" s="1166"/>
      <c r="I389" s="1165"/>
    </row>
    <row r="390" spans="1:9" x14ac:dyDescent="0.2">
      <c r="A390" s="116">
        <f t="shared" si="13"/>
        <v>1</v>
      </c>
      <c r="B390" s="1169" t="str">
        <f>VLOOKUP(D390,'LA List'!$A$3:$B$500,2,0)</f>
        <v>E3638</v>
      </c>
      <c r="C390" s="1169" t="str">
        <f t="shared" si="12"/>
        <v>E3638EZ1</v>
      </c>
      <c r="D390" s="540" t="s">
        <v>444</v>
      </c>
      <c r="E390" s="540"/>
      <c r="G390" s="1167"/>
      <c r="H390" s="1166"/>
      <c r="I390" s="1165"/>
    </row>
    <row r="391" spans="1:9" x14ac:dyDescent="0.2">
      <c r="A391" s="116">
        <f t="shared" si="13"/>
        <v>1</v>
      </c>
      <c r="B391" s="1169" t="str">
        <f>VLOOKUP(D391,'LA List'!$A$3:$B$500,2,0)</f>
        <v>E5048</v>
      </c>
      <c r="C391" s="1169" t="str">
        <f t="shared" si="12"/>
        <v>E5048EZ1</v>
      </c>
      <c r="D391" s="540" t="s">
        <v>446</v>
      </c>
      <c r="E391" s="540"/>
      <c r="G391" s="1167"/>
      <c r="H391" s="1166"/>
      <c r="I391" s="1165"/>
    </row>
    <row r="392" spans="1:9" x14ac:dyDescent="0.2">
      <c r="A392" s="116">
        <f t="shared" si="13"/>
        <v>1</v>
      </c>
      <c r="B392" s="1169" t="str">
        <f>VLOOKUP(D392,'LA List'!$A$3:$B$500,2,0)</f>
        <v>E2241</v>
      </c>
      <c r="C392" s="1169" t="str">
        <f t="shared" si="12"/>
        <v>E2241EZ1</v>
      </c>
      <c r="D392" s="540" t="s">
        <v>448</v>
      </c>
      <c r="E392" s="540"/>
      <c r="G392" s="1167"/>
      <c r="H392" s="1166"/>
      <c r="I392" s="1165"/>
    </row>
    <row r="393" spans="1:9" x14ac:dyDescent="0.2">
      <c r="A393" s="116">
        <f t="shared" si="13"/>
        <v>1</v>
      </c>
      <c r="B393" s="1169" t="str">
        <f>VLOOKUP(D393,'LA List'!$A$3:$B$500,2,0)</f>
        <v>E3901</v>
      </c>
      <c r="C393" s="1169" t="str">
        <f t="shared" si="12"/>
        <v>E3901EZ1</v>
      </c>
      <c r="D393" s="540" t="s">
        <v>450</v>
      </c>
      <c r="E393" s="540"/>
      <c r="G393" s="1167"/>
      <c r="H393" s="1166"/>
      <c r="I393" s="1165"/>
    </row>
    <row r="394" spans="1:9" x14ac:dyDescent="0.2">
      <c r="A394" s="116">
        <f t="shared" si="13"/>
        <v>1</v>
      </c>
      <c r="B394" s="1169" t="str">
        <f>VLOOKUP(D394,'LA List'!$A$3:$B$500,2,0)</f>
        <v>E4208</v>
      </c>
      <c r="C394" s="1169" t="str">
        <f t="shared" si="12"/>
        <v>E4208EZ1</v>
      </c>
      <c r="D394" s="540" t="s">
        <v>452</v>
      </c>
      <c r="E394" s="540"/>
      <c r="G394" s="1167"/>
      <c r="H394" s="1166"/>
      <c r="I394" s="1165"/>
    </row>
    <row r="395" spans="1:9" x14ac:dyDescent="0.2">
      <c r="A395" s="116">
        <f t="shared" si="13"/>
        <v>1</v>
      </c>
      <c r="B395" s="1169" t="str">
        <f>VLOOKUP(D395,'LA List'!$A$3:$B$500,2,0)</f>
        <v>E3439</v>
      </c>
      <c r="C395" s="1169" t="str">
        <f t="shared" si="12"/>
        <v>E3439EZ1</v>
      </c>
      <c r="D395" s="540" t="s">
        <v>454</v>
      </c>
      <c r="E395" s="540"/>
      <c r="G395" s="1167"/>
      <c r="H395" s="1166"/>
      <c r="I395" s="1165"/>
    </row>
    <row r="396" spans="1:9" x14ac:dyDescent="0.2">
      <c r="A396" s="116">
        <f t="shared" si="13"/>
        <v>1</v>
      </c>
      <c r="B396" s="1169" t="str">
        <f>VLOOKUP(D396,'LA List'!$A$3:$B$500,2,0)</f>
        <v>E3639</v>
      </c>
      <c r="C396" s="1169" t="str">
        <f t="shared" si="12"/>
        <v>E3639EZ1</v>
      </c>
      <c r="D396" s="540" t="s">
        <v>456</v>
      </c>
      <c r="E396" s="540"/>
      <c r="G396" s="1167"/>
      <c r="H396" s="1166"/>
      <c r="I396" s="1165"/>
    </row>
    <row r="397" spans="1:9" x14ac:dyDescent="0.2">
      <c r="A397" s="116">
        <f t="shared" si="13"/>
        <v>1</v>
      </c>
      <c r="B397" s="1169" t="str">
        <f>VLOOKUP(D397,'LA List'!$A$3:$B$500,2,0)</f>
        <v>E3333</v>
      </c>
      <c r="C397" s="1169" t="str">
        <f t="shared" si="12"/>
        <v>E3333EZ1</v>
      </c>
      <c r="D397" s="540" t="s">
        <v>458</v>
      </c>
      <c r="E397" s="540"/>
      <c r="G397" s="1167"/>
      <c r="H397" s="1166"/>
      <c r="I397" s="1165"/>
    </row>
    <row r="398" spans="1:9" x14ac:dyDescent="0.2">
      <c r="A398" s="116">
        <f t="shared" si="13"/>
        <v>1</v>
      </c>
      <c r="B398" s="1169" t="str">
        <f>VLOOKUP(D398,'LA List'!$A$3:$B$500,2,0)</f>
        <v>E1137</v>
      </c>
      <c r="C398" s="1169" t="str">
        <f t="shared" si="12"/>
        <v>E1137EZ1</v>
      </c>
      <c r="D398" s="540" t="s">
        <v>460</v>
      </c>
      <c r="E398" s="540"/>
      <c r="G398" s="1167"/>
      <c r="H398" s="1166"/>
      <c r="I398" s="1165"/>
    </row>
    <row r="399" spans="1:9" x14ac:dyDescent="0.2">
      <c r="A399" s="116">
        <f t="shared" si="13"/>
        <v>1</v>
      </c>
      <c r="B399" s="1169" t="str">
        <f>VLOOKUP(D399,'LA List'!$A$3:$B$500,2,0)</f>
        <v>E3201</v>
      </c>
      <c r="C399" s="1169" t="str">
        <f t="shared" si="12"/>
        <v>E3201EZ1</v>
      </c>
      <c r="D399" s="540" t="s">
        <v>462</v>
      </c>
      <c r="E399" s="540"/>
      <c r="G399" s="1167"/>
      <c r="H399" s="1166"/>
      <c r="I399" s="1165"/>
    </row>
    <row r="400" spans="1:9" x14ac:dyDescent="0.2">
      <c r="A400" s="116">
        <f t="shared" si="13"/>
        <v>1</v>
      </c>
      <c r="B400" s="1169" t="str">
        <f>VLOOKUP(D400,'LA List'!$A$3:$B$500,2,0)</f>
        <v>E1542</v>
      </c>
      <c r="C400" s="1169" t="str">
        <f t="shared" si="12"/>
        <v>E1542EZ1</v>
      </c>
      <c r="D400" s="540" t="s">
        <v>464</v>
      </c>
      <c r="E400" s="540"/>
      <c r="G400" s="1167"/>
      <c r="H400" s="1166"/>
      <c r="I400" s="1165"/>
    </row>
    <row r="401" spans="1:9" x14ac:dyDescent="0.2">
      <c r="A401" s="116">
        <f t="shared" si="13"/>
        <v>1</v>
      </c>
      <c r="B401" s="1169" t="str">
        <f>VLOOKUP(D401,'LA List'!$A$3:$B$500,2,0)</f>
        <v>E1742</v>
      </c>
      <c r="C401" s="1169" t="str">
        <f t="shared" si="12"/>
        <v>E1742EZ1</v>
      </c>
      <c r="D401" s="540" t="s">
        <v>466</v>
      </c>
      <c r="E401" s="540"/>
      <c r="G401" s="1167"/>
      <c r="H401" s="1166"/>
      <c r="I401" s="1165"/>
    </row>
    <row r="402" spans="1:9" x14ac:dyDescent="0.2">
      <c r="A402" s="116">
        <f t="shared" si="13"/>
        <v>1</v>
      </c>
      <c r="B402" s="1169" t="str">
        <f>VLOOKUP(D402,'LA List'!$A$3:$B$500,2,0)</f>
        <v>E1636</v>
      </c>
      <c r="C402" s="1169" t="str">
        <f t="shared" si="12"/>
        <v>E1636EZ1</v>
      </c>
      <c r="D402" s="540" t="s">
        <v>468</v>
      </c>
      <c r="E402" s="540"/>
      <c r="G402" s="1167"/>
      <c r="H402" s="1166"/>
      <c r="I402" s="1165"/>
    </row>
    <row r="403" spans="1:9" x14ac:dyDescent="0.2">
      <c r="A403" s="116">
        <f t="shared" si="13"/>
        <v>1</v>
      </c>
      <c r="B403" s="1169" t="str">
        <f>VLOOKUP(D403,'LA List'!$A$3:$B$500,2,0)</f>
        <v>E2242</v>
      </c>
      <c r="C403" s="1169" t="str">
        <f t="shared" si="12"/>
        <v>E2242EZ1</v>
      </c>
      <c r="D403" s="540" t="s">
        <v>470</v>
      </c>
      <c r="E403" s="540"/>
      <c r="G403" s="1167"/>
      <c r="H403" s="1166"/>
      <c r="I403" s="1165"/>
    </row>
    <row r="404" spans="1:9" x14ac:dyDescent="0.2">
      <c r="A404" s="116">
        <f t="shared" si="13"/>
        <v>1</v>
      </c>
      <c r="B404" s="1169" t="str">
        <f>VLOOKUP(D404,'LA List'!$A$3:$B$500,2,0)</f>
        <v>E1938</v>
      </c>
      <c r="C404" s="1169" t="str">
        <f t="shared" si="12"/>
        <v>E1938EZ1</v>
      </c>
      <c r="D404" s="540" t="s">
        <v>472</v>
      </c>
      <c r="E404" s="540"/>
      <c r="G404" s="1167"/>
      <c r="H404" s="1166"/>
      <c r="I404" s="1165"/>
    </row>
    <row r="405" spans="1:9" x14ac:dyDescent="0.2">
      <c r="A405" s="116">
        <f t="shared" si="13"/>
        <v>1</v>
      </c>
      <c r="B405" s="1169" t="str">
        <f>VLOOKUP(D405,'LA List'!$A$3:$B$500,2,0)</f>
        <v>E1502</v>
      </c>
      <c r="C405" s="1169" t="str">
        <f t="shared" si="12"/>
        <v>E1502EZ1</v>
      </c>
      <c r="D405" s="540" t="s">
        <v>474</v>
      </c>
      <c r="E405" s="540"/>
      <c r="G405" s="1167"/>
      <c r="H405" s="1166"/>
      <c r="I405" s="1165"/>
    </row>
    <row r="406" spans="1:9" x14ac:dyDescent="0.2">
      <c r="A406" s="116">
        <f t="shared" si="13"/>
        <v>1</v>
      </c>
      <c r="B406" s="1169" t="str">
        <f>VLOOKUP(D406,'LA List'!$A$3:$B$500,2,0)</f>
        <v>E2243</v>
      </c>
      <c r="C406" s="1169" t="str">
        <f t="shared" si="12"/>
        <v>E2243EZ1</v>
      </c>
      <c r="D406" s="540" t="s">
        <v>476</v>
      </c>
      <c r="E406" s="540" t="s">
        <v>3018</v>
      </c>
      <c r="G406" s="1167"/>
      <c r="H406" s="1166"/>
      <c r="I406" s="1165"/>
    </row>
    <row r="407" spans="1:9" x14ac:dyDescent="0.2">
      <c r="A407" s="116">
        <f t="shared" si="13"/>
        <v>1</v>
      </c>
      <c r="B407" s="1169" t="str">
        <f>VLOOKUP(D407,'LA List'!$A$3:$B$500,2,0)</f>
        <v>E1102</v>
      </c>
      <c r="C407" s="1169" t="str">
        <f t="shared" si="12"/>
        <v>E1102EZ1</v>
      </c>
      <c r="D407" s="540" t="s">
        <v>478</v>
      </c>
      <c r="E407" s="540"/>
      <c r="G407" s="1167"/>
      <c r="H407" s="1166"/>
      <c r="I407" s="1165"/>
    </row>
    <row r="408" spans="1:9" x14ac:dyDescent="0.2">
      <c r="A408" s="116">
        <f t="shared" si="13"/>
        <v>1</v>
      </c>
      <c r="B408" s="1169" t="str">
        <f>VLOOKUP(D408,'LA List'!$A$3:$B$500,2,0)</f>
        <v>E1139</v>
      </c>
      <c r="C408" s="1169" t="str">
        <f t="shared" si="12"/>
        <v>E1139EZ1</v>
      </c>
      <c r="D408" s="540" t="s">
        <v>480</v>
      </c>
      <c r="E408" s="540"/>
      <c r="G408" s="1167"/>
      <c r="H408" s="1166"/>
      <c r="I408" s="1165"/>
    </row>
    <row r="409" spans="1:9" x14ac:dyDescent="0.2">
      <c r="A409" s="116">
        <f t="shared" si="13"/>
        <v>1</v>
      </c>
      <c r="B409" s="1169" t="str">
        <f>VLOOKUP(D409,'LA List'!$A$3:$B$500,2,0)</f>
        <v>E5020</v>
      </c>
      <c r="C409" s="1169" t="str">
        <f t="shared" si="12"/>
        <v>E5020EZ1</v>
      </c>
      <c r="D409" s="540" t="s">
        <v>482</v>
      </c>
      <c r="E409" s="540"/>
      <c r="G409" s="1167"/>
      <c r="H409" s="1166"/>
      <c r="I409" s="1165"/>
    </row>
    <row r="410" spans="1:9" x14ac:dyDescent="0.2">
      <c r="A410" s="116">
        <f t="shared" si="13"/>
        <v>1</v>
      </c>
      <c r="B410" s="1169" t="str">
        <f>VLOOKUP(D410,'LA List'!$A$3:$B$500,2,0)</f>
        <v>E4209</v>
      </c>
      <c r="C410" s="1169" t="str">
        <f t="shared" si="12"/>
        <v>E4209EZ1</v>
      </c>
      <c r="D410" s="540" t="s">
        <v>484</v>
      </c>
      <c r="E410" s="540"/>
      <c r="G410" s="1167"/>
      <c r="H410" s="1166"/>
      <c r="I410" s="1165"/>
    </row>
    <row r="411" spans="1:9" x14ac:dyDescent="0.2">
      <c r="A411" s="116">
        <f t="shared" si="13"/>
        <v>1</v>
      </c>
      <c r="B411" s="1169" t="str">
        <f>VLOOKUP(D411,'LA List'!$A$3:$B$500,2,0)</f>
        <v>E2244</v>
      </c>
      <c r="C411" s="1169" t="str">
        <f t="shared" si="12"/>
        <v>E2244EZ1</v>
      </c>
      <c r="D411" s="540" t="s">
        <v>486</v>
      </c>
      <c r="E411" s="540"/>
      <c r="G411" s="1167"/>
      <c r="H411" s="1166"/>
      <c r="I411" s="1165"/>
    </row>
    <row r="412" spans="1:9" x14ac:dyDescent="0.2">
      <c r="A412" s="116">
        <f t="shared" si="13"/>
        <v>1</v>
      </c>
      <c r="B412" s="1169" t="str">
        <f>VLOOKUP(D412,'LA List'!$A$3:$B$500,2,0)</f>
        <v>E1544</v>
      </c>
      <c r="C412" s="1169" t="str">
        <f t="shared" si="12"/>
        <v>E1544EZ1</v>
      </c>
      <c r="D412" s="540" t="s">
        <v>488</v>
      </c>
      <c r="E412" s="540"/>
      <c r="G412" s="1167"/>
      <c r="H412" s="1166"/>
      <c r="I412" s="1165"/>
    </row>
    <row r="413" spans="1:9" x14ac:dyDescent="0.2">
      <c r="A413" s="116">
        <f t="shared" si="13"/>
        <v>1</v>
      </c>
      <c r="B413" s="1169" t="str">
        <f>VLOOKUP(D413,'LA List'!$A$3:$B$500,2,0)</f>
        <v>E3134</v>
      </c>
      <c r="C413" s="1169" t="str">
        <f t="shared" si="12"/>
        <v>E3134EZ1</v>
      </c>
      <c r="D413" s="540" t="s">
        <v>490</v>
      </c>
      <c r="E413" s="540" t="s">
        <v>1001</v>
      </c>
      <c r="G413" s="1167"/>
      <c r="H413" s="1166"/>
      <c r="I413" s="1165"/>
    </row>
    <row r="414" spans="1:9" x14ac:dyDescent="0.2">
      <c r="A414" s="116">
        <f t="shared" si="13"/>
        <v>2</v>
      </c>
      <c r="B414" s="1169" t="str">
        <f>VLOOKUP(D414,'LA List'!$A$3:$B$500,2,0)</f>
        <v>E3134</v>
      </c>
      <c r="C414" s="1169" t="str">
        <f t="shared" si="12"/>
        <v>E3134EZ2</v>
      </c>
      <c r="D414" s="540" t="s">
        <v>490</v>
      </c>
      <c r="E414" s="540" t="s">
        <v>3064</v>
      </c>
      <c r="G414" s="1167"/>
      <c r="H414" s="1166"/>
      <c r="I414" s="1165"/>
    </row>
    <row r="415" spans="1:9" x14ac:dyDescent="0.2">
      <c r="A415" s="116">
        <f t="shared" si="13"/>
        <v>3</v>
      </c>
      <c r="B415" s="1169" t="str">
        <f>VLOOKUP(D415,'LA List'!$A$3:$B$500,2,0)</f>
        <v>E3134</v>
      </c>
      <c r="C415" s="1169" t="str">
        <f t="shared" si="12"/>
        <v>E3134EZ3</v>
      </c>
      <c r="D415" s="540" t="s">
        <v>490</v>
      </c>
      <c r="E415" s="540" t="s">
        <v>3065</v>
      </c>
      <c r="G415" s="1167"/>
      <c r="H415" s="1166"/>
      <c r="I415" s="1165"/>
    </row>
    <row r="416" spans="1:9" x14ac:dyDescent="0.2">
      <c r="A416" s="116">
        <f t="shared" si="13"/>
        <v>4</v>
      </c>
      <c r="B416" s="1169" t="str">
        <f>VLOOKUP(D416,'LA List'!$A$3:$B$500,2,0)</f>
        <v>E3134</v>
      </c>
      <c r="C416" s="1169" t="str">
        <f t="shared" si="12"/>
        <v>E3134EZ4</v>
      </c>
      <c r="D416" s="540" t="s">
        <v>490</v>
      </c>
      <c r="E416" s="540" t="s">
        <v>3066</v>
      </c>
      <c r="G416" s="1167"/>
      <c r="H416" s="1166"/>
      <c r="I416" s="1165"/>
    </row>
    <row r="417" spans="1:9" x14ac:dyDescent="0.2">
      <c r="A417" s="116">
        <f t="shared" si="13"/>
        <v>5</v>
      </c>
      <c r="B417" s="1169" t="str">
        <f>VLOOKUP(D417,'LA List'!$A$3:$B$500,2,0)</f>
        <v>E3134</v>
      </c>
      <c r="C417" s="1169" t="str">
        <f t="shared" si="12"/>
        <v>E3134EZ5</v>
      </c>
      <c r="D417" s="540" t="s">
        <v>490</v>
      </c>
      <c r="E417" s="540" t="s">
        <v>3067</v>
      </c>
      <c r="G417" s="1167"/>
      <c r="H417" s="1166"/>
      <c r="I417" s="1165"/>
    </row>
    <row r="418" spans="1:9" x14ac:dyDescent="0.2">
      <c r="A418" s="116">
        <f t="shared" si="13"/>
        <v>6</v>
      </c>
      <c r="B418" s="1169" t="str">
        <f>VLOOKUP(D418,'LA List'!$A$3:$B$500,2,0)</f>
        <v>E3134</v>
      </c>
      <c r="C418" s="1169" t="str">
        <f t="shared" si="12"/>
        <v>E3134EZ6</v>
      </c>
      <c r="D418" s="540" t="s">
        <v>490</v>
      </c>
      <c r="E418" s="540" t="s">
        <v>3068</v>
      </c>
      <c r="G418" s="1167"/>
      <c r="H418" s="1166"/>
      <c r="I418" s="1165"/>
    </row>
    <row r="419" spans="1:9" x14ac:dyDescent="0.2">
      <c r="A419" s="116">
        <f t="shared" si="13"/>
        <v>7</v>
      </c>
      <c r="B419" s="1169" t="str">
        <f>VLOOKUP(D419,'LA List'!$A$3:$B$500,2,0)</f>
        <v>E3134</v>
      </c>
      <c r="C419" s="1169" t="str">
        <f t="shared" si="12"/>
        <v>E3134EZ7</v>
      </c>
      <c r="D419" s="540" t="s">
        <v>490</v>
      </c>
      <c r="E419" s="540" t="s">
        <v>3069</v>
      </c>
      <c r="G419" s="1167"/>
      <c r="H419" s="1166"/>
      <c r="I419" s="1165"/>
    </row>
    <row r="420" spans="1:9" x14ac:dyDescent="0.2">
      <c r="A420" s="116">
        <f t="shared" si="13"/>
        <v>8</v>
      </c>
      <c r="B420" s="1169" t="str">
        <f>VLOOKUP(D420,'LA List'!$A$3:$B$500,2,0)</f>
        <v>E3134</v>
      </c>
      <c r="C420" s="1169" t="str">
        <f t="shared" si="12"/>
        <v>E3134EZ8</v>
      </c>
      <c r="D420" s="540" t="s">
        <v>490</v>
      </c>
      <c r="E420" s="540" t="s">
        <v>3070</v>
      </c>
      <c r="G420" s="1167"/>
      <c r="H420" s="1166"/>
      <c r="I420" s="1165"/>
    </row>
    <row r="421" spans="1:9" x14ac:dyDescent="0.2">
      <c r="A421" s="116">
        <f t="shared" si="13"/>
        <v>9</v>
      </c>
      <c r="B421" s="1169" t="str">
        <f>VLOOKUP(D421,'LA List'!$A$3:$B$500,2,0)</f>
        <v>E3134</v>
      </c>
      <c r="C421" s="1169" t="str">
        <f t="shared" si="12"/>
        <v>E3134EZ9</v>
      </c>
      <c r="D421" s="540" t="s">
        <v>490</v>
      </c>
      <c r="E421" s="540" t="s">
        <v>3071</v>
      </c>
      <c r="G421" s="1167"/>
      <c r="H421" s="1166"/>
      <c r="I421" s="1165"/>
    </row>
    <row r="422" spans="1:9" x14ac:dyDescent="0.2">
      <c r="A422" s="116">
        <f t="shared" si="13"/>
        <v>10</v>
      </c>
      <c r="B422" s="1169" t="str">
        <f>VLOOKUP(D422,'LA List'!$A$3:$B$500,2,0)</f>
        <v>E3134</v>
      </c>
      <c r="C422" s="1169" t="str">
        <f t="shared" si="12"/>
        <v>E3134EZ10</v>
      </c>
      <c r="D422" s="540" t="s">
        <v>490</v>
      </c>
      <c r="E422" s="540" t="s">
        <v>3072</v>
      </c>
      <c r="G422" s="1167"/>
      <c r="H422" s="1166"/>
      <c r="I422" s="1165"/>
    </row>
    <row r="423" spans="1:9" x14ac:dyDescent="0.2">
      <c r="A423" s="116">
        <f t="shared" si="13"/>
        <v>11</v>
      </c>
      <c r="B423" s="1169" t="str">
        <f>VLOOKUP(D423,'LA List'!$A$3:$B$500,2,0)</f>
        <v>E3134</v>
      </c>
      <c r="C423" s="1169" t="str">
        <f t="shared" si="12"/>
        <v>E3134EZ11</v>
      </c>
      <c r="D423" s="540" t="s">
        <v>490</v>
      </c>
      <c r="E423" s="540" t="s">
        <v>3073</v>
      </c>
      <c r="G423" s="1167"/>
      <c r="H423" s="1166"/>
      <c r="I423" s="1165"/>
    </row>
    <row r="424" spans="1:9" x14ac:dyDescent="0.2">
      <c r="A424" s="116">
        <f t="shared" si="13"/>
        <v>1</v>
      </c>
      <c r="B424" s="1169" t="str">
        <f>VLOOKUP(D424,'LA List'!$A$3:$B$500,2,0)</f>
        <v>E4705</v>
      </c>
      <c r="C424" s="1169" t="str">
        <f t="shared" si="12"/>
        <v>E4705EZ1</v>
      </c>
      <c r="D424" s="540" t="s">
        <v>492</v>
      </c>
      <c r="E424" s="540" t="s">
        <v>3074</v>
      </c>
      <c r="G424" s="1167"/>
      <c r="H424" s="1166"/>
      <c r="I424" s="1165"/>
    </row>
    <row r="425" spans="1:9" x14ac:dyDescent="0.2">
      <c r="A425" s="116">
        <f t="shared" si="13"/>
        <v>2</v>
      </c>
      <c r="B425" s="1169" t="str">
        <f>VLOOKUP(D425,'LA List'!$A$3:$B$500,2,0)</f>
        <v>E4705</v>
      </c>
      <c r="C425" s="1169" t="str">
        <f t="shared" si="12"/>
        <v>E4705EZ2</v>
      </c>
      <c r="D425" s="540" t="s">
        <v>492</v>
      </c>
      <c r="E425" s="540" t="s">
        <v>3075</v>
      </c>
      <c r="G425" s="1167"/>
      <c r="H425" s="1166"/>
      <c r="I425" s="1165"/>
    </row>
    <row r="426" spans="1:9" x14ac:dyDescent="0.2">
      <c r="A426" s="116">
        <f t="shared" si="13"/>
        <v>1</v>
      </c>
      <c r="B426" s="1169" t="str">
        <f>VLOOKUP(D426,'LA List'!$A$3:$B$500,2,0)</f>
        <v>E4606</v>
      </c>
      <c r="C426" s="1169" t="str">
        <f t="shared" si="12"/>
        <v>E4606EZ1</v>
      </c>
      <c r="D426" s="540" t="s">
        <v>494</v>
      </c>
      <c r="E426" s="540" t="s">
        <v>1000</v>
      </c>
      <c r="G426" s="1167"/>
      <c r="H426" s="1166"/>
      <c r="I426" s="1165"/>
    </row>
    <row r="427" spans="1:9" x14ac:dyDescent="0.2">
      <c r="A427" s="116">
        <f t="shared" si="13"/>
        <v>1</v>
      </c>
      <c r="B427" s="1169" t="str">
        <f>VLOOKUP(D427,'LA List'!$A$3:$B$500,2,0)</f>
        <v>E5049</v>
      </c>
      <c r="C427" s="1169" t="str">
        <f t="shared" si="12"/>
        <v>E5049EZ1</v>
      </c>
      <c r="D427" s="540" t="s">
        <v>496</v>
      </c>
      <c r="E427" s="540"/>
      <c r="G427" s="1167"/>
      <c r="H427" s="1166"/>
      <c r="I427" s="1165"/>
    </row>
    <row r="428" spans="1:9" x14ac:dyDescent="0.2">
      <c r="A428" s="116">
        <f t="shared" si="13"/>
        <v>1</v>
      </c>
      <c r="B428" s="1169" t="str">
        <f>VLOOKUP(D428,'LA List'!$A$3:$B$500,2,0)</f>
        <v>E5021</v>
      </c>
      <c r="C428" s="1169" t="str">
        <f t="shared" si="12"/>
        <v>E5021EZ1</v>
      </c>
      <c r="D428" s="540" t="s">
        <v>498</v>
      </c>
      <c r="E428" s="540" t="s">
        <v>2108</v>
      </c>
      <c r="G428" s="1167"/>
      <c r="H428" s="1166"/>
      <c r="I428" s="1165"/>
    </row>
    <row r="429" spans="1:9" x14ac:dyDescent="0.2">
      <c r="A429" s="116">
        <f t="shared" si="13"/>
        <v>1</v>
      </c>
      <c r="B429" s="1169" t="str">
        <f>VLOOKUP(D429,'LA List'!$A$3:$B$500,2,0)</f>
        <v>E0602</v>
      </c>
      <c r="C429" s="1169" t="str">
        <f t="shared" si="12"/>
        <v>E0602EZ1</v>
      </c>
      <c r="D429" s="540" t="s">
        <v>500</v>
      </c>
      <c r="E429" s="540" t="s">
        <v>3076</v>
      </c>
      <c r="G429" s="1167"/>
      <c r="H429" s="1166"/>
      <c r="I429" s="1165"/>
    </row>
    <row r="430" spans="1:9" x14ac:dyDescent="0.2">
      <c r="A430" s="116">
        <f t="shared" si="13"/>
        <v>1</v>
      </c>
      <c r="B430" s="1169" t="str">
        <f>VLOOKUP(D430,'LA List'!$A$3:$B$500,2,0)</f>
        <v>E3735</v>
      </c>
      <c r="C430" s="1169" t="str">
        <f t="shared" si="12"/>
        <v>E3735EZ1</v>
      </c>
      <c r="D430" s="540" t="s">
        <v>502</v>
      </c>
      <c r="E430" s="540"/>
      <c r="G430" s="1167"/>
      <c r="H430" s="1166"/>
      <c r="I430" s="1165"/>
    </row>
    <row r="431" spans="1:9" x14ac:dyDescent="0.2">
      <c r="A431" s="116">
        <f t="shared" si="13"/>
        <v>1</v>
      </c>
      <c r="B431" s="1169" t="str">
        <f>VLOOKUP(D431,'LA List'!$A$3:$B$500,2,0)</f>
        <v>E1939</v>
      </c>
      <c r="C431" s="1169" t="str">
        <f t="shared" si="12"/>
        <v>E1939EZ1</v>
      </c>
      <c r="D431" s="540" t="s">
        <v>504</v>
      </c>
      <c r="E431" s="540"/>
      <c r="G431" s="1167"/>
      <c r="H431" s="1166"/>
      <c r="I431" s="1165"/>
    </row>
    <row r="432" spans="1:9" x14ac:dyDescent="0.2">
      <c r="A432" s="116">
        <f t="shared" si="13"/>
        <v>1</v>
      </c>
      <c r="B432" s="1169" t="str">
        <f>VLOOKUP(D432,'LA List'!$A$3:$B$500,2,0)</f>
        <v>E3537</v>
      </c>
      <c r="C432" s="1169" t="str">
        <f t="shared" si="12"/>
        <v>E3537EZ1</v>
      </c>
      <c r="D432" s="540" t="s">
        <v>506</v>
      </c>
      <c r="E432" s="540" t="s">
        <v>983</v>
      </c>
      <c r="G432" s="1167"/>
      <c r="H432" s="1166"/>
      <c r="I432" s="1165"/>
    </row>
    <row r="433" spans="1:9" x14ac:dyDescent="0.2">
      <c r="A433" s="116">
        <f t="shared" si="13"/>
        <v>2</v>
      </c>
      <c r="B433" s="1169" t="str">
        <f>VLOOKUP(D433,'LA List'!$A$3:$B$500,2,0)</f>
        <v>E3537</v>
      </c>
      <c r="C433" s="1169" t="str">
        <f t="shared" si="12"/>
        <v>E3537EZ2</v>
      </c>
      <c r="D433" s="540" t="s">
        <v>506</v>
      </c>
      <c r="E433" s="540" t="s">
        <v>3077</v>
      </c>
      <c r="G433" s="1167"/>
      <c r="H433" s="1166"/>
      <c r="I433" s="1165"/>
    </row>
    <row r="434" spans="1:9" x14ac:dyDescent="0.2">
      <c r="A434" s="116">
        <f t="shared" si="13"/>
        <v>3</v>
      </c>
      <c r="B434" s="1169" t="str">
        <f>VLOOKUP(D434,'LA List'!$A$3:$B$500,2,0)</f>
        <v>E3537</v>
      </c>
      <c r="C434" s="1169" t="str">
        <f t="shared" si="12"/>
        <v>E3537EZ3</v>
      </c>
      <c r="D434" s="540" t="s">
        <v>506</v>
      </c>
      <c r="E434" s="540" t="s">
        <v>3078</v>
      </c>
      <c r="G434" s="1167"/>
      <c r="H434" s="1166"/>
      <c r="I434" s="1165"/>
    </row>
    <row r="435" spans="1:9" x14ac:dyDescent="0.2">
      <c r="A435" s="116">
        <f t="shared" si="13"/>
        <v>1</v>
      </c>
      <c r="B435" s="1169" t="str">
        <f>VLOOKUP(D435,'LA List'!$A$3:$B$500,2,0)</f>
        <v>E3640</v>
      </c>
      <c r="C435" s="1169" t="str">
        <f t="shared" si="12"/>
        <v>E3640EZ1</v>
      </c>
      <c r="D435" s="540" t="s">
        <v>508</v>
      </c>
      <c r="E435" s="540"/>
      <c r="G435" s="1167"/>
      <c r="H435" s="1166"/>
      <c r="I435" s="1165"/>
    </row>
    <row r="436" spans="1:9" x14ac:dyDescent="0.2">
      <c r="A436" s="116">
        <f t="shared" si="13"/>
        <v>1</v>
      </c>
      <c r="B436" s="1169" t="str">
        <f>VLOOKUP(D436,'LA List'!$A$3:$B$500,2,0)</f>
        <v>E1437</v>
      </c>
      <c r="C436" s="1169" t="str">
        <f t="shared" si="12"/>
        <v>E1437EZ1</v>
      </c>
      <c r="D436" s="540" t="s">
        <v>510</v>
      </c>
      <c r="E436" s="540"/>
      <c r="G436" s="1167"/>
      <c r="H436" s="1166"/>
      <c r="I436" s="1165"/>
    </row>
    <row r="437" spans="1:9" x14ac:dyDescent="0.2">
      <c r="A437" s="116">
        <f t="shared" si="13"/>
        <v>1</v>
      </c>
      <c r="B437" s="1169" t="str">
        <f>VLOOKUP(D437,'LA List'!$A$3:$B$500,2,0)</f>
        <v>E2837</v>
      </c>
      <c r="C437" s="1169" t="str">
        <f t="shared" si="12"/>
        <v>E2837EZ1</v>
      </c>
      <c r="D437" s="540" t="s">
        <v>512</v>
      </c>
      <c r="E437" s="540"/>
      <c r="G437" s="1167"/>
      <c r="H437" s="1166"/>
      <c r="I437" s="1165"/>
    </row>
    <row r="438" spans="1:9" x14ac:dyDescent="0.2">
      <c r="A438" s="116">
        <f t="shared" si="13"/>
        <v>1</v>
      </c>
      <c r="B438" s="1169" t="str">
        <f>VLOOKUP(D438,'LA List'!$A$3:$B$500,2,0)</f>
        <v>E1940</v>
      </c>
      <c r="C438" s="1169" t="str">
        <f t="shared" si="12"/>
        <v>E1940EZ1</v>
      </c>
      <c r="D438" s="540" t="s">
        <v>514</v>
      </c>
      <c r="E438" s="540"/>
      <c r="G438" s="1167"/>
      <c r="H438" s="1166"/>
      <c r="I438" s="1165"/>
    </row>
    <row r="439" spans="1:9" x14ac:dyDescent="0.2">
      <c r="A439" s="116">
        <f t="shared" si="13"/>
        <v>1</v>
      </c>
      <c r="B439" s="1169" t="str">
        <f>VLOOKUP(D439,'LA List'!$A$3:$B$500,2,0)</f>
        <v>E0302</v>
      </c>
      <c r="C439" s="1169" t="str">
        <f t="shared" si="12"/>
        <v>E0302EZ1</v>
      </c>
      <c r="D439" s="540" t="s">
        <v>516</v>
      </c>
      <c r="E439" s="540"/>
      <c r="G439" s="1167"/>
      <c r="H439" s="1166"/>
      <c r="I439" s="1165"/>
    </row>
    <row r="440" spans="1:9" x14ac:dyDescent="0.2">
      <c r="A440" s="116">
        <f t="shared" si="13"/>
        <v>1</v>
      </c>
      <c r="B440" s="1169" t="str">
        <f>VLOOKUP(D440,'LA List'!$A$3:$B$500,2,0)</f>
        <v>E1140</v>
      </c>
      <c r="C440" s="1169" t="str">
        <f t="shared" si="12"/>
        <v>E1140EZ1</v>
      </c>
      <c r="D440" s="540" t="s">
        <v>518</v>
      </c>
      <c r="E440" s="540"/>
      <c r="G440" s="1167"/>
      <c r="H440" s="1166"/>
      <c r="I440" s="1165"/>
    </row>
    <row r="441" spans="1:9" x14ac:dyDescent="0.2">
      <c r="A441" s="116">
        <f t="shared" si="13"/>
        <v>1</v>
      </c>
      <c r="B441" s="1169" t="str">
        <f>VLOOKUP(D441,'LA List'!$A$3:$B$500,2,0)</f>
        <v>E1237</v>
      </c>
      <c r="C441" s="1169" t="str">
        <f t="shared" si="12"/>
        <v>E1237EZ1</v>
      </c>
      <c r="D441" s="540" t="s">
        <v>520</v>
      </c>
      <c r="E441" s="540"/>
      <c r="G441" s="1167"/>
      <c r="H441" s="1166"/>
      <c r="I441" s="1165"/>
    </row>
    <row r="442" spans="1:9" x14ac:dyDescent="0.2">
      <c r="A442" s="116">
        <f t="shared" si="13"/>
        <v>1</v>
      </c>
      <c r="B442" s="1169" t="str">
        <f>VLOOKUP(D442,'LA List'!$A$3:$B$500,2,0)</f>
        <v>E2343</v>
      </c>
      <c r="C442" s="1169" t="str">
        <f t="shared" si="12"/>
        <v>E2343EZ1</v>
      </c>
      <c r="D442" s="540" t="s">
        <v>522</v>
      </c>
      <c r="E442" s="540"/>
      <c r="G442" s="1167"/>
      <c r="H442" s="1166"/>
      <c r="I442" s="1165"/>
    </row>
    <row r="443" spans="1:9" x14ac:dyDescent="0.2">
      <c r="A443" s="116">
        <f t="shared" si="13"/>
        <v>1</v>
      </c>
      <c r="B443" s="1169" t="str">
        <f>VLOOKUP(D443,'LA List'!$A$3:$B$500,2,0)</f>
        <v>E2537</v>
      </c>
      <c r="C443" s="1169" t="str">
        <f t="shared" si="12"/>
        <v>E2537EZ1</v>
      </c>
      <c r="D443" s="540" t="s">
        <v>524</v>
      </c>
      <c r="E443" s="540"/>
      <c r="G443" s="1167"/>
      <c r="H443" s="1166"/>
      <c r="I443" s="1165"/>
    </row>
    <row r="444" spans="1:9" x14ac:dyDescent="0.2">
      <c r="A444" s="116">
        <f t="shared" si="13"/>
        <v>1</v>
      </c>
      <c r="B444" s="1169" t="str">
        <f>VLOOKUP(D444,'LA List'!$A$3:$B$500,2,0)</f>
        <v>E3135</v>
      </c>
      <c r="C444" s="1169" t="str">
        <f t="shared" si="12"/>
        <v>E3135EZ1</v>
      </c>
      <c r="D444" s="540" t="s">
        <v>526</v>
      </c>
      <c r="E444" s="540"/>
      <c r="G444" s="1167"/>
      <c r="H444" s="1166"/>
      <c r="I444" s="1165"/>
    </row>
    <row r="445" spans="1:9" x14ac:dyDescent="0.2">
      <c r="A445" s="116">
        <f t="shared" si="13"/>
        <v>1</v>
      </c>
      <c r="B445" s="1169" t="str">
        <f>VLOOKUP(D445,'LA List'!$A$3:$B$500,2,0)</f>
        <v>E3335</v>
      </c>
      <c r="C445" s="1169" t="str">
        <f t="shared" si="12"/>
        <v>E3335EZ1</v>
      </c>
      <c r="D445" s="540" t="s">
        <v>528</v>
      </c>
      <c r="E445" s="540"/>
      <c r="G445" s="1167"/>
      <c r="H445" s="1166"/>
      <c r="I445" s="1165"/>
    </row>
    <row r="446" spans="1:9" x14ac:dyDescent="0.2">
      <c r="A446" s="116">
        <f t="shared" si="13"/>
        <v>1</v>
      </c>
      <c r="B446" s="1169" t="str">
        <f>VLOOKUP(D446,'LA List'!$A$3:$B$500,2,0)</f>
        <v>E5022</v>
      </c>
      <c r="C446" s="1169" t="str">
        <f t="shared" si="12"/>
        <v>E5022EZ1</v>
      </c>
      <c r="D446" s="540" t="s">
        <v>530</v>
      </c>
      <c r="E446" s="540"/>
      <c r="G446" s="1167"/>
      <c r="H446" s="1166"/>
      <c r="I446" s="1165"/>
    </row>
    <row r="447" spans="1:9" x14ac:dyDescent="0.2">
      <c r="A447" s="116">
        <f t="shared" si="13"/>
        <v>1</v>
      </c>
      <c r="B447" s="1169" t="str">
        <f>VLOOKUP(D447,'LA List'!$A$3:$B$500,2,0)</f>
        <v>E1238</v>
      </c>
      <c r="C447" s="1169" t="str">
        <f t="shared" si="12"/>
        <v>E1238EZ1</v>
      </c>
      <c r="D447" s="540" t="s">
        <v>532</v>
      </c>
      <c r="E447" s="540"/>
      <c r="G447" s="1167"/>
      <c r="H447" s="1166"/>
      <c r="I447" s="1165"/>
    </row>
    <row r="448" spans="1:9" x14ac:dyDescent="0.2">
      <c r="A448" s="116">
        <f t="shared" si="13"/>
        <v>1</v>
      </c>
      <c r="B448" s="1169" t="str">
        <f>VLOOKUP(D448,'LA List'!$A$3:$B$500,2,0)</f>
        <v>E4210</v>
      </c>
      <c r="C448" s="1169" t="str">
        <f t="shared" si="12"/>
        <v>E4210EZ1</v>
      </c>
      <c r="D448" s="540" t="s">
        <v>534</v>
      </c>
      <c r="E448" s="540"/>
      <c r="G448" s="1167"/>
      <c r="H448" s="1166"/>
      <c r="I448" s="1165"/>
    </row>
    <row r="449" spans="1:9" x14ac:dyDescent="0.2">
      <c r="A449" s="116">
        <f t="shared" si="13"/>
        <v>1</v>
      </c>
      <c r="B449" s="1169" t="str">
        <f>VLOOKUP(D449,'LA List'!$A$3:$B$500,2,0)</f>
        <v>E3902</v>
      </c>
      <c r="C449" s="1169" t="str">
        <f t="shared" si="12"/>
        <v>E3902EZ1</v>
      </c>
      <c r="D449" s="540" t="s">
        <v>536</v>
      </c>
      <c r="E449" s="540"/>
      <c r="G449" s="1167"/>
      <c r="H449" s="1166"/>
      <c r="I449" s="1165"/>
    </row>
    <row r="450" spans="1:9" x14ac:dyDescent="0.2">
      <c r="A450" s="116">
        <f t="shared" si="13"/>
        <v>1</v>
      </c>
      <c r="B450" s="1169" t="str">
        <f>VLOOKUP(D450,'LA List'!$A$3:$B$500,2,0)</f>
        <v>E1743</v>
      </c>
      <c r="C450" s="1169" t="str">
        <f t="shared" si="12"/>
        <v>E1743EZ1</v>
      </c>
      <c r="D450" s="540" t="s">
        <v>538</v>
      </c>
      <c r="E450" s="540"/>
      <c r="G450" s="1167"/>
      <c r="H450" s="1166"/>
      <c r="I450" s="1165"/>
    </row>
    <row r="451" spans="1:9" x14ac:dyDescent="0.2">
      <c r="A451" s="116">
        <f t="shared" si="13"/>
        <v>1</v>
      </c>
      <c r="B451" s="1169" t="str">
        <f>VLOOKUP(D451,'LA List'!$A$3:$B$500,2,0)</f>
        <v>E0305</v>
      </c>
      <c r="C451" s="1169" t="str">
        <f t="shared" si="12"/>
        <v>E0305EZ1</v>
      </c>
      <c r="D451" s="540" t="s">
        <v>540</v>
      </c>
      <c r="E451" s="540"/>
      <c r="G451" s="1167"/>
      <c r="H451" s="1166"/>
      <c r="I451" s="1165"/>
    </row>
    <row r="452" spans="1:9" x14ac:dyDescent="0.2">
      <c r="A452" s="116">
        <f t="shared" si="13"/>
        <v>1</v>
      </c>
      <c r="B452" s="1169" t="str">
        <f>VLOOKUP(D452,'LA List'!$A$3:$B$500,2,0)</f>
        <v>E4305</v>
      </c>
      <c r="C452" s="1169" t="str">
        <f t="shared" ref="C452:C463" si="14">CONCATENATE(B452,"EZ",A452)</f>
        <v>E4305EZ1</v>
      </c>
      <c r="D452" s="540" t="s">
        <v>542</v>
      </c>
      <c r="E452" s="540" t="s">
        <v>990</v>
      </c>
      <c r="G452" s="1167"/>
      <c r="H452" s="1166"/>
      <c r="I452" s="1165"/>
    </row>
    <row r="453" spans="1:9" x14ac:dyDescent="0.2">
      <c r="A453" s="116">
        <f t="shared" ref="A453:A463" si="15">IF(D453=D452,A452+1,1)</f>
        <v>2</v>
      </c>
      <c r="B453" s="1169" t="str">
        <f>VLOOKUP(D453,'LA List'!$A$3:$B$500,2,0)</f>
        <v>E4305</v>
      </c>
      <c r="C453" s="1169" t="str">
        <f t="shared" si="14"/>
        <v>E4305EZ2</v>
      </c>
      <c r="D453" s="540" t="s">
        <v>542</v>
      </c>
      <c r="E453" s="540" t="s">
        <v>3079</v>
      </c>
      <c r="G453" s="1167"/>
      <c r="H453" s="1166"/>
      <c r="I453" s="1165"/>
    </row>
    <row r="454" spans="1:9" x14ac:dyDescent="0.2">
      <c r="A454" s="116">
        <f t="shared" si="15"/>
        <v>1</v>
      </c>
      <c r="B454" s="1169" t="str">
        <f>VLOOKUP(D454,'LA List'!$A$3:$B$500,2,0)</f>
        <v>E3641</v>
      </c>
      <c r="C454" s="1169" t="str">
        <f t="shared" si="14"/>
        <v>E3641EZ1</v>
      </c>
      <c r="D454" s="540" t="s">
        <v>544</v>
      </c>
      <c r="E454" s="540"/>
      <c r="G454" s="1167"/>
      <c r="H454" s="1166"/>
      <c r="I454" s="1165"/>
    </row>
    <row r="455" spans="1:9" x14ac:dyDescent="0.2">
      <c r="A455" s="116">
        <f t="shared" si="15"/>
        <v>1</v>
      </c>
      <c r="B455" s="1169" t="str">
        <f>VLOOKUP(D455,'LA List'!$A$3:$B$500,2,0)</f>
        <v>E0306</v>
      </c>
      <c r="C455" s="1169" t="str">
        <f t="shared" si="14"/>
        <v>E0306EZ1</v>
      </c>
      <c r="D455" s="540" t="s">
        <v>546</v>
      </c>
      <c r="E455" s="540"/>
      <c r="G455" s="1167"/>
      <c r="H455" s="1166"/>
      <c r="I455" s="1165"/>
    </row>
    <row r="456" spans="1:9" x14ac:dyDescent="0.2">
      <c r="A456" s="116">
        <f t="shared" si="15"/>
        <v>1</v>
      </c>
      <c r="B456" s="1169" t="str">
        <f>VLOOKUP(D456,'LA List'!$A$3:$B$500,2,0)</f>
        <v>E4607</v>
      </c>
      <c r="C456" s="1169" t="str">
        <f t="shared" si="14"/>
        <v>E4607EZ1</v>
      </c>
      <c r="D456" s="540" t="s">
        <v>548</v>
      </c>
      <c r="E456" s="540" t="s">
        <v>1000</v>
      </c>
      <c r="G456" s="1167"/>
      <c r="H456" s="1166"/>
      <c r="I456" s="1165"/>
    </row>
    <row r="457" spans="1:9" x14ac:dyDescent="0.2">
      <c r="A457" s="116">
        <f t="shared" si="15"/>
        <v>1</v>
      </c>
      <c r="B457" s="1169" t="str">
        <f>VLOOKUP(D457,'LA List'!$A$3:$B$500,2,0)</f>
        <v>E1837</v>
      </c>
      <c r="C457" s="1169" t="str">
        <f t="shared" si="14"/>
        <v>E1837EZ1</v>
      </c>
      <c r="D457" s="540" t="s">
        <v>550</v>
      </c>
      <c r="E457" s="540"/>
      <c r="G457" s="1167"/>
      <c r="H457" s="1166"/>
      <c r="I457" s="1165"/>
    </row>
    <row r="458" spans="1:9" x14ac:dyDescent="0.2">
      <c r="A458" s="116">
        <f t="shared" si="15"/>
        <v>1</v>
      </c>
      <c r="B458" s="1169" t="str">
        <f>VLOOKUP(D458,'LA List'!$A$3:$B$500,2,0)</f>
        <v>E3837</v>
      </c>
      <c r="C458" s="1169" t="str">
        <f t="shared" si="14"/>
        <v>E3837EZ1</v>
      </c>
      <c r="D458" s="540" t="s">
        <v>552</v>
      </c>
      <c r="E458" s="540"/>
      <c r="G458" s="1167"/>
      <c r="H458" s="1166"/>
      <c r="I458" s="1165"/>
    </row>
    <row r="459" spans="1:9" x14ac:dyDescent="0.2">
      <c r="A459" s="116">
        <f t="shared" si="15"/>
        <v>1</v>
      </c>
      <c r="B459" s="1169" t="str">
        <f>VLOOKUP(D459,'LA List'!$A$3:$B$500,2,0)</f>
        <v>E1838</v>
      </c>
      <c r="C459" s="1169" t="str">
        <f t="shared" si="14"/>
        <v>E1838EZ1</v>
      </c>
      <c r="D459" s="540" t="s">
        <v>554</v>
      </c>
      <c r="E459" s="540"/>
      <c r="G459" s="1167"/>
      <c r="H459" s="1166"/>
      <c r="I459" s="1165"/>
    </row>
    <row r="460" spans="1:9" x14ac:dyDescent="0.2">
      <c r="A460" s="116">
        <f t="shared" si="15"/>
        <v>1</v>
      </c>
      <c r="B460" s="1169" t="str">
        <f>VLOOKUP(D460,'LA List'!$A$3:$B$500,2,0)</f>
        <v>E0435</v>
      </c>
      <c r="C460" s="1169" t="str">
        <f t="shared" si="14"/>
        <v>E0435EZ1</v>
      </c>
      <c r="D460" s="540" t="s">
        <v>556</v>
      </c>
      <c r="E460" s="540"/>
      <c r="G460" s="1167"/>
      <c r="H460" s="1166"/>
      <c r="I460" s="1165"/>
    </row>
    <row r="461" spans="1:9" x14ac:dyDescent="0.2">
      <c r="A461" s="116">
        <f t="shared" si="15"/>
        <v>1</v>
      </c>
      <c r="B461" s="1169" t="str">
        <f>VLOOKUP(D461,'LA List'!$A$3:$B$500,2,0)</f>
        <v>E2344</v>
      </c>
      <c r="C461" s="1169" t="str">
        <f t="shared" si="14"/>
        <v>E2344EZ1</v>
      </c>
      <c r="D461" s="540" t="s">
        <v>558</v>
      </c>
      <c r="E461" s="540" t="s">
        <v>3080</v>
      </c>
      <c r="G461" s="1167"/>
      <c r="H461" s="1166"/>
      <c r="I461" s="1165"/>
    </row>
    <row r="462" spans="1:9" x14ac:dyDescent="0.2">
      <c r="A462" s="116">
        <f t="shared" si="15"/>
        <v>1</v>
      </c>
      <c r="B462" s="1169" t="str">
        <f>VLOOKUP(D462,'LA List'!$A$3:$B$500,2,0)</f>
        <v>E1839</v>
      </c>
      <c r="C462" s="1169" t="str">
        <f t="shared" si="14"/>
        <v>E1839EZ1</v>
      </c>
      <c r="D462" s="540" t="s">
        <v>560</v>
      </c>
      <c r="E462" s="540"/>
      <c r="G462" s="1167"/>
      <c r="H462" s="1166"/>
      <c r="I462" s="1165"/>
    </row>
    <row r="463" spans="1:9" x14ac:dyDescent="0.2">
      <c r="A463" s="116">
        <f t="shared" si="15"/>
        <v>1</v>
      </c>
      <c r="B463" s="1169" t="str">
        <f>VLOOKUP(D463,'LA List'!$A$3:$B$500,2,0)</f>
        <v>E2701</v>
      </c>
      <c r="C463" s="1169" t="str">
        <f t="shared" si="14"/>
        <v>E2701EZ1</v>
      </c>
      <c r="D463" s="540" t="s">
        <v>562</v>
      </c>
      <c r="E463" s="540" t="s">
        <v>3081</v>
      </c>
      <c r="G463" s="1167"/>
      <c r="H463" s="1166"/>
      <c r="I463" s="1165"/>
    </row>
    <row r="464" spans="1:9" x14ac:dyDescent="0.2">
      <c r="D464" s="540"/>
      <c r="E464" s="540"/>
      <c r="G464" s="1167"/>
      <c r="H464" s="1166"/>
      <c r="I464" s="1165"/>
    </row>
    <row r="465" spans="2:9" s="540" customFormat="1" x14ac:dyDescent="0.2">
      <c r="B465" s="503"/>
      <c r="C465" s="503"/>
      <c r="D465" s="960"/>
      <c r="E465" s="960"/>
      <c r="F465" s="960"/>
      <c r="G465" s="960"/>
      <c r="H465" s="960"/>
      <c r="I465" s="960"/>
    </row>
    <row r="466" spans="2:9" s="540" customFormat="1" x14ac:dyDescent="0.2">
      <c r="B466" s="503"/>
      <c r="C466" s="503"/>
      <c r="D466" s="960"/>
      <c r="E466" s="960"/>
      <c r="F466" s="960"/>
      <c r="G466" s="960"/>
      <c r="H466" s="960"/>
      <c r="I466" s="960"/>
    </row>
    <row r="467" spans="2:9" s="540" customFormat="1" x14ac:dyDescent="0.2">
      <c r="B467" s="503"/>
      <c r="C467" s="503"/>
      <c r="D467" s="960"/>
      <c r="E467" s="960"/>
      <c r="F467" s="960"/>
      <c r="G467" s="960"/>
      <c r="H467" s="960"/>
      <c r="I467" s="960"/>
    </row>
    <row r="468" spans="2:9" s="540" customFormat="1" x14ac:dyDescent="0.2">
      <c r="B468" s="503"/>
      <c r="C468" s="503"/>
      <c r="D468" s="960"/>
      <c r="E468" s="960"/>
      <c r="F468" s="960"/>
      <c r="G468" s="960"/>
      <c r="H468" s="960"/>
      <c r="I468" s="960"/>
    </row>
    <row r="469" spans="2:9" s="540" customFormat="1" x14ac:dyDescent="0.2">
      <c r="B469" s="503"/>
      <c r="C469" s="503"/>
      <c r="D469" s="960"/>
      <c r="E469" s="960"/>
      <c r="F469" s="960"/>
      <c r="G469" s="960"/>
      <c r="H469" s="960"/>
      <c r="I469" s="960"/>
    </row>
    <row r="470" spans="2:9" s="540" customFormat="1" x14ac:dyDescent="0.2">
      <c r="B470" s="503"/>
      <c r="C470" s="503"/>
      <c r="F470" s="960"/>
      <c r="G470" s="960"/>
      <c r="H470" s="960"/>
      <c r="I470" s="960"/>
    </row>
    <row r="471" spans="2:9" s="540" customFormat="1" x14ac:dyDescent="0.2">
      <c r="B471" s="503"/>
      <c r="C471" s="503"/>
      <c r="F471" s="960"/>
      <c r="G471" s="960"/>
      <c r="H471" s="960"/>
      <c r="I471" s="960"/>
    </row>
    <row r="472" spans="2:9" s="540" customFormat="1" x14ac:dyDescent="0.2">
      <c r="B472" s="503"/>
      <c r="C472" s="503"/>
      <c r="F472" s="960"/>
      <c r="G472" s="960"/>
      <c r="H472" s="960"/>
      <c r="I472" s="960"/>
    </row>
    <row r="473" spans="2:9" s="540" customFormat="1" x14ac:dyDescent="0.2">
      <c r="B473" s="503"/>
      <c r="C473" s="503"/>
      <c r="F473" s="960"/>
      <c r="G473" s="960"/>
      <c r="H473" s="960"/>
      <c r="I473" s="960"/>
    </row>
    <row r="474" spans="2:9" s="540" customFormat="1" x14ac:dyDescent="0.2">
      <c r="B474" s="503"/>
      <c r="C474" s="503"/>
      <c r="F474" s="960"/>
      <c r="G474" s="960"/>
      <c r="H474" s="960"/>
      <c r="I474" s="960"/>
    </row>
    <row r="475" spans="2:9" s="540" customFormat="1" x14ac:dyDescent="0.2">
      <c r="B475" s="503"/>
      <c r="C475" s="503"/>
      <c r="F475" s="960"/>
      <c r="G475" s="960"/>
      <c r="H475" s="960"/>
      <c r="I475" s="960"/>
    </row>
    <row r="476" spans="2:9" s="540" customFormat="1" x14ac:dyDescent="0.2">
      <c r="B476" s="503"/>
      <c r="C476" s="503"/>
      <c r="F476" s="960"/>
      <c r="G476" s="960"/>
      <c r="H476" s="960"/>
      <c r="I476" s="960"/>
    </row>
    <row r="477" spans="2:9" s="540" customFormat="1" x14ac:dyDescent="0.2">
      <c r="B477" s="503"/>
      <c r="C477" s="503"/>
      <c r="F477" s="960"/>
      <c r="G477" s="960"/>
      <c r="H477" s="960"/>
      <c r="I477" s="960"/>
    </row>
    <row r="478" spans="2:9" s="540" customFormat="1" x14ac:dyDescent="0.2">
      <c r="B478" s="503"/>
      <c r="C478" s="503"/>
      <c r="F478" s="960"/>
      <c r="G478" s="960"/>
      <c r="H478" s="960"/>
      <c r="I478" s="960"/>
    </row>
    <row r="479" spans="2:9" s="540" customFormat="1" x14ac:dyDescent="0.2">
      <c r="B479" s="503"/>
      <c r="C479" s="503"/>
      <c r="F479" s="960"/>
      <c r="G479" s="960"/>
      <c r="H479" s="960"/>
      <c r="I479" s="960"/>
    </row>
    <row r="480" spans="2:9" s="540" customFormat="1" x14ac:dyDescent="0.2">
      <c r="B480" s="503"/>
      <c r="C480" s="503"/>
      <c r="F480" s="960"/>
      <c r="G480" s="960"/>
      <c r="H480" s="960"/>
      <c r="I480" s="960"/>
    </row>
    <row r="481" spans="2:9" s="540" customFormat="1" x14ac:dyDescent="0.2">
      <c r="B481" s="503"/>
      <c r="C481" s="503"/>
      <c r="F481" s="960"/>
      <c r="G481" s="960"/>
      <c r="H481" s="960"/>
      <c r="I481" s="960"/>
    </row>
    <row r="482" spans="2:9" s="540" customFormat="1" x14ac:dyDescent="0.2">
      <c r="B482" s="503"/>
      <c r="C482" s="503"/>
      <c r="F482" s="960"/>
      <c r="G482" s="960"/>
      <c r="H482" s="960"/>
      <c r="I482" s="960"/>
    </row>
    <row r="483" spans="2:9" s="540" customFormat="1" x14ac:dyDescent="0.2">
      <c r="B483" s="503"/>
      <c r="C483" s="503"/>
      <c r="F483" s="960"/>
      <c r="G483" s="960"/>
      <c r="H483" s="960"/>
      <c r="I483" s="960"/>
    </row>
    <row r="484" spans="2:9" s="540" customFormat="1" x14ac:dyDescent="0.2">
      <c r="B484" s="503"/>
      <c r="C484" s="503"/>
      <c r="F484" s="960"/>
      <c r="G484" s="960"/>
      <c r="H484" s="960"/>
      <c r="I484" s="960"/>
    </row>
    <row r="485" spans="2:9" s="540" customFormat="1" x14ac:dyDescent="0.2">
      <c r="B485" s="503"/>
      <c r="C485" s="503"/>
      <c r="F485" s="960"/>
      <c r="G485" s="960"/>
      <c r="H485" s="960"/>
      <c r="I485" s="960"/>
    </row>
    <row r="486" spans="2:9" s="540" customFormat="1" x14ac:dyDescent="0.2">
      <c r="B486" s="503"/>
      <c r="C486" s="503"/>
      <c r="F486" s="960"/>
      <c r="G486" s="960"/>
      <c r="H486" s="960"/>
      <c r="I486" s="960"/>
    </row>
    <row r="487" spans="2:9" s="540" customFormat="1" x14ac:dyDescent="0.2">
      <c r="B487" s="503"/>
      <c r="C487" s="503"/>
      <c r="F487" s="960"/>
      <c r="G487" s="960"/>
      <c r="H487" s="960"/>
      <c r="I487" s="960"/>
    </row>
    <row r="488" spans="2:9" s="540" customFormat="1" x14ac:dyDescent="0.2">
      <c r="B488" s="503"/>
      <c r="C488" s="503"/>
      <c r="F488" s="960"/>
      <c r="G488" s="960"/>
      <c r="H488" s="960"/>
      <c r="I488" s="960"/>
    </row>
    <row r="489" spans="2:9" s="540" customFormat="1" x14ac:dyDescent="0.2">
      <c r="B489" s="503"/>
      <c r="C489" s="503"/>
      <c r="F489" s="960"/>
      <c r="G489" s="960"/>
      <c r="H489" s="960"/>
      <c r="I489" s="960"/>
    </row>
    <row r="490" spans="2:9" s="540" customFormat="1" x14ac:dyDescent="0.2">
      <c r="B490" s="503"/>
      <c r="C490" s="503"/>
      <c r="F490" s="960"/>
      <c r="G490" s="960"/>
      <c r="H490" s="960"/>
      <c r="I490" s="960"/>
    </row>
    <row r="491" spans="2:9" s="540" customFormat="1" x14ac:dyDescent="0.2">
      <c r="B491" s="503"/>
      <c r="C491" s="503"/>
      <c r="F491" s="960"/>
      <c r="G491" s="960"/>
      <c r="H491" s="960"/>
      <c r="I491" s="960"/>
    </row>
    <row r="492" spans="2:9" s="540" customFormat="1" x14ac:dyDescent="0.2">
      <c r="B492" s="503"/>
      <c r="C492" s="503"/>
      <c r="F492" s="960"/>
      <c r="G492" s="960"/>
      <c r="H492" s="960"/>
      <c r="I492" s="960"/>
    </row>
    <row r="493" spans="2:9" s="540" customFormat="1" x14ac:dyDescent="0.2">
      <c r="B493" s="503"/>
      <c r="C493" s="503"/>
      <c r="F493" s="960"/>
      <c r="G493" s="960"/>
      <c r="H493" s="960"/>
      <c r="I493" s="960"/>
    </row>
    <row r="494" spans="2:9" s="540" customFormat="1" x14ac:dyDescent="0.2">
      <c r="B494" s="503"/>
      <c r="C494" s="503"/>
      <c r="F494" s="960"/>
      <c r="G494" s="960"/>
      <c r="H494" s="960"/>
      <c r="I494" s="960"/>
    </row>
    <row r="495" spans="2:9" s="540" customFormat="1" x14ac:dyDescent="0.2">
      <c r="B495" s="503"/>
      <c r="C495" s="503"/>
      <c r="F495" s="960"/>
      <c r="G495" s="960"/>
      <c r="H495" s="960"/>
      <c r="I495" s="960"/>
    </row>
    <row r="496" spans="2:9" s="540" customFormat="1" x14ac:dyDescent="0.2">
      <c r="B496" s="503"/>
      <c r="C496" s="503"/>
      <c r="F496" s="960"/>
      <c r="G496" s="960"/>
      <c r="H496" s="960"/>
      <c r="I496" s="960"/>
    </row>
    <row r="497" spans="2:9" s="540" customFormat="1" x14ac:dyDescent="0.2">
      <c r="B497" s="503"/>
      <c r="C497" s="503"/>
      <c r="F497" s="960"/>
      <c r="G497" s="960"/>
      <c r="H497" s="960"/>
      <c r="I497" s="960"/>
    </row>
    <row r="498" spans="2:9" s="540" customFormat="1" x14ac:dyDescent="0.2">
      <c r="B498" s="503"/>
      <c r="C498" s="503"/>
      <c r="F498" s="960"/>
      <c r="G498" s="960"/>
      <c r="H498" s="960"/>
      <c r="I498" s="960"/>
    </row>
    <row r="499" spans="2:9" s="540" customFormat="1" x14ac:dyDescent="0.2">
      <c r="B499" s="503"/>
      <c r="C499" s="503"/>
      <c r="F499" s="960"/>
      <c r="G499" s="960"/>
      <c r="H499" s="960"/>
      <c r="I499" s="960"/>
    </row>
    <row r="500" spans="2:9" s="540" customFormat="1" x14ac:dyDescent="0.2">
      <c r="B500" s="503"/>
      <c r="C500" s="503"/>
      <c r="F500" s="960"/>
      <c r="G500" s="960"/>
      <c r="H500" s="960"/>
      <c r="I500" s="960"/>
    </row>
    <row r="501" spans="2:9" s="540" customFormat="1" x14ac:dyDescent="0.2">
      <c r="B501" s="503"/>
      <c r="C501" s="503"/>
      <c r="F501" s="960"/>
      <c r="G501" s="960"/>
      <c r="H501" s="960"/>
      <c r="I501" s="960"/>
    </row>
    <row r="502" spans="2:9" s="540" customFormat="1" x14ac:dyDescent="0.2">
      <c r="B502" s="503"/>
      <c r="C502" s="503"/>
      <c r="F502" s="960"/>
      <c r="G502" s="960"/>
      <c r="H502" s="960"/>
      <c r="I502" s="960"/>
    </row>
    <row r="503" spans="2:9" s="540" customFormat="1" x14ac:dyDescent="0.2">
      <c r="B503" s="503"/>
      <c r="C503" s="503"/>
      <c r="F503" s="960"/>
      <c r="G503" s="960"/>
      <c r="H503" s="960"/>
      <c r="I503" s="960"/>
    </row>
    <row r="504" spans="2:9" s="540" customFormat="1" x14ac:dyDescent="0.2">
      <c r="B504" s="503"/>
      <c r="C504" s="503"/>
      <c r="F504" s="960"/>
      <c r="G504" s="960"/>
      <c r="H504" s="960"/>
      <c r="I504" s="960"/>
    </row>
    <row r="505" spans="2:9" s="540" customFormat="1" x14ac:dyDescent="0.2">
      <c r="B505" s="503"/>
      <c r="C505" s="503"/>
      <c r="F505" s="960"/>
      <c r="G505" s="960"/>
      <c r="H505" s="960"/>
      <c r="I505" s="960"/>
    </row>
    <row r="506" spans="2:9" s="540" customFormat="1" x14ac:dyDescent="0.2">
      <c r="B506" s="503"/>
      <c r="C506" s="503"/>
      <c r="F506" s="960"/>
      <c r="G506" s="960"/>
      <c r="H506" s="960"/>
      <c r="I506" s="960"/>
    </row>
    <row r="507" spans="2:9" s="540" customFormat="1" x14ac:dyDescent="0.2">
      <c r="B507" s="503"/>
      <c r="C507" s="503"/>
      <c r="F507" s="960"/>
      <c r="G507" s="960"/>
      <c r="H507" s="960"/>
      <c r="I507" s="960"/>
    </row>
    <row r="508" spans="2:9" s="540" customFormat="1" x14ac:dyDescent="0.2">
      <c r="B508" s="503"/>
      <c r="C508" s="503"/>
      <c r="F508" s="960"/>
      <c r="G508" s="960"/>
      <c r="H508" s="960"/>
      <c r="I508" s="960"/>
    </row>
    <row r="509" spans="2:9" s="540" customFormat="1" x14ac:dyDescent="0.2">
      <c r="B509" s="503"/>
      <c r="C509" s="503"/>
      <c r="F509" s="960"/>
      <c r="G509" s="960"/>
      <c r="H509" s="960"/>
      <c r="I509" s="960"/>
    </row>
    <row r="510" spans="2:9" s="540" customFormat="1" x14ac:dyDescent="0.2">
      <c r="B510" s="503"/>
      <c r="C510" s="503"/>
      <c r="F510" s="960"/>
      <c r="G510" s="960"/>
      <c r="H510" s="960"/>
      <c r="I510" s="960"/>
    </row>
    <row r="511" spans="2:9" s="540" customFormat="1" x14ac:dyDescent="0.2">
      <c r="B511" s="503"/>
      <c r="C511" s="503"/>
      <c r="F511" s="960"/>
      <c r="G511" s="960"/>
      <c r="H511" s="960"/>
      <c r="I511" s="960"/>
    </row>
    <row r="512" spans="2:9" s="540" customFormat="1" x14ac:dyDescent="0.2">
      <c r="B512" s="503"/>
      <c r="C512" s="503"/>
      <c r="F512" s="960"/>
      <c r="G512" s="960"/>
      <c r="H512" s="960"/>
      <c r="I512" s="960"/>
    </row>
    <row r="513" spans="2:9" s="540" customFormat="1" x14ac:dyDescent="0.2">
      <c r="B513" s="503"/>
      <c r="C513" s="503"/>
      <c r="F513" s="960"/>
      <c r="G513" s="960"/>
      <c r="H513" s="960"/>
      <c r="I513" s="960"/>
    </row>
    <row r="514" spans="2:9" s="540" customFormat="1" x14ac:dyDescent="0.2">
      <c r="B514" s="503"/>
      <c r="C514" s="503"/>
      <c r="F514" s="960"/>
      <c r="G514" s="960"/>
      <c r="H514" s="960"/>
      <c r="I514" s="960"/>
    </row>
    <row r="515" spans="2:9" s="540" customFormat="1" x14ac:dyDescent="0.2">
      <c r="B515" s="503"/>
      <c r="C515" s="503"/>
      <c r="F515" s="960"/>
      <c r="G515" s="960"/>
      <c r="H515" s="960"/>
      <c r="I515" s="960"/>
    </row>
    <row r="516" spans="2:9" s="540" customFormat="1" x14ac:dyDescent="0.2">
      <c r="B516" s="503"/>
      <c r="C516" s="503"/>
      <c r="F516" s="960"/>
      <c r="G516" s="960"/>
      <c r="H516" s="960"/>
      <c r="I516" s="960"/>
    </row>
    <row r="517" spans="2:9" s="540" customFormat="1" x14ac:dyDescent="0.2">
      <c r="B517" s="503"/>
      <c r="C517" s="503"/>
      <c r="F517" s="960"/>
      <c r="G517" s="960"/>
      <c r="H517" s="960"/>
      <c r="I517" s="960"/>
    </row>
    <row r="518" spans="2:9" s="540" customFormat="1" x14ac:dyDescent="0.2">
      <c r="B518" s="503"/>
      <c r="C518" s="503"/>
      <c r="F518" s="960"/>
      <c r="G518" s="960"/>
      <c r="H518" s="960"/>
      <c r="I518" s="960"/>
    </row>
    <row r="519" spans="2:9" s="540" customFormat="1" x14ac:dyDescent="0.2">
      <c r="B519" s="503"/>
      <c r="C519" s="503"/>
      <c r="F519" s="960"/>
      <c r="G519" s="960"/>
      <c r="H519" s="960"/>
      <c r="I519" s="960"/>
    </row>
    <row r="520" spans="2:9" s="540" customFormat="1" x14ac:dyDescent="0.2">
      <c r="B520" s="503"/>
      <c r="C520" s="503"/>
      <c r="F520" s="960"/>
      <c r="G520" s="960"/>
      <c r="H520" s="960"/>
      <c r="I520" s="960"/>
    </row>
    <row r="521" spans="2:9" s="540" customFormat="1" x14ac:dyDescent="0.2">
      <c r="B521" s="503"/>
      <c r="C521" s="503"/>
      <c r="F521" s="960"/>
      <c r="G521" s="960"/>
      <c r="H521" s="960"/>
      <c r="I521" s="960"/>
    </row>
    <row r="522" spans="2:9" s="540" customFormat="1" x14ac:dyDescent="0.2">
      <c r="B522" s="503"/>
      <c r="C522" s="503"/>
      <c r="F522" s="960"/>
      <c r="G522" s="960"/>
      <c r="H522" s="960"/>
      <c r="I522" s="960"/>
    </row>
    <row r="523" spans="2:9" s="540" customFormat="1" x14ac:dyDescent="0.2">
      <c r="B523" s="503"/>
      <c r="C523" s="503"/>
      <c r="F523" s="960"/>
      <c r="G523" s="960"/>
      <c r="H523" s="960"/>
      <c r="I523" s="960"/>
    </row>
    <row r="524" spans="2:9" s="540" customFormat="1" x14ac:dyDescent="0.2">
      <c r="B524" s="503"/>
      <c r="C524" s="503"/>
      <c r="F524" s="960"/>
      <c r="G524" s="960"/>
      <c r="H524" s="960"/>
      <c r="I524" s="960"/>
    </row>
    <row r="525" spans="2:9" s="540" customFormat="1" x14ac:dyDescent="0.2">
      <c r="B525" s="503"/>
      <c r="C525" s="503"/>
      <c r="F525" s="960"/>
      <c r="G525" s="960"/>
      <c r="H525" s="960"/>
      <c r="I525" s="960"/>
    </row>
    <row r="526" spans="2:9" s="540" customFormat="1" x14ac:dyDescent="0.2">
      <c r="B526" s="503"/>
      <c r="C526" s="503"/>
      <c r="F526" s="960"/>
      <c r="G526" s="960"/>
      <c r="H526" s="960"/>
      <c r="I526" s="960"/>
    </row>
    <row r="527" spans="2:9" s="540" customFormat="1" x14ac:dyDescent="0.2">
      <c r="B527" s="503"/>
      <c r="C527" s="503"/>
      <c r="F527" s="960"/>
      <c r="G527" s="960"/>
      <c r="H527" s="960"/>
      <c r="I527" s="960"/>
    </row>
    <row r="528" spans="2:9" s="540" customFormat="1" x14ac:dyDescent="0.2">
      <c r="B528" s="503"/>
      <c r="C528" s="503"/>
      <c r="F528" s="960"/>
      <c r="G528" s="960"/>
      <c r="H528" s="960"/>
      <c r="I528" s="960"/>
    </row>
    <row r="529" spans="2:9" s="540" customFormat="1" x14ac:dyDescent="0.2">
      <c r="B529" s="503"/>
      <c r="C529" s="503"/>
      <c r="F529" s="960"/>
      <c r="G529" s="960"/>
      <c r="H529" s="960"/>
      <c r="I529" s="960"/>
    </row>
    <row r="530" spans="2:9" s="540" customFormat="1" x14ac:dyDescent="0.2">
      <c r="B530" s="503"/>
      <c r="C530" s="503"/>
      <c r="F530" s="960"/>
      <c r="G530" s="960"/>
      <c r="H530" s="960"/>
      <c r="I530" s="960"/>
    </row>
    <row r="531" spans="2:9" s="540" customFormat="1" x14ac:dyDescent="0.2">
      <c r="B531" s="503"/>
      <c r="C531" s="503"/>
      <c r="F531" s="960"/>
      <c r="G531" s="960"/>
      <c r="H531" s="960"/>
      <c r="I531" s="960"/>
    </row>
    <row r="532" spans="2:9" s="540" customFormat="1" x14ac:dyDescent="0.2">
      <c r="B532" s="503"/>
      <c r="C532" s="503"/>
      <c r="F532" s="960"/>
      <c r="G532" s="960"/>
      <c r="H532" s="960"/>
      <c r="I532" s="960"/>
    </row>
    <row r="533" spans="2:9" s="540" customFormat="1" x14ac:dyDescent="0.2">
      <c r="B533" s="503"/>
      <c r="C533" s="503"/>
      <c r="F533" s="960"/>
      <c r="G533" s="960"/>
      <c r="H533" s="960"/>
      <c r="I533" s="960"/>
    </row>
    <row r="534" spans="2:9" s="540" customFormat="1" x14ac:dyDescent="0.2">
      <c r="B534" s="503"/>
      <c r="C534" s="503"/>
      <c r="F534" s="960"/>
      <c r="G534" s="960"/>
      <c r="H534" s="960"/>
      <c r="I534" s="960"/>
    </row>
    <row r="535" spans="2:9" s="540" customFormat="1" x14ac:dyDescent="0.2">
      <c r="B535" s="503"/>
      <c r="C535" s="503"/>
      <c r="F535" s="960"/>
      <c r="G535" s="960"/>
      <c r="H535" s="960"/>
      <c r="I535" s="960"/>
    </row>
    <row r="536" spans="2:9" s="540" customFormat="1" x14ac:dyDescent="0.2">
      <c r="B536" s="503"/>
      <c r="C536" s="503"/>
      <c r="F536" s="960"/>
      <c r="G536" s="960"/>
      <c r="H536" s="960"/>
      <c r="I536" s="960"/>
    </row>
    <row r="537" spans="2:9" s="540" customFormat="1" x14ac:dyDescent="0.2">
      <c r="B537" s="503"/>
      <c r="C537" s="503"/>
      <c r="F537" s="960"/>
      <c r="G537" s="960"/>
      <c r="H537" s="960"/>
      <c r="I537" s="960"/>
    </row>
    <row r="538" spans="2:9" s="540" customFormat="1" x14ac:dyDescent="0.2">
      <c r="B538" s="503"/>
      <c r="C538" s="503"/>
      <c r="F538" s="960"/>
      <c r="G538" s="960"/>
      <c r="H538" s="960"/>
      <c r="I538" s="960"/>
    </row>
    <row r="539" spans="2:9" s="540" customFormat="1" x14ac:dyDescent="0.2">
      <c r="B539" s="503"/>
      <c r="C539" s="503"/>
      <c r="F539" s="960"/>
      <c r="G539" s="960"/>
      <c r="H539" s="960"/>
      <c r="I539" s="960"/>
    </row>
    <row r="540" spans="2:9" s="540" customFormat="1" x14ac:dyDescent="0.2">
      <c r="B540" s="503"/>
      <c r="C540" s="503"/>
      <c r="F540" s="960"/>
      <c r="G540" s="960"/>
      <c r="H540" s="960"/>
      <c r="I540" s="960"/>
    </row>
    <row r="541" spans="2:9" s="540" customFormat="1" x14ac:dyDescent="0.2">
      <c r="B541" s="503"/>
      <c r="C541" s="503"/>
      <c r="F541" s="960"/>
      <c r="G541" s="960"/>
      <c r="H541" s="960"/>
      <c r="I541" s="960"/>
    </row>
    <row r="542" spans="2:9" s="540" customFormat="1" x14ac:dyDescent="0.2">
      <c r="B542" s="503"/>
      <c r="C542" s="503"/>
      <c r="F542" s="960"/>
      <c r="G542" s="960"/>
      <c r="H542" s="960"/>
      <c r="I542" s="960"/>
    </row>
    <row r="543" spans="2:9" s="540" customFormat="1" x14ac:dyDescent="0.2">
      <c r="B543" s="503"/>
      <c r="C543" s="503"/>
      <c r="F543" s="960"/>
      <c r="G543" s="960"/>
      <c r="H543" s="960"/>
      <c r="I543" s="960"/>
    </row>
    <row r="544" spans="2:9" s="540" customFormat="1" x14ac:dyDescent="0.2">
      <c r="B544" s="503"/>
      <c r="C544" s="503"/>
      <c r="F544" s="960"/>
      <c r="G544" s="960"/>
      <c r="H544" s="960"/>
      <c r="I544" s="960"/>
    </row>
    <row r="545" spans="2:9" s="540" customFormat="1" x14ac:dyDescent="0.2">
      <c r="B545" s="503"/>
      <c r="C545" s="503"/>
      <c r="F545" s="960"/>
      <c r="G545" s="960"/>
      <c r="H545" s="960"/>
      <c r="I545" s="960"/>
    </row>
    <row r="546" spans="2:9" s="540" customFormat="1" x14ac:dyDescent="0.2">
      <c r="B546" s="503"/>
      <c r="C546" s="503"/>
      <c r="F546" s="960"/>
      <c r="G546" s="960"/>
      <c r="H546" s="960"/>
      <c r="I546" s="960"/>
    </row>
    <row r="547" spans="2:9" s="540" customFormat="1" x14ac:dyDescent="0.2">
      <c r="B547" s="503"/>
      <c r="C547" s="503"/>
      <c r="F547" s="960"/>
      <c r="G547" s="960"/>
      <c r="H547" s="960"/>
      <c r="I547" s="960"/>
    </row>
    <row r="548" spans="2:9" s="540" customFormat="1" x14ac:dyDescent="0.2">
      <c r="B548" s="503"/>
      <c r="C548" s="503"/>
      <c r="F548" s="960"/>
      <c r="G548" s="960"/>
      <c r="H548" s="960"/>
      <c r="I548" s="960"/>
    </row>
    <row r="549" spans="2:9" s="540" customFormat="1" x14ac:dyDescent="0.2">
      <c r="B549" s="503"/>
      <c r="C549" s="503"/>
      <c r="F549" s="960"/>
      <c r="G549" s="960"/>
      <c r="H549" s="960"/>
      <c r="I549" s="960"/>
    </row>
    <row r="550" spans="2:9" s="540" customFormat="1" x14ac:dyDescent="0.2">
      <c r="B550" s="503"/>
      <c r="C550" s="503"/>
      <c r="F550" s="960"/>
      <c r="G550" s="960"/>
      <c r="H550" s="960"/>
      <c r="I550" s="960"/>
    </row>
    <row r="551" spans="2:9" s="540" customFormat="1" x14ac:dyDescent="0.2">
      <c r="B551" s="503"/>
      <c r="C551" s="503"/>
      <c r="F551" s="960"/>
      <c r="G551" s="960"/>
      <c r="H551" s="960"/>
      <c r="I551" s="960"/>
    </row>
    <row r="552" spans="2:9" s="540" customFormat="1" x14ac:dyDescent="0.2">
      <c r="B552" s="503"/>
      <c r="C552" s="503"/>
      <c r="F552" s="960"/>
      <c r="G552" s="960"/>
      <c r="H552" s="960"/>
      <c r="I552" s="960"/>
    </row>
    <row r="553" spans="2:9" s="540" customFormat="1" x14ac:dyDescent="0.2">
      <c r="B553" s="503"/>
      <c r="C553" s="503"/>
      <c r="F553" s="960"/>
      <c r="G553" s="960"/>
      <c r="H553" s="960"/>
      <c r="I553" s="960"/>
    </row>
    <row r="554" spans="2:9" s="540" customFormat="1" x14ac:dyDescent="0.2">
      <c r="B554" s="503"/>
      <c r="C554" s="503"/>
      <c r="F554" s="960"/>
      <c r="G554" s="960"/>
      <c r="H554" s="960"/>
      <c r="I554" s="960"/>
    </row>
    <row r="555" spans="2:9" s="540" customFormat="1" x14ac:dyDescent="0.2">
      <c r="B555" s="503"/>
      <c r="C555" s="503"/>
      <c r="F555" s="960"/>
      <c r="G555" s="960"/>
      <c r="H555" s="960"/>
      <c r="I555" s="960"/>
    </row>
    <row r="556" spans="2:9" s="540" customFormat="1" x14ac:dyDescent="0.2">
      <c r="B556" s="503"/>
      <c r="C556" s="503"/>
      <c r="F556" s="960"/>
      <c r="G556" s="960"/>
      <c r="H556" s="960"/>
      <c r="I556" s="960"/>
    </row>
    <row r="557" spans="2:9" s="540" customFormat="1" x14ac:dyDescent="0.2">
      <c r="B557" s="503"/>
      <c r="C557" s="503"/>
      <c r="F557" s="960"/>
      <c r="G557" s="960"/>
      <c r="H557" s="960"/>
      <c r="I557" s="960"/>
    </row>
    <row r="558" spans="2:9" s="540" customFormat="1" x14ac:dyDescent="0.2">
      <c r="B558" s="503"/>
      <c r="C558" s="503"/>
      <c r="F558" s="960"/>
      <c r="G558" s="960"/>
      <c r="H558" s="960"/>
      <c r="I558" s="960"/>
    </row>
  </sheetData>
  <sheetProtection sheet="1" objects="1" scenarios="1"/>
  <pageMargins left="0.75" right="0.75" top="1" bottom="1" header="0.5" footer="0.5"/>
  <pageSetup paperSize="9" scale="91"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328"/>
  <sheetViews>
    <sheetView workbookViewId="0">
      <selection sqref="A1:J1"/>
    </sheetView>
  </sheetViews>
  <sheetFormatPr defaultRowHeight="12.75" x14ac:dyDescent="0.2"/>
  <cols>
    <col min="1" max="1" width="24.42578125" customWidth="1"/>
    <col min="3" max="3" width="29.28515625" customWidth="1"/>
  </cols>
  <sheetData>
    <row r="1" spans="1:3" x14ac:dyDescent="0.2">
      <c r="A1" s="277" t="s">
        <v>2287</v>
      </c>
    </row>
    <row r="2" spans="1:3" x14ac:dyDescent="0.2">
      <c r="B2" t="s">
        <v>2286</v>
      </c>
    </row>
    <row r="3" spans="1:3" x14ac:dyDescent="0.2">
      <c r="A3" t="s">
        <v>842</v>
      </c>
      <c r="B3" t="s">
        <v>843</v>
      </c>
      <c r="C3" t="s">
        <v>842</v>
      </c>
    </row>
    <row r="4" spans="1:3" x14ac:dyDescent="0.2">
      <c r="A4" t="s">
        <v>844</v>
      </c>
      <c r="B4" t="s">
        <v>845</v>
      </c>
      <c r="C4" t="s">
        <v>844</v>
      </c>
    </row>
    <row r="5" spans="1:3" x14ac:dyDescent="0.2">
      <c r="A5" t="s">
        <v>846</v>
      </c>
      <c r="B5" t="s">
        <v>847</v>
      </c>
      <c r="C5" t="s">
        <v>846</v>
      </c>
    </row>
    <row r="6" spans="1:3" x14ac:dyDescent="0.2">
      <c r="A6" t="s">
        <v>848</v>
      </c>
      <c r="B6" t="s">
        <v>849</v>
      </c>
      <c r="C6" t="s">
        <v>848</v>
      </c>
    </row>
    <row r="7" spans="1:3" x14ac:dyDescent="0.2">
      <c r="A7" t="s">
        <v>850</v>
      </c>
      <c r="B7" t="s">
        <v>851</v>
      </c>
      <c r="C7" t="s">
        <v>850</v>
      </c>
    </row>
    <row r="8" spans="1:3" x14ac:dyDescent="0.2">
      <c r="A8" t="s">
        <v>852</v>
      </c>
      <c r="B8" t="s">
        <v>853</v>
      </c>
      <c r="C8" t="s">
        <v>852</v>
      </c>
    </row>
    <row r="9" spans="1:3" x14ac:dyDescent="0.2">
      <c r="A9" t="s">
        <v>854</v>
      </c>
      <c r="B9" t="s">
        <v>855</v>
      </c>
      <c r="C9" t="s">
        <v>854</v>
      </c>
    </row>
    <row r="10" spans="1:3" x14ac:dyDescent="0.2">
      <c r="A10" t="s">
        <v>856</v>
      </c>
      <c r="B10" t="s">
        <v>857</v>
      </c>
      <c r="C10" t="s">
        <v>856</v>
      </c>
    </row>
    <row r="11" spans="1:3" x14ac:dyDescent="0.2">
      <c r="A11" t="s">
        <v>858</v>
      </c>
      <c r="B11" t="s">
        <v>859</v>
      </c>
      <c r="C11" t="s">
        <v>858</v>
      </c>
    </row>
    <row r="12" spans="1:3" x14ac:dyDescent="0.2">
      <c r="A12" t="s">
        <v>860</v>
      </c>
      <c r="B12" t="s">
        <v>861</v>
      </c>
      <c r="C12" t="s">
        <v>860</v>
      </c>
    </row>
    <row r="13" spans="1:3" x14ac:dyDescent="0.2">
      <c r="A13" t="s">
        <v>862</v>
      </c>
      <c r="B13" t="s">
        <v>863</v>
      </c>
      <c r="C13" t="s">
        <v>862</v>
      </c>
    </row>
    <row r="14" spans="1:3" x14ac:dyDescent="0.2">
      <c r="A14" t="s">
        <v>864</v>
      </c>
      <c r="B14" t="s">
        <v>865</v>
      </c>
      <c r="C14" t="s">
        <v>864</v>
      </c>
    </row>
    <row r="15" spans="1:3" x14ac:dyDescent="0.2">
      <c r="A15" t="s">
        <v>866</v>
      </c>
      <c r="B15" t="s">
        <v>867</v>
      </c>
      <c r="C15" t="s">
        <v>866</v>
      </c>
    </row>
    <row r="16" spans="1:3" x14ac:dyDescent="0.2">
      <c r="A16" t="s">
        <v>868</v>
      </c>
      <c r="B16" t="s">
        <v>869</v>
      </c>
      <c r="C16" t="s">
        <v>868</v>
      </c>
    </row>
    <row r="17" spans="1:3" x14ac:dyDescent="0.2">
      <c r="A17" t="s">
        <v>870</v>
      </c>
      <c r="B17" t="s">
        <v>871</v>
      </c>
      <c r="C17" t="s">
        <v>870</v>
      </c>
    </row>
    <row r="18" spans="1:3" x14ac:dyDescent="0.2">
      <c r="A18" t="s">
        <v>872</v>
      </c>
      <c r="B18" t="s">
        <v>873</v>
      </c>
      <c r="C18" t="s">
        <v>872</v>
      </c>
    </row>
    <row r="19" spans="1:3" x14ac:dyDescent="0.2">
      <c r="A19" t="s">
        <v>874</v>
      </c>
      <c r="B19" t="s">
        <v>875</v>
      </c>
      <c r="C19" t="s">
        <v>874</v>
      </c>
    </row>
    <row r="20" spans="1:3" x14ac:dyDescent="0.2">
      <c r="A20" t="s">
        <v>876</v>
      </c>
      <c r="B20" t="s">
        <v>877</v>
      </c>
      <c r="C20" t="s">
        <v>876</v>
      </c>
    </row>
    <row r="21" spans="1:3" x14ac:dyDescent="0.2">
      <c r="A21" t="s">
        <v>878</v>
      </c>
      <c r="B21" t="s">
        <v>879</v>
      </c>
      <c r="C21" t="s">
        <v>878</v>
      </c>
    </row>
    <row r="22" spans="1:3" x14ac:dyDescent="0.2">
      <c r="A22" t="s">
        <v>880</v>
      </c>
      <c r="B22" t="s">
        <v>881</v>
      </c>
      <c r="C22" t="s">
        <v>880</v>
      </c>
    </row>
    <row r="23" spans="1:3" x14ac:dyDescent="0.2">
      <c r="A23" t="s">
        <v>882</v>
      </c>
      <c r="B23" t="s">
        <v>883</v>
      </c>
      <c r="C23" t="s">
        <v>882</v>
      </c>
    </row>
    <row r="24" spans="1:3" x14ac:dyDescent="0.2">
      <c r="A24" t="s">
        <v>884</v>
      </c>
      <c r="B24" t="s">
        <v>885</v>
      </c>
      <c r="C24" t="s">
        <v>884</v>
      </c>
    </row>
    <row r="25" spans="1:3" x14ac:dyDescent="0.2">
      <c r="A25" t="s">
        <v>886</v>
      </c>
      <c r="B25" t="s">
        <v>887</v>
      </c>
      <c r="C25" t="s">
        <v>886</v>
      </c>
    </row>
    <row r="26" spans="1:3" x14ac:dyDescent="0.2">
      <c r="A26" t="s">
        <v>888</v>
      </c>
      <c r="B26" t="s">
        <v>889</v>
      </c>
      <c r="C26" t="s">
        <v>888</v>
      </c>
    </row>
    <row r="27" spans="1:3" x14ac:dyDescent="0.2">
      <c r="A27" t="s">
        <v>890</v>
      </c>
      <c r="B27" t="s">
        <v>891</v>
      </c>
      <c r="C27" t="s">
        <v>890</v>
      </c>
    </row>
    <row r="28" spans="1:3" x14ac:dyDescent="0.2">
      <c r="A28" t="s">
        <v>892</v>
      </c>
      <c r="B28" t="s">
        <v>893</v>
      </c>
      <c r="C28" t="s">
        <v>892</v>
      </c>
    </row>
    <row r="29" spans="1:3" x14ac:dyDescent="0.2">
      <c r="A29" t="s">
        <v>894</v>
      </c>
      <c r="B29" t="s">
        <v>895</v>
      </c>
      <c r="C29" t="s">
        <v>894</v>
      </c>
    </row>
    <row r="30" spans="1:3" x14ac:dyDescent="0.2">
      <c r="A30" t="s">
        <v>896</v>
      </c>
      <c r="B30" t="s">
        <v>897</v>
      </c>
      <c r="C30" t="s">
        <v>896</v>
      </c>
    </row>
    <row r="31" spans="1:3" x14ac:dyDescent="0.2">
      <c r="A31" t="s">
        <v>898</v>
      </c>
      <c r="B31" t="s">
        <v>899</v>
      </c>
      <c r="C31" t="s">
        <v>898</v>
      </c>
    </row>
    <row r="32" spans="1:3" x14ac:dyDescent="0.2">
      <c r="A32" t="s">
        <v>900</v>
      </c>
      <c r="B32" t="s">
        <v>901</v>
      </c>
      <c r="C32" t="s">
        <v>900</v>
      </c>
    </row>
    <row r="33" spans="1:3" x14ac:dyDescent="0.2">
      <c r="A33" t="s">
        <v>902</v>
      </c>
      <c r="B33" t="s">
        <v>903</v>
      </c>
      <c r="C33" t="s">
        <v>902</v>
      </c>
    </row>
    <row r="34" spans="1:3" x14ac:dyDescent="0.2">
      <c r="A34" t="s">
        <v>904</v>
      </c>
      <c r="B34" t="s">
        <v>905</v>
      </c>
      <c r="C34" t="s">
        <v>904</v>
      </c>
    </row>
    <row r="35" spans="1:3" x14ac:dyDescent="0.2">
      <c r="A35" t="s">
        <v>906</v>
      </c>
      <c r="B35" t="s">
        <v>907</v>
      </c>
      <c r="C35" t="s">
        <v>906</v>
      </c>
    </row>
    <row r="36" spans="1:3" x14ac:dyDescent="0.2">
      <c r="A36" t="s">
        <v>908</v>
      </c>
      <c r="B36" t="s">
        <v>909</v>
      </c>
      <c r="C36" t="s">
        <v>908</v>
      </c>
    </row>
    <row r="37" spans="1:3" x14ac:dyDescent="0.2">
      <c r="A37" t="s">
        <v>910</v>
      </c>
      <c r="B37" t="s">
        <v>911</v>
      </c>
      <c r="C37" t="s">
        <v>910</v>
      </c>
    </row>
    <row r="38" spans="1:3" x14ac:dyDescent="0.2">
      <c r="A38" t="s">
        <v>912</v>
      </c>
      <c r="B38" t="s">
        <v>913</v>
      </c>
      <c r="C38" t="s">
        <v>912</v>
      </c>
    </row>
    <row r="39" spans="1:3" x14ac:dyDescent="0.2">
      <c r="A39" t="s">
        <v>914</v>
      </c>
      <c r="B39" t="s">
        <v>915</v>
      </c>
      <c r="C39" t="s">
        <v>914</v>
      </c>
    </row>
    <row r="40" spans="1:3" x14ac:dyDescent="0.2">
      <c r="A40" t="s">
        <v>916</v>
      </c>
      <c r="B40" t="s">
        <v>917</v>
      </c>
      <c r="C40" t="s">
        <v>916</v>
      </c>
    </row>
    <row r="41" spans="1:3" x14ac:dyDescent="0.2">
      <c r="A41" t="s">
        <v>918</v>
      </c>
      <c r="B41" t="s">
        <v>919</v>
      </c>
      <c r="C41" t="s">
        <v>918</v>
      </c>
    </row>
    <row r="42" spans="1:3" x14ac:dyDescent="0.2">
      <c r="A42" t="s">
        <v>920</v>
      </c>
      <c r="B42" t="s">
        <v>921</v>
      </c>
      <c r="C42" t="s">
        <v>920</v>
      </c>
    </row>
    <row r="43" spans="1:3" x14ac:dyDescent="0.2">
      <c r="A43" t="s">
        <v>922</v>
      </c>
      <c r="B43" t="s">
        <v>923</v>
      </c>
      <c r="C43" t="s">
        <v>922</v>
      </c>
    </row>
    <row r="44" spans="1:3" x14ac:dyDescent="0.2">
      <c r="A44" t="s">
        <v>924</v>
      </c>
      <c r="B44" t="s">
        <v>925</v>
      </c>
      <c r="C44" t="s">
        <v>924</v>
      </c>
    </row>
    <row r="45" spans="1:3" x14ac:dyDescent="0.2">
      <c r="A45" t="s">
        <v>926</v>
      </c>
      <c r="B45" t="s">
        <v>927</v>
      </c>
      <c r="C45" t="s">
        <v>926</v>
      </c>
    </row>
    <row r="46" spans="1:3" x14ac:dyDescent="0.2">
      <c r="A46" t="s">
        <v>928</v>
      </c>
      <c r="B46" t="s">
        <v>929</v>
      </c>
      <c r="C46" t="s">
        <v>928</v>
      </c>
    </row>
    <row r="47" spans="1:3" x14ac:dyDescent="0.2">
      <c r="A47" t="s">
        <v>930</v>
      </c>
      <c r="B47" t="s">
        <v>931</v>
      </c>
      <c r="C47" t="s">
        <v>930</v>
      </c>
    </row>
    <row r="48" spans="1:3" x14ac:dyDescent="0.2">
      <c r="A48" t="s">
        <v>932</v>
      </c>
      <c r="B48" t="s">
        <v>933</v>
      </c>
      <c r="C48" t="s">
        <v>932</v>
      </c>
    </row>
    <row r="49" spans="1:3" x14ac:dyDescent="0.2">
      <c r="A49" t="s">
        <v>934</v>
      </c>
      <c r="B49" t="s">
        <v>935</v>
      </c>
      <c r="C49" t="s">
        <v>934</v>
      </c>
    </row>
    <row r="50" spans="1:3" x14ac:dyDescent="0.2">
      <c r="A50" t="s">
        <v>936</v>
      </c>
      <c r="B50" t="s">
        <v>937</v>
      </c>
      <c r="C50" t="s">
        <v>936</v>
      </c>
    </row>
    <row r="51" spans="1:3" x14ac:dyDescent="0.2">
      <c r="A51" t="s">
        <v>938</v>
      </c>
      <c r="B51" t="s">
        <v>939</v>
      </c>
      <c r="C51" t="s">
        <v>938</v>
      </c>
    </row>
    <row r="52" spans="1:3" x14ac:dyDescent="0.2">
      <c r="A52" t="s">
        <v>940</v>
      </c>
      <c r="B52" t="s">
        <v>941</v>
      </c>
      <c r="C52" t="s">
        <v>940</v>
      </c>
    </row>
    <row r="53" spans="1:3" x14ac:dyDescent="0.2">
      <c r="A53" t="s">
        <v>942</v>
      </c>
      <c r="B53" t="s">
        <v>943</v>
      </c>
      <c r="C53" t="s">
        <v>942</v>
      </c>
    </row>
    <row r="54" spans="1:3" x14ac:dyDescent="0.2">
      <c r="A54" t="s">
        <v>944</v>
      </c>
      <c r="B54" t="s">
        <v>945</v>
      </c>
      <c r="C54" t="s">
        <v>944</v>
      </c>
    </row>
    <row r="55" spans="1:3" x14ac:dyDescent="0.2">
      <c r="A55" t="s">
        <v>946</v>
      </c>
      <c r="B55" t="s">
        <v>947</v>
      </c>
      <c r="C55" t="s">
        <v>946</v>
      </c>
    </row>
    <row r="56" spans="1:3" x14ac:dyDescent="0.2">
      <c r="A56" t="s">
        <v>948</v>
      </c>
      <c r="B56" t="s">
        <v>949</v>
      </c>
      <c r="C56" t="s">
        <v>948</v>
      </c>
    </row>
    <row r="57" spans="1:3" x14ac:dyDescent="0.2">
      <c r="A57" t="s">
        <v>632</v>
      </c>
      <c r="B57" t="s">
        <v>951</v>
      </c>
      <c r="C57" t="s">
        <v>632</v>
      </c>
    </row>
    <row r="58" spans="1:3" x14ac:dyDescent="0.2">
      <c r="A58" t="s">
        <v>952</v>
      </c>
      <c r="B58" t="s">
        <v>953</v>
      </c>
      <c r="C58" t="s">
        <v>952</v>
      </c>
    </row>
    <row r="59" spans="1:3" x14ac:dyDescent="0.2">
      <c r="A59" t="s">
        <v>954</v>
      </c>
      <c r="B59" t="s">
        <v>955</v>
      </c>
      <c r="C59" t="s">
        <v>954</v>
      </c>
    </row>
    <row r="60" spans="1:3" x14ac:dyDescent="0.2">
      <c r="A60" t="s">
        <v>956</v>
      </c>
      <c r="B60" t="s">
        <v>957</v>
      </c>
      <c r="C60" t="s">
        <v>956</v>
      </c>
    </row>
    <row r="61" spans="1:3" x14ac:dyDescent="0.2">
      <c r="A61" t="s">
        <v>958</v>
      </c>
      <c r="B61" t="s">
        <v>959</v>
      </c>
      <c r="C61" t="s">
        <v>958</v>
      </c>
    </row>
    <row r="62" spans="1:3" x14ac:dyDescent="0.2">
      <c r="A62" t="s">
        <v>960</v>
      </c>
      <c r="B62" t="s">
        <v>961</v>
      </c>
      <c r="C62" t="s">
        <v>960</v>
      </c>
    </row>
    <row r="63" spans="1:3" x14ac:dyDescent="0.2">
      <c r="A63" t="s">
        <v>962</v>
      </c>
      <c r="B63" t="s">
        <v>0</v>
      </c>
      <c r="C63" t="s">
        <v>962</v>
      </c>
    </row>
    <row r="64" spans="1:3" x14ac:dyDescent="0.2">
      <c r="A64" t="s">
        <v>1</v>
      </c>
      <c r="B64" t="s">
        <v>2</v>
      </c>
      <c r="C64" t="s">
        <v>1</v>
      </c>
    </row>
    <row r="65" spans="1:3" x14ac:dyDescent="0.2">
      <c r="A65" t="s">
        <v>3</v>
      </c>
      <c r="B65" t="s">
        <v>4</v>
      </c>
      <c r="C65" t="s">
        <v>3</v>
      </c>
    </row>
    <row r="66" spans="1:3" x14ac:dyDescent="0.2">
      <c r="A66" t="s">
        <v>5</v>
      </c>
      <c r="B66" t="s">
        <v>6</v>
      </c>
      <c r="C66" t="s">
        <v>5</v>
      </c>
    </row>
    <row r="67" spans="1:3" x14ac:dyDescent="0.2">
      <c r="A67" t="s">
        <v>7</v>
      </c>
      <c r="B67" t="s">
        <v>8</v>
      </c>
      <c r="C67" t="s">
        <v>7</v>
      </c>
    </row>
    <row r="68" spans="1:3" x14ac:dyDescent="0.2">
      <c r="A68" t="s">
        <v>9</v>
      </c>
      <c r="B68" t="s">
        <v>10</v>
      </c>
      <c r="C68" t="s">
        <v>9</v>
      </c>
    </row>
    <row r="69" spans="1:3" x14ac:dyDescent="0.2">
      <c r="A69" t="s">
        <v>11</v>
      </c>
      <c r="B69" t="s">
        <v>12</v>
      </c>
      <c r="C69" t="s">
        <v>11</v>
      </c>
    </row>
    <row r="70" spans="1:3" x14ac:dyDescent="0.2">
      <c r="A70" t="s">
        <v>13</v>
      </c>
      <c r="B70" t="s">
        <v>14</v>
      </c>
      <c r="C70" t="s">
        <v>13</v>
      </c>
    </row>
    <row r="71" spans="1:3" x14ac:dyDescent="0.2">
      <c r="A71" t="s">
        <v>15</v>
      </c>
      <c r="B71" t="s">
        <v>16</v>
      </c>
      <c r="C71" t="s">
        <v>15</v>
      </c>
    </row>
    <row r="72" spans="1:3" x14ac:dyDescent="0.2">
      <c r="A72" t="s">
        <v>17</v>
      </c>
      <c r="B72" t="s">
        <v>18</v>
      </c>
      <c r="C72" t="s">
        <v>17</v>
      </c>
    </row>
    <row r="73" spans="1:3" x14ac:dyDescent="0.2">
      <c r="A73" t="s">
        <v>19</v>
      </c>
      <c r="B73" t="s">
        <v>21</v>
      </c>
      <c r="C73" t="s">
        <v>19</v>
      </c>
    </row>
    <row r="74" spans="1:3" x14ac:dyDescent="0.2">
      <c r="A74" t="s">
        <v>22</v>
      </c>
      <c r="B74" t="s">
        <v>23</v>
      </c>
      <c r="C74" t="s">
        <v>22</v>
      </c>
    </row>
    <row r="75" spans="1:3" x14ac:dyDescent="0.2">
      <c r="A75" t="s">
        <v>24</v>
      </c>
      <c r="B75" t="s">
        <v>25</v>
      </c>
      <c r="C75" t="s">
        <v>24</v>
      </c>
    </row>
    <row r="76" spans="1:3" x14ac:dyDescent="0.2">
      <c r="A76" t="s">
        <v>26</v>
      </c>
      <c r="B76" t="s">
        <v>27</v>
      </c>
      <c r="C76" t="s">
        <v>26</v>
      </c>
    </row>
    <row r="77" spans="1:3" x14ac:dyDescent="0.2">
      <c r="A77" t="s">
        <v>28</v>
      </c>
      <c r="B77" t="s">
        <v>29</v>
      </c>
      <c r="C77" t="s">
        <v>28</v>
      </c>
    </row>
    <row r="78" spans="1:3" x14ac:dyDescent="0.2">
      <c r="A78" t="s">
        <v>30</v>
      </c>
      <c r="B78" t="s">
        <v>31</v>
      </c>
      <c r="C78" t="s">
        <v>30</v>
      </c>
    </row>
    <row r="79" spans="1:3" x14ac:dyDescent="0.2">
      <c r="A79" t="s">
        <v>32</v>
      </c>
      <c r="B79" t="s">
        <v>33</v>
      </c>
      <c r="C79" t="s">
        <v>32</v>
      </c>
    </row>
    <row r="80" spans="1:3" x14ac:dyDescent="0.2">
      <c r="A80" t="s">
        <v>46</v>
      </c>
      <c r="B80" t="s">
        <v>47</v>
      </c>
      <c r="C80" t="s">
        <v>46</v>
      </c>
    </row>
    <row r="81" spans="1:3" x14ac:dyDescent="0.2">
      <c r="A81" t="s">
        <v>48</v>
      </c>
      <c r="B81" t="s">
        <v>49</v>
      </c>
      <c r="C81" t="s">
        <v>48</v>
      </c>
    </row>
    <row r="82" spans="1:3" x14ac:dyDescent="0.2">
      <c r="A82" t="s">
        <v>50</v>
      </c>
      <c r="B82" t="s">
        <v>51</v>
      </c>
      <c r="C82" t="s">
        <v>50</v>
      </c>
    </row>
    <row r="83" spans="1:3" x14ac:dyDescent="0.2">
      <c r="A83" t="s">
        <v>52</v>
      </c>
      <c r="B83" t="s">
        <v>53</v>
      </c>
      <c r="C83" t="s">
        <v>52</v>
      </c>
    </row>
    <row r="84" spans="1:3" x14ac:dyDescent="0.2">
      <c r="A84" t="s">
        <v>54</v>
      </c>
      <c r="B84" t="s">
        <v>55</v>
      </c>
      <c r="C84" t="s">
        <v>54</v>
      </c>
    </row>
    <row r="85" spans="1:3" x14ac:dyDescent="0.2">
      <c r="A85" t="s">
        <v>56</v>
      </c>
      <c r="B85" t="s">
        <v>57</v>
      </c>
      <c r="C85" t="s">
        <v>56</v>
      </c>
    </row>
    <row r="86" spans="1:3" x14ac:dyDescent="0.2">
      <c r="A86" t="s">
        <v>58</v>
      </c>
      <c r="B86" t="s">
        <v>59</v>
      </c>
      <c r="C86" t="s">
        <v>58</v>
      </c>
    </row>
    <row r="87" spans="1:3" x14ac:dyDescent="0.2">
      <c r="A87" t="s">
        <v>60</v>
      </c>
      <c r="B87" t="s">
        <v>61</v>
      </c>
      <c r="C87" t="s">
        <v>60</v>
      </c>
    </row>
    <row r="88" spans="1:3" x14ac:dyDescent="0.2">
      <c r="A88" t="s">
        <v>62</v>
      </c>
      <c r="B88" t="s">
        <v>63</v>
      </c>
      <c r="C88" t="s">
        <v>62</v>
      </c>
    </row>
    <row r="89" spans="1:3" x14ac:dyDescent="0.2">
      <c r="A89" t="s">
        <v>64</v>
      </c>
      <c r="B89" t="s">
        <v>65</v>
      </c>
      <c r="C89" t="s">
        <v>64</v>
      </c>
    </row>
    <row r="90" spans="1:3" x14ac:dyDescent="0.2">
      <c r="A90" t="s">
        <v>66</v>
      </c>
      <c r="B90" t="s">
        <v>67</v>
      </c>
      <c r="C90" t="s">
        <v>66</v>
      </c>
    </row>
    <row r="91" spans="1:3" x14ac:dyDescent="0.2">
      <c r="A91" t="s">
        <v>68</v>
      </c>
      <c r="B91" t="s">
        <v>69</v>
      </c>
      <c r="C91" t="s">
        <v>68</v>
      </c>
    </row>
    <row r="92" spans="1:3" x14ac:dyDescent="0.2">
      <c r="A92" t="s">
        <v>74</v>
      </c>
      <c r="B92" t="s">
        <v>75</v>
      </c>
      <c r="C92" t="s">
        <v>74</v>
      </c>
    </row>
    <row r="93" spans="1:3" x14ac:dyDescent="0.2">
      <c r="A93" t="s">
        <v>76</v>
      </c>
      <c r="B93" t="s">
        <v>77</v>
      </c>
      <c r="C93" t="s">
        <v>76</v>
      </c>
    </row>
    <row r="94" spans="1:3" x14ac:dyDescent="0.2">
      <c r="A94" t="s">
        <v>78</v>
      </c>
      <c r="B94" t="s">
        <v>79</v>
      </c>
      <c r="C94" t="s">
        <v>78</v>
      </c>
    </row>
    <row r="95" spans="1:3" x14ac:dyDescent="0.2">
      <c r="A95" t="s">
        <v>80</v>
      </c>
      <c r="B95" t="s">
        <v>81</v>
      </c>
      <c r="C95" t="s">
        <v>80</v>
      </c>
    </row>
    <row r="96" spans="1:3" x14ac:dyDescent="0.2">
      <c r="A96" t="s">
        <v>82</v>
      </c>
      <c r="B96" t="s">
        <v>83</v>
      </c>
      <c r="C96" t="s">
        <v>82</v>
      </c>
    </row>
    <row r="97" spans="1:3" x14ac:dyDescent="0.2">
      <c r="A97" t="s">
        <v>84</v>
      </c>
      <c r="B97" t="s">
        <v>85</v>
      </c>
      <c r="C97" t="s">
        <v>84</v>
      </c>
    </row>
    <row r="98" spans="1:3" x14ac:dyDescent="0.2">
      <c r="A98" t="s">
        <v>86</v>
      </c>
      <c r="B98" t="s">
        <v>87</v>
      </c>
      <c r="C98" t="s">
        <v>86</v>
      </c>
    </row>
    <row r="99" spans="1:3" x14ac:dyDescent="0.2">
      <c r="A99" t="s">
        <v>88</v>
      </c>
      <c r="B99" t="s">
        <v>89</v>
      </c>
      <c r="C99" t="s">
        <v>88</v>
      </c>
    </row>
    <row r="100" spans="1:3" x14ac:dyDescent="0.2">
      <c r="A100" t="s">
        <v>90</v>
      </c>
      <c r="B100" t="s">
        <v>91</v>
      </c>
      <c r="C100" t="s">
        <v>90</v>
      </c>
    </row>
    <row r="101" spans="1:3" x14ac:dyDescent="0.2">
      <c r="A101" t="s">
        <v>92</v>
      </c>
      <c r="B101" t="s">
        <v>93</v>
      </c>
      <c r="C101" t="s">
        <v>92</v>
      </c>
    </row>
    <row r="102" spans="1:3" x14ac:dyDescent="0.2">
      <c r="A102" t="s">
        <v>94</v>
      </c>
      <c r="B102" t="s">
        <v>95</v>
      </c>
      <c r="C102" t="s">
        <v>94</v>
      </c>
    </row>
    <row r="103" spans="1:3" x14ac:dyDescent="0.2">
      <c r="A103" t="s">
        <v>96</v>
      </c>
      <c r="B103" t="s">
        <v>97</v>
      </c>
      <c r="C103" t="s">
        <v>96</v>
      </c>
    </row>
    <row r="104" spans="1:3" x14ac:dyDescent="0.2">
      <c r="A104" t="s">
        <v>98</v>
      </c>
      <c r="B104" t="s">
        <v>99</v>
      </c>
      <c r="C104" t="s">
        <v>98</v>
      </c>
    </row>
    <row r="105" spans="1:3" x14ac:dyDescent="0.2">
      <c r="A105" t="s">
        <v>100</v>
      </c>
      <c r="B105" t="s">
        <v>101</v>
      </c>
      <c r="C105" t="s">
        <v>100</v>
      </c>
    </row>
    <row r="106" spans="1:3" x14ac:dyDescent="0.2">
      <c r="A106" t="s">
        <v>102</v>
      </c>
      <c r="B106" t="s">
        <v>103</v>
      </c>
      <c r="C106" t="s">
        <v>102</v>
      </c>
    </row>
    <row r="107" spans="1:3" x14ac:dyDescent="0.2">
      <c r="A107" t="s">
        <v>104</v>
      </c>
      <c r="B107" t="s">
        <v>105</v>
      </c>
      <c r="C107" t="s">
        <v>104</v>
      </c>
    </row>
    <row r="108" spans="1:3" x14ac:dyDescent="0.2">
      <c r="A108" t="s">
        <v>106</v>
      </c>
      <c r="B108" t="s">
        <v>107</v>
      </c>
      <c r="C108" t="s">
        <v>106</v>
      </c>
    </row>
    <row r="109" spans="1:3" x14ac:dyDescent="0.2">
      <c r="A109" t="s">
        <v>108</v>
      </c>
      <c r="B109" t="s">
        <v>109</v>
      </c>
      <c r="C109" t="s">
        <v>108</v>
      </c>
    </row>
    <row r="110" spans="1:3" x14ac:dyDescent="0.2">
      <c r="A110" t="s">
        <v>110</v>
      </c>
      <c r="B110" t="s">
        <v>111</v>
      </c>
      <c r="C110" t="s">
        <v>110</v>
      </c>
    </row>
    <row r="111" spans="1:3" x14ac:dyDescent="0.2">
      <c r="A111" t="s">
        <v>112</v>
      </c>
      <c r="B111" t="s">
        <v>113</v>
      </c>
      <c r="C111" t="s">
        <v>112</v>
      </c>
    </row>
    <row r="112" spans="1:3" x14ac:dyDescent="0.2">
      <c r="A112" t="s">
        <v>114</v>
      </c>
      <c r="B112" t="s">
        <v>115</v>
      </c>
      <c r="C112" t="s">
        <v>114</v>
      </c>
    </row>
    <row r="113" spans="1:3" x14ac:dyDescent="0.2">
      <c r="A113" t="s">
        <v>116</v>
      </c>
      <c r="B113" t="s">
        <v>117</v>
      </c>
      <c r="C113" t="s">
        <v>116</v>
      </c>
    </row>
    <row r="114" spans="1:3" x14ac:dyDescent="0.2">
      <c r="A114" t="s">
        <v>118</v>
      </c>
      <c r="B114" t="s">
        <v>119</v>
      </c>
      <c r="C114" t="s">
        <v>118</v>
      </c>
    </row>
    <row r="115" spans="1:3" x14ac:dyDescent="0.2">
      <c r="A115" t="s">
        <v>120</v>
      </c>
      <c r="B115" t="s">
        <v>121</v>
      </c>
      <c r="C115" t="s">
        <v>120</v>
      </c>
    </row>
    <row r="116" spans="1:3" x14ac:dyDescent="0.2">
      <c r="A116" t="s">
        <v>122</v>
      </c>
      <c r="B116" t="s">
        <v>123</v>
      </c>
      <c r="C116" t="s">
        <v>122</v>
      </c>
    </row>
    <row r="117" spans="1:3" x14ac:dyDescent="0.2">
      <c r="A117" t="s">
        <v>124</v>
      </c>
      <c r="B117" t="s">
        <v>125</v>
      </c>
      <c r="C117" t="s">
        <v>124</v>
      </c>
    </row>
    <row r="118" spans="1:3" x14ac:dyDescent="0.2">
      <c r="A118" t="s">
        <v>126</v>
      </c>
      <c r="B118" t="s">
        <v>127</v>
      </c>
      <c r="C118" t="s">
        <v>126</v>
      </c>
    </row>
    <row r="119" spans="1:3" x14ac:dyDescent="0.2">
      <c r="A119" t="s">
        <v>128</v>
      </c>
      <c r="B119" t="s">
        <v>129</v>
      </c>
      <c r="C119" t="s">
        <v>128</v>
      </c>
    </row>
    <row r="120" spans="1:3" x14ac:dyDescent="0.2">
      <c r="A120" t="s">
        <v>130</v>
      </c>
      <c r="B120" t="s">
        <v>131</v>
      </c>
      <c r="C120" t="s">
        <v>130</v>
      </c>
    </row>
    <row r="121" spans="1:3" x14ac:dyDescent="0.2">
      <c r="A121" t="s">
        <v>132</v>
      </c>
      <c r="B121" t="s">
        <v>133</v>
      </c>
      <c r="C121" t="s">
        <v>132</v>
      </c>
    </row>
    <row r="122" spans="1:3" x14ac:dyDescent="0.2">
      <c r="A122" t="s">
        <v>134</v>
      </c>
      <c r="B122" t="s">
        <v>135</v>
      </c>
      <c r="C122" t="s">
        <v>134</v>
      </c>
    </row>
    <row r="123" spans="1:3" x14ac:dyDescent="0.2">
      <c r="A123" t="s">
        <v>136</v>
      </c>
      <c r="B123" t="s">
        <v>137</v>
      </c>
      <c r="C123" t="s">
        <v>136</v>
      </c>
    </row>
    <row r="124" spans="1:3" x14ac:dyDescent="0.2">
      <c r="A124" t="s">
        <v>138</v>
      </c>
      <c r="B124" t="s">
        <v>139</v>
      </c>
      <c r="C124" t="s">
        <v>138</v>
      </c>
    </row>
    <row r="125" spans="1:3" x14ac:dyDescent="0.2">
      <c r="A125" t="s">
        <v>140</v>
      </c>
      <c r="B125" t="s">
        <v>141</v>
      </c>
      <c r="C125" t="s">
        <v>140</v>
      </c>
    </row>
    <row r="126" spans="1:3" x14ac:dyDescent="0.2">
      <c r="A126" t="s">
        <v>142</v>
      </c>
      <c r="B126" t="s">
        <v>143</v>
      </c>
      <c r="C126" t="s">
        <v>142</v>
      </c>
    </row>
    <row r="127" spans="1:3" x14ac:dyDescent="0.2">
      <c r="A127" t="s">
        <v>144</v>
      </c>
      <c r="B127" t="s">
        <v>145</v>
      </c>
      <c r="C127" t="s">
        <v>144</v>
      </c>
    </row>
    <row r="128" spans="1:3" x14ac:dyDescent="0.2">
      <c r="A128" t="s">
        <v>146</v>
      </c>
      <c r="B128" t="s">
        <v>147</v>
      </c>
      <c r="C128" t="s">
        <v>146</v>
      </c>
    </row>
    <row r="129" spans="1:3" x14ac:dyDescent="0.2">
      <c r="A129" t="s">
        <v>148</v>
      </c>
      <c r="B129" t="s">
        <v>149</v>
      </c>
      <c r="C129" t="s">
        <v>148</v>
      </c>
    </row>
    <row r="130" spans="1:3" x14ac:dyDescent="0.2">
      <c r="A130" t="s">
        <v>150</v>
      </c>
      <c r="B130" t="s">
        <v>151</v>
      </c>
      <c r="C130" t="s">
        <v>150</v>
      </c>
    </row>
    <row r="131" spans="1:3" x14ac:dyDescent="0.2">
      <c r="A131" t="s">
        <v>152</v>
      </c>
      <c r="B131" t="s">
        <v>153</v>
      </c>
      <c r="C131" t="s">
        <v>152</v>
      </c>
    </row>
    <row r="132" spans="1:3" x14ac:dyDescent="0.2">
      <c r="A132" t="s">
        <v>154</v>
      </c>
      <c r="B132" t="s">
        <v>155</v>
      </c>
      <c r="C132" t="s">
        <v>154</v>
      </c>
    </row>
    <row r="133" spans="1:3" x14ac:dyDescent="0.2">
      <c r="A133" t="s">
        <v>156</v>
      </c>
      <c r="B133" t="s">
        <v>157</v>
      </c>
      <c r="C133" t="s">
        <v>156</v>
      </c>
    </row>
    <row r="134" spans="1:3" x14ac:dyDescent="0.2">
      <c r="A134" t="s">
        <v>158</v>
      </c>
      <c r="B134" t="s">
        <v>159</v>
      </c>
      <c r="C134" t="s">
        <v>158</v>
      </c>
    </row>
    <row r="135" spans="1:3" x14ac:dyDescent="0.2">
      <c r="A135" t="s">
        <v>160</v>
      </c>
      <c r="B135" t="s">
        <v>161</v>
      </c>
      <c r="C135" t="s">
        <v>160</v>
      </c>
    </row>
    <row r="136" spans="1:3" x14ac:dyDescent="0.2">
      <c r="A136" t="s">
        <v>162</v>
      </c>
      <c r="B136" t="s">
        <v>163</v>
      </c>
      <c r="C136" t="s">
        <v>162</v>
      </c>
    </row>
    <row r="137" spans="1:3" x14ac:dyDescent="0.2">
      <c r="A137" t="s">
        <v>164</v>
      </c>
      <c r="B137" t="s">
        <v>165</v>
      </c>
      <c r="C137" t="s">
        <v>164</v>
      </c>
    </row>
    <row r="138" spans="1:3" x14ac:dyDescent="0.2">
      <c r="A138" t="s">
        <v>166</v>
      </c>
      <c r="B138" t="s">
        <v>167</v>
      </c>
      <c r="C138" t="s">
        <v>166</v>
      </c>
    </row>
    <row r="139" spans="1:3" x14ac:dyDescent="0.2">
      <c r="A139" t="s">
        <v>168</v>
      </c>
      <c r="B139" t="s">
        <v>169</v>
      </c>
      <c r="C139" t="s">
        <v>168</v>
      </c>
    </row>
    <row r="140" spans="1:3" x14ac:dyDescent="0.2">
      <c r="A140" t="s">
        <v>170</v>
      </c>
      <c r="B140" t="s">
        <v>171</v>
      </c>
      <c r="C140" t="s">
        <v>170</v>
      </c>
    </row>
    <row r="141" spans="1:3" x14ac:dyDescent="0.2">
      <c r="A141" t="s">
        <v>172</v>
      </c>
      <c r="B141" t="s">
        <v>173</v>
      </c>
      <c r="C141" t="s">
        <v>172</v>
      </c>
    </row>
    <row r="142" spans="1:3" x14ac:dyDescent="0.2">
      <c r="A142" t="s">
        <v>174</v>
      </c>
      <c r="B142" t="s">
        <v>175</v>
      </c>
      <c r="C142" t="s">
        <v>174</v>
      </c>
    </row>
    <row r="143" spans="1:3" x14ac:dyDescent="0.2">
      <c r="A143" t="s">
        <v>176</v>
      </c>
      <c r="B143" t="s">
        <v>177</v>
      </c>
      <c r="C143" t="s">
        <v>176</v>
      </c>
    </row>
    <row r="144" spans="1:3" x14ac:dyDescent="0.2">
      <c r="A144" t="s">
        <v>178</v>
      </c>
      <c r="B144" t="s">
        <v>179</v>
      </c>
      <c r="C144" t="s">
        <v>178</v>
      </c>
    </row>
    <row r="145" spans="1:3" x14ac:dyDescent="0.2">
      <c r="A145" t="s">
        <v>180</v>
      </c>
      <c r="B145" t="s">
        <v>181</v>
      </c>
      <c r="C145" t="s">
        <v>180</v>
      </c>
    </row>
    <row r="146" spans="1:3" x14ac:dyDescent="0.2">
      <c r="A146" t="s">
        <v>182</v>
      </c>
      <c r="B146" t="s">
        <v>183</v>
      </c>
      <c r="C146" t="s">
        <v>182</v>
      </c>
    </row>
    <row r="147" spans="1:3" x14ac:dyDescent="0.2">
      <c r="A147" t="s">
        <v>184</v>
      </c>
      <c r="B147" t="s">
        <v>185</v>
      </c>
      <c r="C147" t="s">
        <v>184</v>
      </c>
    </row>
    <row r="148" spans="1:3" x14ac:dyDescent="0.2">
      <c r="A148" t="s">
        <v>186</v>
      </c>
      <c r="B148" t="s">
        <v>187</v>
      </c>
      <c r="C148" t="s">
        <v>186</v>
      </c>
    </row>
    <row r="149" spans="1:3" x14ac:dyDescent="0.2">
      <c r="A149" t="s">
        <v>188</v>
      </c>
      <c r="B149" t="s">
        <v>189</v>
      </c>
      <c r="C149" t="s">
        <v>188</v>
      </c>
    </row>
    <row r="150" spans="1:3" x14ac:dyDescent="0.2">
      <c r="A150" t="s">
        <v>190</v>
      </c>
      <c r="B150" t="s">
        <v>191</v>
      </c>
      <c r="C150" t="s">
        <v>190</v>
      </c>
    </row>
    <row r="151" spans="1:3" x14ac:dyDescent="0.2">
      <c r="A151" t="s">
        <v>192</v>
      </c>
      <c r="B151" t="s">
        <v>193</v>
      </c>
      <c r="C151" t="s">
        <v>192</v>
      </c>
    </row>
    <row r="152" spans="1:3" x14ac:dyDescent="0.2">
      <c r="A152" t="s">
        <v>194</v>
      </c>
      <c r="B152" t="s">
        <v>195</v>
      </c>
      <c r="C152" t="s">
        <v>194</v>
      </c>
    </row>
    <row r="153" spans="1:3" x14ac:dyDescent="0.2">
      <c r="A153" t="s">
        <v>196</v>
      </c>
      <c r="B153" t="s">
        <v>197</v>
      </c>
      <c r="C153" t="s">
        <v>196</v>
      </c>
    </row>
    <row r="154" spans="1:3" x14ac:dyDescent="0.2">
      <c r="A154" t="s">
        <v>198</v>
      </c>
      <c r="B154" t="s">
        <v>199</v>
      </c>
      <c r="C154" t="s">
        <v>198</v>
      </c>
    </row>
    <row r="155" spans="1:3" x14ac:dyDescent="0.2">
      <c r="A155" t="s">
        <v>200</v>
      </c>
      <c r="B155" t="s">
        <v>201</v>
      </c>
      <c r="C155" t="s">
        <v>200</v>
      </c>
    </row>
    <row r="156" spans="1:3" x14ac:dyDescent="0.2">
      <c r="A156" t="s">
        <v>202</v>
      </c>
      <c r="B156" t="s">
        <v>203</v>
      </c>
      <c r="C156" t="s">
        <v>202</v>
      </c>
    </row>
    <row r="157" spans="1:3" x14ac:dyDescent="0.2">
      <c r="A157" t="s">
        <v>204</v>
      </c>
      <c r="B157" t="s">
        <v>205</v>
      </c>
      <c r="C157" t="s">
        <v>204</v>
      </c>
    </row>
    <row r="158" spans="1:3" x14ac:dyDescent="0.2">
      <c r="A158" t="s">
        <v>206</v>
      </c>
      <c r="B158" t="s">
        <v>207</v>
      </c>
      <c r="C158" t="s">
        <v>206</v>
      </c>
    </row>
    <row r="159" spans="1:3" x14ac:dyDescent="0.2">
      <c r="A159" t="s">
        <v>208</v>
      </c>
      <c r="B159" t="s">
        <v>209</v>
      </c>
      <c r="C159" t="s">
        <v>208</v>
      </c>
    </row>
    <row r="160" spans="1:3" x14ac:dyDescent="0.2">
      <c r="A160" t="s">
        <v>210</v>
      </c>
      <c r="B160" t="s">
        <v>211</v>
      </c>
      <c r="C160" t="s">
        <v>210</v>
      </c>
    </row>
    <row r="161" spans="1:3" x14ac:dyDescent="0.2">
      <c r="A161" t="s">
        <v>212</v>
      </c>
      <c r="B161" t="s">
        <v>213</v>
      </c>
      <c r="C161" t="s">
        <v>212</v>
      </c>
    </row>
    <row r="162" spans="1:3" x14ac:dyDescent="0.2">
      <c r="A162" t="s">
        <v>214</v>
      </c>
      <c r="B162" t="s">
        <v>215</v>
      </c>
      <c r="C162" t="s">
        <v>214</v>
      </c>
    </row>
    <row r="163" spans="1:3" x14ac:dyDescent="0.2">
      <c r="A163" t="s">
        <v>216</v>
      </c>
      <c r="B163" t="s">
        <v>217</v>
      </c>
      <c r="C163" t="s">
        <v>216</v>
      </c>
    </row>
    <row r="164" spans="1:3" x14ac:dyDescent="0.2">
      <c r="A164" t="s">
        <v>218</v>
      </c>
      <c r="B164" t="s">
        <v>219</v>
      </c>
      <c r="C164" t="s">
        <v>218</v>
      </c>
    </row>
    <row r="165" spans="1:3" x14ac:dyDescent="0.2">
      <c r="A165" t="s">
        <v>220</v>
      </c>
      <c r="B165" t="s">
        <v>221</v>
      </c>
      <c r="C165" t="s">
        <v>220</v>
      </c>
    </row>
    <row r="166" spans="1:3" x14ac:dyDescent="0.2">
      <c r="A166" t="s">
        <v>222</v>
      </c>
      <c r="B166" t="s">
        <v>223</v>
      </c>
      <c r="C166" t="s">
        <v>222</v>
      </c>
    </row>
    <row r="167" spans="1:3" x14ac:dyDescent="0.2">
      <c r="A167" t="s">
        <v>224</v>
      </c>
      <c r="B167" t="s">
        <v>225</v>
      </c>
      <c r="C167" t="s">
        <v>224</v>
      </c>
    </row>
    <row r="168" spans="1:3" x14ac:dyDescent="0.2">
      <c r="A168" t="s">
        <v>226</v>
      </c>
      <c r="B168" t="s">
        <v>227</v>
      </c>
      <c r="C168" t="s">
        <v>226</v>
      </c>
    </row>
    <row r="169" spans="1:3" x14ac:dyDescent="0.2">
      <c r="A169" t="s">
        <v>228</v>
      </c>
      <c r="B169" t="s">
        <v>229</v>
      </c>
      <c r="C169" t="s">
        <v>228</v>
      </c>
    </row>
    <row r="170" spans="1:3" x14ac:dyDescent="0.2">
      <c r="A170" t="s">
        <v>230</v>
      </c>
      <c r="B170" t="s">
        <v>231</v>
      </c>
      <c r="C170" t="s">
        <v>230</v>
      </c>
    </row>
    <row r="171" spans="1:3" x14ac:dyDescent="0.2">
      <c r="A171" t="s">
        <v>232</v>
      </c>
      <c r="B171" t="s">
        <v>233</v>
      </c>
      <c r="C171" t="s">
        <v>232</v>
      </c>
    </row>
    <row r="172" spans="1:3" x14ac:dyDescent="0.2">
      <c r="A172" t="s">
        <v>234</v>
      </c>
      <c r="B172" t="s">
        <v>235</v>
      </c>
      <c r="C172" t="s">
        <v>234</v>
      </c>
    </row>
    <row r="173" spans="1:3" x14ac:dyDescent="0.2">
      <c r="A173" t="s">
        <v>236</v>
      </c>
      <c r="B173" t="s">
        <v>237</v>
      </c>
      <c r="C173" t="s">
        <v>236</v>
      </c>
    </row>
    <row r="174" spans="1:3" x14ac:dyDescent="0.2">
      <c r="A174" t="s">
        <v>238</v>
      </c>
      <c r="B174" t="s">
        <v>239</v>
      </c>
      <c r="C174" t="s">
        <v>238</v>
      </c>
    </row>
    <row r="175" spans="1:3" x14ac:dyDescent="0.2">
      <c r="A175" t="s">
        <v>240</v>
      </c>
      <c r="B175" t="s">
        <v>241</v>
      </c>
      <c r="C175" t="s">
        <v>240</v>
      </c>
    </row>
    <row r="176" spans="1:3" x14ac:dyDescent="0.2">
      <c r="A176" t="s">
        <v>1709</v>
      </c>
      <c r="B176" t="s">
        <v>243</v>
      </c>
      <c r="C176" t="s">
        <v>1709</v>
      </c>
    </row>
    <row r="177" spans="1:3" x14ac:dyDescent="0.2">
      <c r="A177" t="s">
        <v>244</v>
      </c>
      <c r="B177" t="s">
        <v>245</v>
      </c>
      <c r="C177" t="s">
        <v>244</v>
      </c>
    </row>
    <row r="178" spans="1:3" x14ac:dyDescent="0.2">
      <c r="A178" t="s">
        <v>246</v>
      </c>
      <c r="B178" t="s">
        <v>247</v>
      </c>
      <c r="C178" t="s">
        <v>246</v>
      </c>
    </row>
    <row r="179" spans="1:3" x14ac:dyDescent="0.2">
      <c r="A179" t="s">
        <v>248</v>
      </c>
      <c r="B179" t="s">
        <v>249</v>
      </c>
      <c r="C179" t="s">
        <v>248</v>
      </c>
    </row>
    <row r="180" spans="1:3" x14ac:dyDescent="0.2">
      <c r="A180" t="s">
        <v>250</v>
      </c>
      <c r="B180" t="s">
        <v>251</v>
      </c>
      <c r="C180" t="s">
        <v>250</v>
      </c>
    </row>
    <row r="181" spans="1:3" x14ac:dyDescent="0.2">
      <c r="A181" t="s">
        <v>252</v>
      </c>
      <c r="B181" t="s">
        <v>253</v>
      </c>
      <c r="C181" t="s">
        <v>252</v>
      </c>
    </row>
    <row r="182" spans="1:3" x14ac:dyDescent="0.2">
      <c r="A182" t="s">
        <v>254</v>
      </c>
      <c r="B182" t="s">
        <v>255</v>
      </c>
      <c r="C182" t="s">
        <v>254</v>
      </c>
    </row>
    <row r="183" spans="1:3" x14ac:dyDescent="0.2">
      <c r="A183" t="s">
        <v>256</v>
      </c>
      <c r="B183" t="s">
        <v>257</v>
      </c>
      <c r="C183" t="s">
        <v>256</v>
      </c>
    </row>
    <row r="184" spans="1:3" x14ac:dyDescent="0.2">
      <c r="A184" t="s">
        <v>258</v>
      </c>
      <c r="B184" t="s">
        <v>259</v>
      </c>
      <c r="C184" t="s">
        <v>258</v>
      </c>
    </row>
    <row r="185" spans="1:3" x14ac:dyDescent="0.2">
      <c r="A185" t="s">
        <v>260</v>
      </c>
      <c r="B185" t="s">
        <v>261</v>
      </c>
      <c r="C185" t="s">
        <v>260</v>
      </c>
    </row>
    <row r="186" spans="1:3" x14ac:dyDescent="0.2">
      <c r="A186" t="s">
        <v>262</v>
      </c>
      <c r="B186" t="s">
        <v>263</v>
      </c>
      <c r="C186" t="s">
        <v>262</v>
      </c>
    </row>
    <row r="187" spans="1:3" x14ac:dyDescent="0.2">
      <c r="A187" t="s">
        <v>264</v>
      </c>
      <c r="B187" t="s">
        <v>265</v>
      </c>
      <c r="C187" t="s">
        <v>264</v>
      </c>
    </row>
    <row r="188" spans="1:3" x14ac:dyDescent="0.2">
      <c r="A188" t="s">
        <v>266</v>
      </c>
      <c r="B188" t="s">
        <v>267</v>
      </c>
      <c r="C188" t="s">
        <v>266</v>
      </c>
    </row>
    <row r="189" spans="1:3" x14ac:dyDescent="0.2">
      <c r="A189" t="s">
        <v>268</v>
      </c>
      <c r="B189" t="s">
        <v>269</v>
      </c>
      <c r="C189" t="s">
        <v>268</v>
      </c>
    </row>
    <row r="190" spans="1:3" x14ac:dyDescent="0.2">
      <c r="A190" t="s">
        <v>286</v>
      </c>
      <c r="B190" t="s">
        <v>287</v>
      </c>
      <c r="C190" t="s">
        <v>286</v>
      </c>
    </row>
    <row r="191" spans="1:3" x14ac:dyDescent="0.2">
      <c r="A191" t="s">
        <v>288</v>
      </c>
      <c r="B191" t="s">
        <v>289</v>
      </c>
      <c r="C191" t="s">
        <v>288</v>
      </c>
    </row>
    <row r="192" spans="1:3" x14ac:dyDescent="0.2">
      <c r="A192" t="s">
        <v>290</v>
      </c>
      <c r="B192" t="s">
        <v>291</v>
      </c>
      <c r="C192" t="s">
        <v>290</v>
      </c>
    </row>
    <row r="193" spans="1:3" x14ac:dyDescent="0.2">
      <c r="A193" t="s">
        <v>292</v>
      </c>
      <c r="B193" t="s">
        <v>293</v>
      </c>
      <c r="C193" t="s">
        <v>292</v>
      </c>
    </row>
    <row r="194" spans="1:3" x14ac:dyDescent="0.2">
      <c r="A194" t="s">
        <v>294</v>
      </c>
      <c r="B194" t="s">
        <v>295</v>
      </c>
      <c r="C194" t="s">
        <v>294</v>
      </c>
    </row>
    <row r="195" spans="1:3" x14ac:dyDescent="0.2">
      <c r="A195" t="s">
        <v>296</v>
      </c>
      <c r="B195" t="s">
        <v>297</v>
      </c>
      <c r="C195" t="s">
        <v>296</v>
      </c>
    </row>
    <row r="196" spans="1:3" x14ac:dyDescent="0.2">
      <c r="A196" t="s">
        <v>298</v>
      </c>
      <c r="B196" t="s">
        <v>299</v>
      </c>
      <c r="C196" t="s">
        <v>298</v>
      </c>
    </row>
    <row r="197" spans="1:3" x14ac:dyDescent="0.2">
      <c r="A197" t="s">
        <v>300</v>
      </c>
      <c r="B197" t="s">
        <v>301</v>
      </c>
      <c r="C197" t="s">
        <v>300</v>
      </c>
    </row>
    <row r="198" spans="1:3" x14ac:dyDescent="0.2">
      <c r="A198" t="s">
        <v>302</v>
      </c>
      <c r="B198" t="s">
        <v>303</v>
      </c>
      <c r="C198" t="s">
        <v>302</v>
      </c>
    </row>
    <row r="199" spans="1:3" x14ac:dyDescent="0.2">
      <c r="A199" t="s">
        <v>304</v>
      </c>
      <c r="B199" t="s">
        <v>305</v>
      </c>
      <c r="C199" t="s">
        <v>304</v>
      </c>
    </row>
    <row r="200" spans="1:3" x14ac:dyDescent="0.2">
      <c r="A200" t="s">
        <v>306</v>
      </c>
      <c r="B200" t="s">
        <v>307</v>
      </c>
      <c r="C200" t="s">
        <v>306</v>
      </c>
    </row>
    <row r="201" spans="1:3" x14ac:dyDescent="0.2">
      <c r="A201" t="s">
        <v>308</v>
      </c>
      <c r="B201" t="s">
        <v>309</v>
      </c>
      <c r="C201" t="s">
        <v>308</v>
      </c>
    </row>
    <row r="202" spans="1:3" x14ac:dyDescent="0.2">
      <c r="A202" t="s">
        <v>310</v>
      </c>
      <c r="B202" t="s">
        <v>311</v>
      </c>
      <c r="C202" t="s">
        <v>310</v>
      </c>
    </row>
    <row r="203" spans="1:3" x14ac:dyDescent="0.2">
      <c r="A203" t="s">
        <v>312</v>
      </c>
      <c r="B203" t="s">
        <v>313</v>
      </c>
      <c r="C203" t="s">
        <v>312</v>
      </c>
    </row>
    <row r="204" spans="1:3" x14ac:dyDescent="0.2">
      <c r="A204" t="s">
        <v>314</v>
      </c>
      <c r="B204" t="s">
        <v>315</v>
      </c>
      <c r="C204" t="s">
        <v>314</v>
      </c>
    </row>
    <row r="205" spans="1:3" x14ac:dyDescent="0.2">
      <c r="A205" t="s">
        <v>316</v>
      </c>
      <c r="B205" t="s">
        <v>317</v>
      </c>
      <c r="C205" t="s">
        <v>316</v>
      </c>
    </row>
    <row r="206" spans="1:3" x14ac:dyDescent="0.2">
      <c r="A206" t="s">
        <v>318</v>
      </c>
      <c r="B206" t="s">
        <v>319</v>
      </c>
      <c r="C206" t="s">
        <v>318</v>
      </c>
    </row>
    <row r="207" spans="1:3" x14ac:dyDescent="0.2">
      <c r="A207" t="s">
        <v>320</v>
      </c>
      <c r="B207" t="s">
        <v>321</v>
      </c>
      <c r="C207" t="s">
        <v>320</v>
      </c>
    </row>
    <row r="208" spans="1:3" x14ac:dyDescent="0.2">
      <c r="A208" t="s">
        <v>322</v>
      </c>
      <c r="B208" t="s">
        <v>323</v>
      </c>
      <c r="C208" t="s">
        <v>322</v>
      </c>
    </row>
    <row r="209" spans="1:3" x14ac:dyDescent="0.2">
      <c r="A209" t="s">
        <v>324</v>
      </c>
      <c r="B209" t="s">
        <v>325</v>
      </c>
      <c r="C209" t="s">
        <v>324</v>
      </c>
    </row>
    <row r="210" spans="1:3" x14ac:dyDescent="0.2">
      <c r="A210" t="s">
        <v>326</v>
      </c>
      <c r="B210" t="s">
        <v>327</v>
      </c>
      <c r="C210" t="s">
        <v>326</v>
      </c>
    </row>
    <row r="211" spans="1:3" x14ac:dyDescent="0.2">
      <c r="A211" t="s">
        <v>328</v>
      </c>
      <c r="B211" t="s">
        <v>329</v>
      </c>
      <c r="C211" t="s">
        <v>328</v>
      </c>
    </row>
    <row r="212" spans="1:3" x14ac:dyDescent="0.2">
      <c r="A212" t="s">
        <v>330</v>
      </c>
      <c r="B212" t="s">
        <v>331</v>
      </c>
      <c r="C212" t="s">
        <v>330</v>
      </c>
    </row>
    <row r="213" spans="1:3" x14ac:dyDescent="0.2">
      <c r="A213" t="s">
        <v>332</v>
      </c>
      <c r="B213" t="s">
        <v>333</v>
      </c>
      <c r="C213" t="s">
        <v>332</v>
      </c>
    </row>
    <row r="214" spans="1:3" x14ac:dyDescent="0.2">
      <c r="A214" t="s">
        <v>334</v>
      </c>
      <c r="B214" t="s">
        <v>335</v>
      </c>
      <c r="C214" t="s">
        <v>334</v>
      </c>
    </row>
    <row r="215" spans="1:3" x14ac:dyDescent="0.2">
      <c r="A215" t="s">
        <v>336</v>
      </c>
      <c r="B215" t="s">
        <v>337</v>
      </c>
      <c r="C215" t="s">
        <v>336</v>
      </c>
    </row>
    <row r="216" spans="1:3" x14ac:dyDescent="0.2">
      <c r="A216" t="s">
        <v>338</v>
      </c>
      <c r="B216" t="s">
        <v>339</v>
      </c>
      <c r="C216" t="s">
        <v>338</v>
      </c>
    </row>
    <row r="217" spans="1:3" x14ac:dyDescent="0.2">
      <c r="A217" t="s">
        <v>340</v>
      </c>
      <c r="B217" t="s">
        <v>341</v>
      </c>
      <c r="C217" t="s">
        <v>340</v>
      </c>
    </row>
    <row r="218" spans="1:3" x14ac:dyDescent="0.2">
      <c r="A218" t="s">
        <v>342</v>
      </c>
      <c r="B218" t="s">
        <v>343</v>
      </c>
      <c r="C218" t="s">
        <v>342</v>
      </c>
    </row>
    <row r="219" spans="1:3" x14ac:dyDescent="0.2">
      <c r="A219" t="s">
        <v>344</v>
      </c>
      <c r="B219" t="s">
        <v>345</v>
      </c>
      <c r="C219" t="s">
        <v>344</v>
      </c>
    </row>
    <row r="220" spans="1:3" x14ac:dyDescent="0.2">
      <c r="A220" t="s">
        <v>346</v>
      </c>
      <c r="B220" t="s">
        <v>347</v>
      </c>
      <c r="C220" t="s">
        <v>346</v>
      </c>
    </row>
    <row r="221" spans="1:3" x14ac:dyDescent="0.2">
      <c r="A221" t="s">
        <v>348</v>
      </c>
      <c r="B221" t="s">
        <v>349</v>
      </c>
      <c r="C221" t="s">
        <v>348</v>
      </c>
    </row>
    <row r="222" spans="1:3" x14ac:dyDescent="0.2">
      <c r="A222" t="s">
        <v>350</v>
      </c>
      <c r="B222" t="s">
        <v>351</v>
      </c>
      <c r="C222" t="s">
        <v>350</v>
      </c>
    </row>
    <row r="223" spans="1:3" x14ac:dyDescent="0.2">
      <c r="A223" t="s">
        <v>352</v>
      </c>
      <c r="B223" t="s">
        <v>353</v>
      </c>
      <c r="C223" t="s">
        <v>352</v>
      </c>
    </row>
    <row r="224" spans="1:3" x14ac:dyDescent="0.2">
      <c r="A224" t="s">
        <v>354</v>
      </c>
      <c r="B224" t="s">
        <v>355</v>
      </c>
      <c r="C224" t="s">
        <v>354</v>
      </c>
    </row>
    <row r="225" spans="1:3" x14ac:dyDescent="0.2">
      <c r="A225" t="s">
        <v>356</v>
      </c>
      <c r="B225" t="s">
        <v>357</v>
      </c>
      <c r="C225" t="s">
        <v>356</v>
      </c>
    </row>
    <row r="226" spans="1:3" x14ac:dyDescent="0.2">
      <c r="A226" t="s">
        <v>358</v>
      </c>
      <c r="B226" t="s">
        <v>359</v>
      </c>
      <c r="C226" t="s">
        <v>358</v>
      </c>
    </row>
    <row r="227" spans="1:3" x14ac:dyDescent="0.2">
      <c r="A227" t="s">
        <v>360</v>
      </c>
      <c r="B227" t="s">
        <v>361</v>
      </c>
      <c r="C227" t="s">
        <v>360</v>
      </c>
    </row>
    <row r="228" spans="1:3" x14ac:dyDescent="0.2">
      <c r="A228" t="s">
        <v>362</v>
      </c>
      <c r="B228" t="s">
        <v>363</v>
      </c>
      <c r="C228" t="s">
        <v>362</v>
      </c>
    </row>
    <row r="229" spans="1:3" x14ac:dyDescent="0.2">
      <c r="A229" t="s">
        <v>364</v>
      </c>
      <c r="B229" t="s">
        <v>365</v>
      </c>
      <c r="C229" t="s">
        <v>364</v>
      </c>
    </row>
    <row r="230" spans="1:3" x14ac:dyDescent="0.2">
      <c r="A230" t="s">
        <v>366</v>
      </c>
      <c r="B230" t="s">
        <v>367</v>
      </c>
      <c r="C230" t="s">
        <v>366</v>
      </c>
    </row>
    <row r="231" spans="1:3" x14ac:dyDescent="0.2">
      <c r="A231" t="s">
        <v>368</v>
      </c>
      <c r="B231" t="s">
        <v>369</v>
      </c>
      <c r="C231" t="s">
        <v>368</v>
      </c>
    </row>
    <row r="232" spans="1:3" x14ac:dyDescent="0.2">
      <c r="A232" t="s">
        <v>370</v>
      </c>
      <c r="B232" t="s">
        <v>371</v>
      </c>
      <c r="C232" t="s">
        <v>370</v>
      </c>
    </row>
    <row r="233" spans="1:3" x14ac:dyDescent="0.2">
      <c r="A233" t="s">
        <v>372</v>
      </c>
      <c r="B233" t="s">
        <v>373</v>
      </c>
      <c r="C233" t="s">
        <v>372</v>
      </c>
    </row>
    <row r="234" spans="1:3" x14ac:dyDescent="0.2">
      <c r="A234" t="s">
        <v>374</v>
      </c>
      <c r="B234" t="s">
        <v>375</v>
      </c>
      <c r="C234" t="s">
        <v>374</v>
      </c>
    </row>
    <row r="235" spans="1:3" x14ac:dyDescent="0.2">
      <c r="A235" t="s">
        <v>376</v>
      </c>
      <c r="B235" t="s">
        <v>377</v>
      </c>
      <c r="C235" t="s">
        <v>376</v>
      </c>
    </row>
    <row r="236" spans="1:3" x14ac:dyDescent="0.2">
      <c r="A236" t="s">
        <v>378</v>
      </c>
      <c r="B236" t="s">
        <v>379</v>
      </c>
      <c r="C236" t="s">
        <v>378</v>
      </c>
    </row>
    <row r="237" spans="1:3" x14ac:dyDescent="0.2">
      <c r="A237" t="s">
        <v>380</v>
      </c>
      <c r="B237" t="s">
        <v>381</v>
      </c>
      <c r="C237" t="s">
        <v>380</v>
      </c>
    </row>
    <row r="238" spans="1:3" x14ac:dyDescent="0.2">
      <c r="A238" t="s">
        <v>382</v>
      </c>
      <c r="B238" t="s">
        <v>383</v>
      </c>
      <c r="C238" t="s">
        <v>382</v>
      </c>
    </row>
    <row r="239" spans="1:3" x14ac:dyDescent="0.2">
      <c r="A239" t="s">
        <v>384</v>
      </c>
      <c r="B239" t="s">
        <v>385</v>
      </c>
      <c r="C239" t="s">
        <v>384</v>
      </c>
    </row>
    <row r="240" spans="1:3" x14ac:dyDescent="0.2">
      <c r="A240" t="s">
        <v>386</v>
      </c>
      <c r="B240" t="s">
        <v>387</v>
      </c>
      <c r="C240" t="s">
        <v>386</v>
      </c>
    </row>
    <row r="241" spans="1:3" x14ac:dyDescent="0.2">
      <c r="A241" t="s">
        <v>388</v>
      </c>
      <c r="B241" t="s">
        <v>389</v>
      </c>
      <c r="C241" t="s">
        <v>388</v>
      </c>
    </row>
    <row r="242" spans="1:3" x14ac:dyDescent="0.2">
      <c r="A242" t="s">
        <v>390</v>
      </c>
      <c r="B242" t="s">
        <v>391</v>
      </c>
      <c r="C242" t="s">
        <v>390</v>
      </c>
    </row>
    <row r="243" spans="1:3" x14ac:dyDescent="0.2">
      <c r="A243" t="s">
        <v>392</v>
      </c>
      <c r="B243" t="s">
        <v>393</v>
      </c>
      <c r="C243" t="s">
        <v>392</v>
      </c>
    </row>
    <row r="244" spans="1:3" x14ac:dyDescent="0.2">
      <c r="A244" t="s">
        <v>394</v>
      </c>
      <c r="B244" t="s">
        <v>395</v>
      </c>
      <c r="C244" t="s">
        <v>394</v>
      </c>
    </row>
    <row r="245" spans="1:3" x14ac:dyDescent="0.2">
      <c r="A245" t="s">
        <v>396</v>
      </c>
      <c r="B245" t="s">
        <v>397</v>
      </c>
      <c r="C245" t="s">
        <v>396</v>
      </c>
    </row>
    <row r="246" spans="1:3" x14ac:dyDescent="0.2">
      <c r="A246" t="s">
        <v>398</v>
      </c>
      <c r="B246" t="s">
        <v>399</v>
      </c>
      <c r="C246" t="s">
        <v>398</v>
      </c>
    </row>
    <row r="247" spans="1:3" x14ac:dyDescent="0.2">
      <c r="A247" t="s">
        <v>400</v>
      </c>
      <c r="B247" t="s">
        <v>401</v>
      </c>
      <c r="C247" t="s">
        <v>400</v>
      </c>
    </row>
    <row r="248" spans="1:3" x14ac:dyDescent="0.2">
      <c r="A248" t="s">
        <v>402</v>
      </c>
      <c r="B248" t="s">
        <v>403</v>
      </c>
      <c r="C248" t="s">
        <v>402</v>
      </c>
    </row>
    <row r="249" spans="1:3" x14ac:dyDescent="0.2">
      <c r="A249" t="s">
        <v>404</v>
      </c>
      <c r="B249" t="s">
        <v>405</v>
      </c>
      <c r="C249" t="s">
        <v>404</v>
      </c>
    </row>
    <row r="250" spans="1:3" x14ac:dyDescent="0.2">
      <c r="A250" t="s">
        <v>406</v>
      </c>
      <c r="B250" t="s">
        <v>407</v>
      </c>
      <c r="C250" t="s">
        <v>406</v>
      </c>
    </row>
    <row r="251" spans="1:3" x14ac:dyDescent="0.2">
      <c r="A251" t="s">
        <v>408</v>
      </c>
      <c r="B251" t="s">
        <v>409</v>
      </c>
      <c r="C251" t="s">
        <v>408</v>
      </c>
    </row>
    <row r="252" spans="1:3" x14ac:dyDescent="0.2">
      <c r="A252" t="s">
        <v>410</v>
      </c>
      <c r="B252" t="s">
        <v>411</v>
      </c>
      <c r="C252" t="s">
        <v>410</v>
      </c>
    </row>
    <row r="253" spans="1:3" x14ac:dyDescent="0.2">
      <c r="A253" t="s">
        <v>412</v>
      </c>
      <c r="B253" t="s">
        <v>413</v>
      </c>
      <c r="C253" t="s">
        <v>412</v>
      </c>
    </row>
    <row r="254" spans="1:3" x14ac:dyDescent="0.2">
      <c r="A254" t="s">
        <v>414</v>
      </c>
      <c r="B254" t="s">
        <v>415</v>
      </c>
      <c r="C254" t="s">
        <v>414</v>
      </c>
    </row>
    <row r="255" spans="1:3" x14ac:dyDescent="0.2">
      <c r="A255" t="s">
        <v>416</v>
      </c>
      <c r="B255" t="s">
        <v>417</v>
      </c>
      <c r="C255" t="s">
        <v>416</v>
      </c>
    </row>
    <row r="256" spans="1:3" x14ac:dyDescent="0.2">
      <c r="A256" t="s">
        <v>418</v>
      </c>
      <c r="B256" t="s">
        <v>419</v>
      </c>
      <c r="C256" t="s">
        <v>418</v>
      </c>
    </row>
    <row r="257" spans="1:3" x14ac:dyDescent="0.2">
      <c r="A257" t="s">
        <v>420</v>
      </c>
      <c r="B257" t="s">
        <v>421</v>
      </c>
      <c r="C257" t="s">
        <v>420</v>
      </c>
    </row>
    <row r="258" spans="1:3" x14ac:dyDescent="0.2">
      <c r="A258" t="s">
        <v>422</v>
      </c>
      <c r="B258" t="s">
        <v>423</v>
      </c>
      <c r="C258" t="s">
        <v>422</v>
      </c>
    </row>
    <row r="259" spans="1:3" x14ac:dyDescent="0.2">
      <c r="A259" t="s">
        <v>424</v>
      </c>
      <c r="B259" t="s">
        <v>425</v>
      </c>
      <c r="C259" t="s">
        <v>424</v>
      </c>
    </row>
    <row r="260" spans="1:3" x14ac:dyDescent="0.2">
      <c r="A260" t="s">
        <v>426</v>
      </c>
      <c r="B260" t="s">
        <v>427</v>
      </c>
      <c r="C260" t="s">
        <v>426</v>
      </c>
    </row>
    <row r="261" spans="1:3" x14ac:dyDescent="0.2">
      <c r="A261" t="s">
        <v>428</v>
      </c>
      <c r="B261" t="s">
        <v>429</v>
      </c>
      <c r="C261" t="s">
        <v>428</v>
      </c>
    </row>
    <row r="262" spans="1:3" x14ac:dyDescent="0.2">
      <c r="A262" t="s">
        <v>430</v>
      </c>
      <c r="B262" t="s">
        <v>431</v>
      </c>
      <c r="C262" t="s">
        <v>430</v>
      </c>
    </row>
    <row r="263" spans="1:3" x14ac:dyDescent="0.2">
      <c r="A263" t="s">
        <v>432</v>
      </c>
      <c r="B263" t="s">
        <v>433</v>
      </c>
      <c r="C263" t="s">
        <v>432</v>
      </c>
    </row>
    <row r="264" spans="1:3" x14ac:dyDescent="0.2">
      <c r="A264" t="s">
        <v>434</v>
      </c>
      <c r="B264" t="s">
        <v>435</v>
      </c>
      <c r="C264" t="s">
        <v>434</v>
      </c>
    </row>
    <row r="265" spans="1:3" x14ac:dyDescent="0.2">
      <c r="A265" t="s">
        <v>436</v>
      </c>
      <c r="B265" t="s">
        <v>437</v>
      </c>
      <c r="C265" t="s">
        <v>436</v>
      </c>
    </row>
    <row r="266" spans="1:3" x14ac:dyDescent="0.2">
      <c r="A266" t="s">
        <v>438</v>
      </c>
      <c r="B266" t="s">
        <v>439</v>
      </c>
      <c r="C266" t="s">
        <v>438</v>
      </c>
    </row>
    <row r="267" spans="1:3" x14ac:dyDescent="0.2">
      <c r="A267" t="s">
        <v>440</v>
      </c>
      <c r="B267" t="s">
        <v>441</v>
      </c>
      <c r="C267" t="s">
        <v>440</v>
      </c>
    </row>
    <row r="268" spans="1:3" x14ac:dyDescent="0.2">
      <c r="A268" t="s">
        <v>442</v>
      </c>
      <c r="B268" t="s">
        <v>443</v>
      </c>
      <c r="C268" t="s">
        <v>442</v>
      </c>
    </row>
    <row r="269" spans="1:3" x14ac:dyDescent="0.2">
      <c r="A269" t="s">
        <v>444</v>
      </c>
      <c r="B269" t="s">
        <v>445</v>
      </c>
      <c r="C269" t="s">
        <v>444</v>
      </c>
    </row>
    <row r="270" spans="1:3" x14ac:dyDescent="0.2">
      <c r="A270" t="s">
        <v>446</v>
      </c>
      <c r="B270" t="s">
        <v>447</v>
      </c>
      <c r="C270" t="s">
        <v>446</v>
      </c>
    </row>
    <row r="271" spans="1:3" x14ac:dyDescent="0.2">
      <c r="A271" t="s">
        <v>448</v>
      </c>
      <c r="B271" t="s">
        <v>449</v>
      </c>
      <c r="C271" t="s">
        <v>448</v>
      </c>
    </row>
    <row r="272" spans="1:3" x14ac:dyDescent="0.2">
      <c r="A272" t="s">
        <v>450</v>
      </c>
      <c r="B272" t="s">
        <v>451</v>
      </c>
      <c r="C272" t="s">
        <v>450</v>
      </c>
    </row>
    <row r="273" spans="1:3" x14ac:dyDescent="0.2">
      <c r="A273" t="s">
        <v>452</v>
      </c>
      <c r="B273" t="s">
        <v>453</v>
      </c>
      <c r="C273" t="s">
        <v>452</v>
      </c>
    </row>
    <row r="274" spans="1:3" x14ac:dyDescent="0.2">
      <c r="A274" t="s">
        <v>454</v>
      </c>
      <c r="B274" t="s">
        <v>455</v>
      </c>
      <c r="C274" t="s">
        <v>454</v>
      </c>
    </row>
    <row r="275" spans="1:3" x14ac:dyDescent="0.2">
      <c r="A275" t="s">
        <v>456</v>
      </c>
      <c r="B275" t="s">
        <v>457</v>
      </c>
      <c r="C275" t="s">
        <v>456</v>
      </c>
    </row>
    <row r="276" spans="1:3" x14ac:dyDescent="0.2">
      <c r="A276" t="s">
        <v>458</v>
      </c>
      <c r="B276" t="s">
        <v>459</v>
      </c>
      <c r="C276" t="s">
        <v>458</v>
      </c>
    </row>
    <row r="277" spans="1:3" x14ac:dyDescent="0.2">
      <c r="A277" t="s">
        <v>460</v>
      </c>
      <c r="B277" t="s">
        <v>461</v>
      </c>
      <c r="C277" t="s">
        <v>460</v>
      </c>
    </row>
    <row r="278" spans="1:3" x14ac:dyDescent="0.2">
      <c r="A278" t="s">
        <v>462</v>
      </c>
      <c r="B278" t="s">
        <v>463</v>
      </c>
      <c r="C278" t="s">
        <v>462</v>
      </c>
    </row>
    <row r="279" spans="1:3" x14ac:dyDescent="0.2">
      <c r="A279" t="s">
        <v>464</v>
      </c>
      <c r="B279" t="s">
        <v>465</v>
      </c>
      <c r="C279" t="s">
        <v>464</v>
      </c>
    </row>
    <row r="280" spans="1:3" x14ac:dyDescent="0.2">
      <c r="A280" t="s">
        <v>466</v>
      </c>
      <c r="B280" t="s">
        <v>467</v>
      </c>
      <c r="C280" t="s">
        <v>466</v>
      </c>
    </row>
    <row r="281" spans="1:3" x14ac:dyDescent="0.2">
      <c r="A281" t="s">
        <v>468</v>
      </c>
      <c r="B281" t="s">
        <v>469</v>
      </c>
      <c r="C281" t="s">
        <v>468</v>
      </c>
    </row>
    <row r="282" spans="1:3" x14ac:dyDescent="0.2">
      <c r="A282" t="s">
        <v>470</v>
      </c>
      <c r="B282" t="s">
        <v>471</v>
      </c>
      <c r="C282" t="s">
        <v>470</v>
      </c>
    </row>
    <row r="283" spans="1:3" x14ac:dyDescent="0.2">
      <c r="A283" t="s">
        <v>472</v>
      </c>
      <c r="B283" t="s">
        <v>473</v>
      </c>
      <c r="C283" t="s">
        <v>472</v>
      </c>
    </row>
    <row r="284" spans="1:3" x14ac:dyDescent="0.2">
      <c r="A284" t="s">
        <v>474</v>
      </c>
      <c r="B284" t="s">
        <v>475</v>
      </c>
      <c r="C284" t="s">
        <v>474</v>
      </c>
    </row>
    <row r="285" spans="1:3" x14ac:dyDescent="0.2">
      <c r="A285" t="s">
        <v>476</v>
      </c>
      <c r="B285" t="s">
        <v>477</v>
      </c>
      <c r="C285" t="s">
        <v>476</v>
      </c>
    </row>
    <row r="286" spans="1:3" x14ac:dyDescent="0.2">
      <c r="A286" t="s">
        <v>478</v>
      </c>
      <c r="B286" t="s">
        <v>479</v>
      </c>
      <c r="C286" t="s">
        <v>478</v>
      </c>
    </row>
    <row r="287" spans="1:3" x14ac:dyDescent="0.2">
      <c r="A287" t="s">
        <v>480</v>
      </c>
      <c r="B287" t="s">
        <v>481</v>
      </c>
      <c r="C287" t="s">
        <v>480</v>
      </c>
    </row>
    <row r="288" spans="1:3" x14ac:dyDescent="0.2">
      <c r="A288" t="s">
        <v>482</v>
      </c>
      <c r="B288" t="s">
        <v>483</v>
      </c>
      <c r="C288" t="s">
        <v>482</v>
      </c>
    </row>
    <row r="289" spans="1:3" x14ac:dyDescent="0.2">
      <c r="A289" t="s">
        <v>484</v>
      </c>
      <c r="B289" t="s">
        <v>485</v>
      </c>
      <c r="C289" t="s">
        <v>484</v>
      </c>
    </row>
    <row r="290" spans="1:3" x14ac:dyDescent="0.2">
      <c r="A290" t="s">
        <v>486</v>
      </c>
      <c r="B290" t="s">
        <v>487</v>
      </c>
      <c r="C290" t="s">
        <v>486</v>
      </c>
    </row>
    <row r="291" spans="1:3" x14ac:dyDescent="0.2">
      <c r="A291" t="s">
        <v>488</v>
      </c>
      <c r="B291" t="s">
        <v>489</v>
      </c>
      <c r="C291" t="s">
        <v>488</v>
      </c>
    </row>
    <row r="292" spans="1:3" x14ac:dyDescent="0.2">
      <c r="A292" t="s">
        <v>490</v>
      </c>
      <c r="B292" t="s">
        <v>491</v>
      </c>
      <c r="C292" t="s">
        <v>490</v>
      </c>
    </row>
    <row r="293" spans="1:3" x14ac:dyDescent="0.2">
      <c r="A293" t="s">
        <v>492</v>
      </c>
      <c r="B293" t="s">
        <v>493</v>
      </c>
      <c r="C293" t="s">
        <v>492</v>
      </c>
    </row>
    <row r="294" spans="1:3" x14ac:dyDescent="0.2">
      <c r="A294" t="s">
        <v>494</v>
      </c>
      <c r="B294" t="s">
        <v>495</v>
      </c>
      <c r="C294" t="s">
        <v>494</v>
      </c>
    </row>
    <row r="295" spans="1:3" x14ac:dyDescent="0.2">
      <c r="A295" t="s">
        <v>496</v>
      </c>
      <c r="B295" t="s">
        <v>497</v>
      </c>
      <c r="C295" t="s">
        <v>496</v>
      </c>
    </row>
    <row r="296" spans="1:3" x14ac:dyDescent="0.2">
      <c r="A296" t="s">
        <v>498</v>
      </c>
      <c r="B296" t="s">
        <v>499</v>
      </c>
      <c r="C296" t="s">
        <v>498</v>
      </c>
    </row>
    <row r="297" spans="1:3" x14ac:dyDescent="0.2">
      <c r="A297" t="s">
        <v>500</v>
      </c>
      <c r="B297" t="s">
        <v>501</v>
      </c>
      <c r="C297" t="s">
        <v>500</v>
      </c>
    </row>
    <row r="298" spans="1:3" x14ac:dyDescent="0.2">
      <c r="A298" t="s">
        <v>502</v>
      </c>
      <c r="B298" t="s">
        <v>503</v>
      </c>
      <c r="C298" t="s">
        <v>502</v>
      </c>
    </row>
    <row r="299" spans="1:3" x14ac:dyDescent="0.2">
      <c r="A299" t="s">
        <v>504</v>
      </c>
      <c r="B299" t="s">
        <v>505</v>
      </c>
      <c r="C299" t="s">
        <v>504</v>
      </c>
    </row>
    <row r="300" spans="1:3" x14ac:dyDescent="0.2">
      <c r="A300" t="s">
        <v>506</v>
      </c>
      <c r="B300" t="s">
        <v>507</v>
      </c>
      <c r="C300" t="s">
        <v>506</v>
      </c>
    </row>
    <row r="301" spans="1:3" x14ac:dyDescent="0.2">
      <c r="A301" t="s">
        <v>508</v>
      </c>
      <c r="B301" t="s">
        <v>509</v>
      </c>
      <c r="C301" t="s">
        <v>508</v>
      </c>
    </row>
    <row r="302" spans="1:3" x14ac:dyDescent="0.2">
      <c r="A302" t="s">
        <v>510</v>
      </c>
      <c r="B302" t="s">
        <v>511</v>
      </c>
      <c r="C302" t="s">
        <v>510</v>
      </c>
    </row>
    <row r="303" spans="1:3" x14ac:dyDescent="0.2">
      <c r="A303" t="s">
        <v>512</v>
      </c>
      <c r="B303" t="s">
        <v>513</v>
      </c>
      <c r="C303" t="s">
        <v>512</v>
      </c>
    </row>
    <row r="304" spans="1:3" x14ac:dyDescent="0.2">
      <c r="A304" t="s">
        <v>514</v>
      </c>
      <c r="B304" t="s">
        <v>515</v>
      </c>
      <c r="C304" t="s">
        <v>514</v>
      </c>
    </row>
    <row r="305" spans="1:3" x14ac:dyDescent="0.2">
      <c r="A305" t="s">
        <v>516</v>
      </c>
      <c r="B305" t="s">
        <v>517</v>
      </c>
      <c r="C305" t="s">
        <v>516</v>
      </c>
    </row>
    <row r="306" spans="1:3" x14ac:dyDescent="0.2">
      <c r="A306" t="s">
        <v>518</v>
      </c>
      <c r="B306" t="s">
        <v>519</v>
      </c>
      <c r="C306" t="s">
        <v>518</v>
      </c>
    </row>
    <row r="307" spans="1:3" x14ac:dyDescent="0.2">
      <c r="A307" t="s">
        <v>520</v>
      </c>
      <c r="B307" t="s">
        <v>521</v>
      </c>
      <c r="C307" t="s">
        <v>520</v>
      </c>
    </row>
    <row r="308" spans="1:3" x14ac:dyDescent="0.2">
      <c r="A308" t="s">
        <v>522</v>
      </c>
      <c r="B308" t="s">
        <v>523</v>
      </c>
      <c r="C308" t="s">
        <v>522</v>
      </c>
    </row>
    <row r="309" spans="1:3" x14ac:dyDescent="0.2">
      <c r="A309" t="s">
        <v>524</v>
      </c>
      <c r="B309" t="s">
        <v>525</v>
      </c>
      <c r="C309" t="s">
        <v>524</v>
      </c>
    </row>
    <row r="310" spans="1:3" x14ac:dyDescent="0.2">
      <c r="A310" t="s">
        <v>526</v>
      </c>
      <c r="B310" t="s">
        <v>527</v>
      </c>
      <c r="C310" t="s">
        <v>526</v>
      </c>
    </row>
    <row r="311" spans="1:3" x14ac:dyDescent="0.2">
      <c r="A311" t="s">
        <v>528</v>
      </c>
      <c r="B311" t="s">
        <v>529</v>
      </c>
      <c r="C311" t="s">
        <v>528</v>
      </c>
    </row>
    <row r="312" spans="1:3" x14ac:dyDescent="0.2">
      <c r="A312" t="s">
        <v>530</v>
      </c>
      <c r="B312" t="s">
        <v>531</v>
      </c>
      <c r="C312" t="s">
        <v>530</v>
      </c>
    </row>
    <row r="313" spans="1:3" x14ac:dyDescent="0.2">
      <c r="A313" t="s">
        <v>532</v>
      </c>
      <c r="B313" t="s">
        <v>533</v>
      </c>
      <c r="C313" t="s">
        <v>532</v>
      </c>
    </row>
    <row r="314" spans="1:3" x14ac:dyDescent="0.2">
      <c r="A314" t="s">
        <v>534</v>
      </c>
      <c r="B314" t="s">
        <v>535</v>
      </c>
      <c r="C314" t="s">
        <v>534</v>
      </c>
    </row>
    <row r="315" spans="1:3" x14ac:dyDescent="0.2">
      <c r="A315" t="s">
        <v>536</v>
      </c>
      <c r="B315" t="s">
        <v>537</v>
      </c>
      <c r="C315" t="s">
        <v>536</v>
      </c>
    </row>
    <row r="316" spans="1:3" x14ac:dyDescent="0.2">
      <c r="A316" t="s">
        <v>538</v>
      </c>
      <c r="B316" t="s">
        <v>539</v>
      </c>
      <c r="C316" t="s">
        <v>538</v>
      </c>
    </row>
    <row r="317" spans="1:3" x14ac:dyDescent="0.2">
      <c r="A317" t="s">
        <v>540</v>
      </c>
      <c r="B317" t="s">
        <v>541</v>
      </c>
      <c r="C317" t="s">
        <v>540</v>
      </c>
    </row>
    <row r="318" spans="1:3" x14ac:dyDescent="0.2">
      <c r="A318" t="s">
        <v>542</v>
      </c>
      <c r="B318" t="s">
        <v>543</v>
      </c>
      <c r="C318" t="s">
        <v>542</v>
      </c>
    </row>
    <row r="319" spans="1:3" x14ac:dyDescent="0.2">
      <c r="A319" t="s">
        <v>544</v>
      </c>
      <c r="B319" t="s">
        <v>545</v>
      </c>
      <c r="C319" t="s">
        <v>544</v>
      </c>
    </row>
    <row r="320" spans="1:3" x14ac:dyDescent="0.2">
      <c r="A320" t="s">
        <v>546</v>
      </c>
      <c r="B320" t="s">
        <v>547</v>
      </c>
      <c r="C320" t="s">
        <v>546</v>
      </c>
    </row>
    <row r="321" spans="1:3" x14ac:dyDescent="0.2">
      <c r="A321" t="s">
        <v>548</v>
      </c>
      <c r="B321" t="s">
        <v>549</v>
      </c>
      <c r="C321" t="s">
        <v>548</v>
      </c>
    </row>
    <row r="322" spans="1:3" x14ac:dyDescent="0.2">
      <c r="A322" t="s">
        <v>550</v>
      </c>
      <c r="B322" t="s">
        <v>551</v>
      </c>
      <c r="C322" t="s">
        <v>550</v>
      </c>
    </row>
    <row r="323" spans="1:3" x14ac:dyDescent="0.2">
      <c r="A323" t="s">
        <v>552</v>
      </c>
      <c r="B323" t="s">
        <v>553</v>
      </c>
      <c r="C323" t="s">
        <v>552</v>
      </c>
    </row>
    <row r="324" spans="1:3" x14ac:dyDescent="0.2">
      <c r="A324" t="s">
        <v>554</v>
      </c>
      <c r="B324" t="s">
        <v>555</v>
      </c>
      <c r="C324" t="s">
        <v>554</v>
      </c>
    </row>
    <row r="325" spans="1:3" x14ac:dyDescent="0.2">
      <c r="A325" t="s">
        <v>556</v>
      </c>
      <c r="B325" t="s">
        <v>557</v>
      </c>
      <c r="C325" t="s">
        <v>556</v>
      </c>
    </row>
    <row r="326" spans="1:3" x14ac:dyDescent="0.2">
      <c r="A326" t="s">
        <v>558</v>
      </c>
      <c r="B326" t="s">
        <v>559</v>
      </c>
      <c r="C326" t="s">
        <v>558</v>
      </c>
    </row>
    <row r="327" spans="1:3" x14ac:dyDescent="0.2">
      <c r="A327" t="s">
        <v>560</v>
      </c>
      <c r="B327" t="s">
        <v>561</v>
      </c>
      <c r="C327" t="s">
        <v>560</v>
      </c>
    </row>
    <row r="328" spans="1:3" x14ac:dyDescent="0.2">
      <c r="A328" t="s">
        <v>562</v>
      </c>
      <c r="B328" t="s">
        <v>563</v>
      </c>
      <c r="C328" t="s">
        <v>562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DE1015"/>
  <sheetViews>
    <sheetView workbookViewId="0"/>
  </sheetViews>
  <sheetFormatPr defaultRowHeight="15" x14ac:dyDescent="0.2"/>
  <cols>
    <col min="1" max="1" width="8.42578125" style="2015" customWidth="1"/>
    <col min="2" max="2" width="33.140625" style="2015" customWidth="1"/>
    <col min="3" max="3" width="8.140625" style="2015" bestFit="1" customWidth="1"/>
    <col min="4" max="4" width="14.7109375" style="2015" bestFit="1" customWidth="1"/>
    <col min="5" max="15" width="18.28515625" style="1939" customWidth="1"/>
    <col min="16" max="17" width="18.42578125" style="1939" customWidth="1"/>
    <col min="18" max="18" width="15.140625" style="1939" customWidth="1"/>
    <col min="19" max="19" width="16.85546875" style="1939" customWidth="1"/>
    <col min="20" max="20" width="13.140625" style="1939" customWidth="1"/>
    <col min="21" max="22" width="13.85546875" style="1939" customWidth="1"/>
    <col min="23" max="23" width="13.42578125" style="1939" customWidth="1"/>
    <col min="24" max="24" width="13.28515625" style="1939" customWidth="1"/>
    <col min="25" max="27" width="13.7109375" style="1939" customWidth="1"/>
    <col min="28" max="28" width="3" style="2010" customWidth="1"/>
    <col min="29" max="46" width="13.7109375" style="1939" customWidth="1"/>
    <col min="47" max="54" width="9" style="1938" customWidth="1"/>
    <col min="55" max="55" width="25.7109375" style="1938" bestFit="1" customWidth="1"/>
    <col min="56" max="56" width="11.140625" style="1938" customWidth="1"/>
    <col min="57" max="57" width="12.7109375" style="1938" bestFit="1" customWidth="1"/>
    <col min="58" max="109" width="9.140625" style="1938"/>
    <col min="110" max="16384" width="9.140625" style="1939"/>
  </cols>
  <sheetData>
    <row r="1" spans="1:64" ht="15.75" thickBot="1" x14ac:dyDescent="0.3">
      <c r="A1" s="1933"/>
      <c r="B1" s="1934"/>
      <c r="C1" s="1935"/>
      <c r="D1" s="2357" t="s">
        <v>2186</v>
      </c>
      <c r="E1" s="2358"/>
      <c r="F1" s="2356" t="s">
        <v>2184</v>
      </c>
      <c r="G1" s="2356"/>
      <c r="H1" s="2356"/>
      <c r="I1" s="2356"/>
      <c r="J1" s="2356"/>
      <c r="K1" s="2356"/>
      <c r="L1" s="2356"/>
      <c r="M1" s="2356"/>
      <c r="N1" s="2356"/>
      <c r="O1" s="2356"/>
      <c r="P1" s="2356"/>
      <c r="Q1" s="2356"/>
      <c r="R1" s="2356"/>
      <c r="S1" s="2356"/>
      <c r="T1" s="2356"/>
      <c r="U1" s="2356"/>
      <c r="V1" s="2356"/>
      <c r="W1" s="2356"/>
      <c r="X1" s="2356"/>
      <c r="Y1" s="2356"/>
      <c r="Z1" s="2356"/>
      <c r="AA1" s="2356"/>
      <c r="AB1" s="1936"/>
      <c r="AC1" s="2359" t="s">
        <v>2237</v>
      </c>
      <c r="AD1" s="2360"/>
      <c r="AE1" s="2360"/>
      <c r="AF1" s="2360"/>
      <c r="AG1" s="2360"/>
      <c r="AH1" s="2360"/>
      <c r="AI1" s="2360"/>
      <c r="AJ1" s="2360"/>
      <c r="AK1" s="2360"/>
      <c r="AL1" s="2360"/>
      <c r="AM1" s="2360"/>
      <c r="AN1" s="2360"/>
      <c r="AO1" s="2360"/>
      <c r="AP1" s="2360"/>
      <c r="AQ1" s="2360"/>
      <c r="AR1" s="2360"/>
      <c r="AS1" s="2360"/>
      <c r="AT1" s="1937" t="s">
        <v>2186</v>
      </c>
      <c r="BK1" s="2016" t="s">
        <v>2371</v>
      </c>
      <c r="BL1" s="2017"/>
    </row>
    <row r="2" spans="1:64" ht="12.75" x14ac:dyDescent="0.2">
      <c r="A2" s="1940"/>
      <c r="B2" s="1941"/>
      <c r="C2" s="1935"/>
      <c r="D2" s="1942"/>
      <c r="E2" s="1943"/>
      <c r="F2" s="1944"/>
      <c r="G2" s="1944"/>
      <c r="H2" s="1944"/>
      <c r="I2" s="1944"/>
      <c r="J2" s="1944"/>
      <c r="K2" s="1944"/>
      <c r="L2" s="1944"/>
      <c r="M2" s="1944"/>
      <c r="N2" s="1944"/>
      <c r="O2" s="1944"/>
      <c r="P2" s="1944"/>
      <c r="Q2" s="1944"/>
      <c r="R2" s="1945"/>
      <c r="S2" s="1945"/>
      <c r="T2" s="1945"/>
      <c r="U2" s="1945"/>
      <c r="V2" s="1945"/>
      <c r="W2" s="1945"/>
      <c r="X2" s="1945"/>
      <c r="Y2" s="1945"/>
      <c r="Z2" s="1945"/>
      <c r="AA2" s="1945"/>
      <c r="AB2" s="1946"/>
      <c r="AC2" s="1947"/>
      <c r="AD2" s="1947"/>
      <c r="AE2" s="1947"/>
      <c r="AF2" s="1947"/>
      <c r="AG2" s="1947"/>
      <c r="AH2" s="1947"/>
      <c r="AI2" s="1947"/>
      <c r="AJ2" s="1947"/>
      <c r="AK2" s="1947"/>
      <c r="AL2" s="1947"/>
      <c r="AM2" s="1947"/>
      <c r="AN2" s="1947"/>
      <c r="AO2" s="1947"/>
      <c r="AP2" s="1947"/>
      <c r="AQ2" s="1947"/>
      <c r="AR2" s="1947"/>
      <c r="AS2" s="1947"/>
      <c r="AT2" s="1948"/>
    </row>
    <row r="3" spans="1:64" ht="12.75" x14ac:dyDescent="0.2">
      <c r="A3" s="1949">
        <v>1</v>
      </c>
      <c r="B3" s="1950">
        <v>2</v>
      </c>
      <c r="C3" s="1951">
        <v>3</v>
      </c>
      <c r="D3" s="1952">
        <f>+C3+1</f>
        <v>4</v>
      </c>
      <c r="E3" s="1952">
        <f t="shared" ref="E3:AB3" si="0">+D3+1</f>
        <v>5</v>
      </c>
      <c r="F3" s="1953">
        <f t="shared" si="0"/>
        <v>6</v>
      </c>
      <c r="G3" s="1953">
        <f t="shared" si="0"/>
        <v>7</v>
      </c>
      <c r="H3" s="1953">
        <f t="shared" si="0"/>
        <v>8</v>
      </c>
      <c r="I3" s="1953">
        <f t="shared" si="0"/>
        <v>9</v>
      </c>
      <c r="J3" s="1953">
        <f t="shared" si="0"/>
        <v>10</v>
      </c>
      <c r="K3" s="1953">
        <f t="shared" si="0"/>
        <v>11</v>
      </c>
      <c r="L3" s="1953">
        <f t="shared" si="0"/>
        <v>12</v>
      </c>
      <c r="M3" s="1953">
        <f t="shared" si="0"/>
        <v>13</v>
      </c>
      <c r="N3" s="1953">
        <f t="shared" si="0"/>
        <v>14</v>
      </c>
      <c r="O3" s="1953">
        <f t="shared" si="0"/>
        <v>15</v>
      </c>
      <c r="P3" s="1953">
        <f t="shared" si="0"/>
        <v>16</v>
      </c>
      <c r="Q3" s="1953">
        <f t="shared" si="0"/>
        <v>17</v>
      </c>
      <c r="R3" s="1953">
        <f t="shared" si="0"/>
        <v>18</v>
      </c>
      <c r="S3" s="1953">
        <f t="shared" si="0"/>
        <v>19</v>
      </c>
      <c r="T3" s="1953">
        <f t="shared" si="0"/>
        <v>20</v>
      </c>
      <c r="U3" s="1953">
        <f t="shared" si="0"/>
        <v>21</v>
      </c>
      <c r="V3" s="1953">
        <f t="shared" si="0"/>
        <v>22</v>
      </c>
      <c r="W3" s="1953">
        <f t="shared" si="0"/>
        <v>23</v>
      </c>
      <c r="X3" s="1953">
        <f t="shared" si="0"/>
        <v>24</v>
      </c>
      <c r="Y3" s="1953">
        <f t="shared" si="0"/>
        <v>25</v>
      </c>
      <c r="Z3" s="1953">
        <f t="shared" si="0"/>
        <v>26</v>
      </c>
      <c r="AA3" s="1953">
        <f t="shared" si="0"/>
        <v>27</v>
      </c>
      <c r="AB3" s="1954">
        <f t="shared" si="0"/>
        <v>28</v>
      </c>
      <c r="AC3" s="1955">
        <f t="shared" ref="AC3:AT3" si="1">+AB3+1</f>
        <v>29</v>
      </c>
      <c r="AD3" s="1955">
        <f t="shared" si="1"/>
        <v>30</v>
      </c>
      <c r="AE3" s="1955">
        <f t="shared" si="1"/>
        <v>31</v>
      </c>
      <c r="AF3" s="1955">
        <f t="shared" si="1"/>
        <v>32</v>
      </c>
      <c r="AG3" s="1955">
        <f t="shared" si="1"/>
        <v>33</v>
      </c>
      <c r="AH3" s="1955">
        <f t="shared" si="1"/>
        <v>34</v>
      </c>
      <c r="AI3" s="1955">
        <f t="shared" si="1"/>
        <v>35</v>
      </c>
      <c r="AJ3" s="1955">
        <f t="shared" si="1"/>
        <v>36</v>
      </c>
      <c r="AK3" s="1955">
        <f t="shared" si="1"/>
        <v>37</v>
      </c>
      <c r="AL3" s="1955">
        <f t="shared" si="1"/>
        <v>38</v>
      </c>
      <c r="AM3" s="1955">
        <f t="shared" si="1"/>
        <v>39</v>
      </c>
      <c r="AN3" s="1955">
        <f t="shared" si="1"/>
        <v>40</v>
      </c>
      <c r="AO3" s="1955">
        <f t="shared" si="1"/>
        <v>41</v>
      </c>
      <c r="AP3" s="1955">
        <f t="shared" si="1"/>
        <v>42</v>
      </c>
      <c r="AQ3" s="1955">
        <f t="shared" si="1"/>
        <v>43</v>
      </c>
      <c r="AR3" s="1955">
        <f t="shared" si="1"/>
        <v>44</v>
      </c>
      <c r="AS3" s="1955">
        <f t="shared" si="1"/>
        <v>45</v>
      </c>
      <c r="AT3" s="1952">
        <f t="shared" si="1"/>
        <v>46</v>
      </c>
    </row>
    <row r="4" spans="1:64" ht="13.5" thickBot="1" x14ac:dyDescent="0.25">
      <c r="A4" s="1956"/>
      <c r="B4" s="1957"/>
      <c r="C4" s="1958"/>
      <c r="D4" s="1095"/>
      <c r="E4" s="1959"/>
      <c r="F4" s="1960"/>
      <c r="G4" s="1960"/>
      <c r="H4" s="1960"/>
      <c r="I4" s="1960"/>
      <c r="J4" s="1960"/>
      <c r="K4" s="1960"/>
      <c r="L4" s="1960"/>
      <c r="M4" s="1960"/>
      <c r="N4" s="1960"/>
      <c r="O4" s="1960"/>
      <c r="P4" s="1960"/>
      <c r="Q4" s="1960"/>
      <c r="R4" s="1961"/>
      <c r="S4" s="1961"/>
      <c r="T4" s="1961"/>
      <c r="U4" s="1961"/>
      <c r="V4" s="1961"/>
      <c r="W4" s="1961"/>
      <c r="X4" s="1961"/>
      <c r="Y4" s="1961"/>
      <c r="Z4" s="1961"/>
      <c r="AA4" s="1961"/>
      <c r="AB4" s="1946"/>
      <c r="AC4" s="1962"/>
      <c r="AD4" s="1962"/>
      <c r="AE4" s="1962"/>
      <c r="AF4" s="1962"/>
      <c r="AG4" s="1962"/>
      <c r="AH4" s="1962"/>
      <c r="AI4" s="1962"/>
      <c r="AJ4" s="1962"/>
      <c r="AK4" s="1962"/>
      <c r="AL4" s="1962"/>
      <c r="AM4" s="1962"/>
      <c r="AN4" s="1962"/>
      <c r="AO4" s="1962"/>
      <c r="AP4" s="1962"/>
      <c r="AQ4" s="1962"/>
      <c r="AR4" s="1962"/>
      <c r="AS4" s="1962"/>
      <c r="AT4" s="1963"/>
    </row>
    <row r="5" spans="1:64" ht="102" x14ac:dyDescent="0.2">
      <c r="A5" s="1964" t="s">
        <v>839</v>
      </c>
      <c r="B5" s="1965" t="s">
        <v>840</v>
      </c>
      <c r="C5" s="1966" t="s">
        <v>841</v>
      </c>
      <c r="D5" s="538" t="s">
        <v>2349</v>
      </c>
      <c r="E5" s="1967" t="s">
        <v>2351</v>
      </c>
      <c r="F5" s="1968" t="s">
        <v>2187</v>
      </c>
      <c r="G5" s="1968" t="s">
        <v>2188</v>
      </c>
      <c r="H5" s="1968" t="s">
        <v>1143</v>
      </c>
      <c r="I5" s="1968" t="s">
        <v>1144</v>
      </c>
      <c r="J5" s="1968" t="s">
        <v>2193</v>
      </c>
      <c r="K5" s="1968" t="s">
        <v>2197</v>
      </c>
      <c r="L5" s="1968" t="s">
        <v>2198</v>
      </c>
      <c r="M5" s="1968" t="s">
        <v>2199</v>
      </c>
      <c r="N5" s="1968" t="s">
        <v>2201</v>
      </c>
      <c r="O5" s="1968" t="s">
        <v>2193</v>
      </c>
      <c r="P5" s="1968" t="s">
        <v>2213</v>
      </c>
      <c r="Q5" s="1968" t="s">
        <v>2212</v>
      </c>
      <c r="R5" s="1968" t="s">
        <v>2211</v>
      </c>
      <c r="S5" s="1968" t="s">
        <v>2209</v>
      </c>
      <c r="T5" s="1968" t="s">
        <v>2210</v>
      </c>
      <c r="U5" s="1968" t="s">
        <v>1043</v>
      </c>
      <c r="V5" s="1968" t="s">
        <v>1044</v>
      </c>
      <c r="W5" s="1968" t="s">
        <v>2218</v>
      </c>
      <c r="X5" s="1968" t="s">
        <v>2219</v>
      </c>
      <c r="Y5" s="1968" t="s">
        <v>2220</v>
      </c>
      <c r="Z5" s="1968" t="s">
        <v>1145</v>
      </c>
      <c r="AA5" s="1968" t="s">
        <v>2330</v>
      </c>
      <c r="AB5" s="1946"/>
      <c r="AC5" s="1969" t="s">
        <v>2238</v>
      </c>
      <c r="AD5" s="1969" t="s">
        <v>2223</v>
      </c>
      <c r="AE5" s="1969" t="s">
        <v>2224</v>
      </c>
      <c r="AF5" s="1969" t="s">
        <v>2225</v>
      </c>
      <c r="AG5" s="1969" t="s">
        <v>2226</v>
      </c>
      <c r="AH5" s="1969" t="s">
        <v>2227</v>
      </c>
      <c r="AI5" s="1969" t="s">
        <v>2228</v>
      </c>
      <c r="AJ5" s="1969" t="s">
        <v>2229</v>
      </c>
      <c r="AK5" s="1969" t="s">
        <v>2230</v>
      </c>
      <c r="AL5" s="1969" t="s">
        <v>2231</v>
      </c>
      <c r="AM5" s="1969" t="s">
        <v>2232</v>
      </c>
      <c r="AN5" s="1969" t="s">
        <v>2233</v>
      </c>
      <c r="AO5" s="1969" t="s">
        <v>2234</v>
      </c>
      <c r="AP5" s="1969" t="s">
        <v>2235</v>
      </c>
      <c r="AQ5" s="1970" t="s">
        <v>1160</v>
      </c>
      <c r="AR5" s="1970" t="s">
        <v>1161</v>
      </c>
      <c r="AS5" s="1969" t="s">
        <v>2236</v>
      </c>
      <c r="AT5" s="1971" t="s">
        <v>2350</v>
      </c>
    </row>
    <row r="6" spans="1:64" ht="13.5" thickBot="1" x14ac:dyDescent="0.25">
      <c r="A6" s="1972"/>
      <c r="B6" s="1973"/>
      <c r="C6" s="1974"/>
      <c r="D6" s="1975"/>
      <c r="E6" s="1976" t="s">
        <v>807</v>
      </c>
      <c r="F6" s="1976" t="s">
        <v>807</v>
      </c>
      <c r="G6" s="1976" t="s">
        <v>807</v>
      </c>
      <c r="H6" s="1976" t="s">
        <v>807</v>
      </c>
      <c r="I6" s="1976" t="s">
        <v>807</v>
      </c>
      <c r="J6" s="1976" t="s">
        <v>807</v>
      </c>
      <c r="K6" s="1976" t="s">
        <v>807</v>
      </c>
      <c r="L6" s="1976" t="s">
        <v>807</v>
      </c>
      <c r="M6" s="1976" t="s">
        <v>807</v>
      </c>
      <c r="N6" s="1976" t="s">
        <v>807</v>
      </c>
      <c r="O6" s="1976" t="s">
        <v>807</v>
      </c>
      <c r="P6" s="1976" t="s">
        <v>807</v>
      </c>
      <c r="Q6" s="1976" t="s">
        <v>807</v>
      </c>
      <c r="R6" s="1977"/>
      <c r="S6" s="1977"/>
      <c r="T6" s="1977"/>
      <c r="U6" s="1977"/>
      <c r="V6" s="1977"/>
      <c r="W6" s="1977"/>
      <c r="X6" s="1977"/>
      <c r="Y6" s="1977"/>
      <c r="Z6" s="1977"/>
      <c r="AA6" s="1977"/>
      <c r="AB6" s="1978"/>
      <c r="AC6" s="1979"/>
      <c r="AD6" s="1979"/>
      <c r="AE6" s="1979"/>
      <c r="AF6" s="1979"/>
      <c r="AG6" s="1979"/>
      <c r="AH6" s="1979"/>
      <c r="AI6" s="1979"/>
      <c r="AJ6" s="1979"/>
      <c r="AK6" s="1979"/>
      <c r="AL6" s="1979"/>
      <c r="AM6" s="1979"/>
      <c r="AN6" s="1979"/>
      <c r="AO6" s="1979"/>
      <c r="AP6" s="1979"/>
      <c r="AQ6" s="1979"/>
      <c r="AR6" s="1979"/>
      <c r="AS6" s="1979"/>
      <c r="AT6" s="1974"/>
    </row>
    <row r="7" spans="1:64" ht="26.25" thickBot="1" x14ac:dyDescent="0.25">
      <c r="A7" s="1980"/>
      <c r="B7" s="1981"/>
      <c r="C7" s="1981"/>
      <c r="D7" s="1981"/>
      <c r="E7" s="1981"/>
      <c r="F7" s="1980" t="s">
        <v>2189</v>
      </c>
      <c r="G7" s="1980" t="s">
        <v>2190</v>
      </c>
      <c r="H7" s="1980" t="s">
        <v>2191</v>
      </c>
      <c r="I7" s="1980" t="s">
        <v>2192</v>
      </c>
      <c r="J7" s="1980" t="s">
        <v>2194</v>
      </c>
      <c r="K7" s="1980" t="s">
        <v>2195</v>
      </c>
      <c r="L7" s="1980" t="s">
        <v>2196</v>
      </c>
      <c r="M7" s="1980" t="s">
        <v>2200</v>
      </c>
      <c r="N7" s="1980" t="s">
        <v>2202</v>
      </c>
      <c r="O7" s="1980" t="s">
        <v>2203</v>
      </c>
      <c r="P7" s="1980" t="s">
        <v>2204</v>
      </c>
      <c r="Q7" s="1980" t="s">
        <v>2205</v>
      </c>
      <c r="R7" s="1980" t="s">
        <v>2206</v>
      </c>
      <c r="S7" s="1980" t="s">
        <v>2207</v>
      </c>
      <c r="T7" s="1980" t="s">
        <v>2208</v>
      </c>
      <c r="U7" s="1980" t="s">
        <v>2214</v>
      </c>
      <c r="V7" s="1980" t="s">
        <v>2215</v>
      </c>
      <c r="W7" s="1980" t="s">
        <v>2216</v>
      </c>
      <c r="X7" s="1980" t="s">
        <v>2217</v>
      </c>
      <c r="Y7" s="1980" t="s">
        <v>2221</v>
      </c>
      <c r="Z7" s="1980" t="s">
        <v>2331</v>
      </c>
      <c r="AA7" s="1982" t="s">
        <v>2222</v>
      </c>
      <c r="AB7" s="1983"/>
      <c r="AC7" s="1982"/>
      <c r="AD7" s="1982"/>
      <c r="AE7" s="1982"/>
      <c r="AF7" s="1982"/>
      <c r="AG7" s="1982"/>
      <c r="AH7" s="1982"/>
      <c r="AI7" s="1982"/>
      <c r="AJ7" s="1982"/>
      <c r="AK7" s="1982"/>
      <c r="AL7" s="1982"/>
      <c r="AM7" s="1982"/>
      <c r="AN7" s="1982"/>
      <c r="AO7" s="1982"/>
      <c r="AP7" s="1982"/>
      <c r="AQ7" s="1982"/>
      <c r="AR7" s="1982"/>
      <c r="AS7" s="1982"/>
      <c r="AT7" s="1980"/>
    </row>
    <row r="8" spans="1:64" ht="12.75" x14ac:dyDescent="0.2">
      <c r="A8" s="1984">
        <v>1</v>
      </c>
      <c r="B8" s="1985" t="s">
        <v>842</v>
      </c>
      <c r="C8" s="1986" t="s">
        <v>843</v>
      </c>
      <c r="D8" s="1987">
        <v>85393</v>
      </c>
      <c r="E8" s="1988">
        <v>46833000</v>
      </c>
      <c r="F8" s="1989">
        <v>22047965</v>
      </c>
      <c r="G8" s="1989">
        <v>-1289013</v>
      </c>
      <c r="H8" s="1989">
        <v>487653</v>
      </c>
      <c r="I8" s="1989">
        <v>-801360</v>
      </c>
      <c r="J8" s="1989">
        <v>-1305724</v>
      </c>
      <c r="K8" s="1989">
        <v>-80864</v>
      </c>
      <c r="L8" s="1989">
        <v>0</v>
      </c>
      <c r="M8" s="1989">
        <v>0</v>
      </c>
      <c r="N8" s="1989">
        <v>-186784</v>
      </c>
      <c r="O8" s="1989">
        <v>-27883</v>
      </c>
      <c r="P8" s="1989">
        <v>0</v>
      </c>
      <c r="Q8" s="1989">
        <v>-2665</v>
      </c>
      <c r="R8" s="1989">
        <v>0</v>
      </c>
      <c r="S8" s="1989">
        <v>0</v>
      </c>
      <c r="T8" s="1989">
        <v>0</v>
      </c>
      <c r="U8" s="1989">
        <v>0</v>
      </c>
      <c r="V8" s="1989">
        <v>0</v>
      </c>
      <c r="W8" s="1989">
        <v>-13916</v>
      </c>
      <c r="X8" s="1989">
        <v>-2105</v>
      </c>
      <c r="Y8" s="1989">
        <v>-3112</v>
      </c>
      <c r="Z8" s="1989">
        <v>19623552</v>
      </c>
      <c r="AA8" s="1989">
        <v>-470700</v>
      </c>
      <c r="AB8" s="1990"/>
      <c r="AC8" s="1989">
        <v>89</v>
      </c>
      <c r="AD8" s="1989">
        <v>10</v>
      </c>
      <c r="AE8" s="1989">
        <v>0</v>
      </c>
      <c r="AF8" s="1989">
        <v>1</v>
      </c>
      <c r="AG8" s="1989">
        <v>124</v>
      </c>
      <c r="AH8" s="1989">
        <v>14</v>
      </c>
      <c r="AI8" s="1989">
        <v>0</v>
      </c>
      <c r="AJ8" s="1989">
        <v>1</v>
      </c>
      <c r="AK8" s="1989">
        <v>0</v>
      </c>
      <c r="AL8" s="1989">
        <v>0</v>
      </c>
      <c r="AM8" s="1989">
        <v>0</v>
      </c>
      <c r="AN8" s="2018">
        <v>0</v>
      </c>
      <c r="AO8" s="1989">
        <v>539</v>
      </c>
      <c r="AP8" s="1989">
        <v>1045</v>
      </c>
      <c r="AQ8" s="1989">
        <v>816</v>
      </c>
      <c r="AR8" s="1989">
        <v>229</v>
      </c>
      <c r="AS8" s="1989">
        <v>589</v>
      </c>
      <c r="AT8" s="1988">
        <v>2170</v>
      </c>
      <c r="AU8" s="1991"/>
      <c r="AV8" s="1991"/>
      <c r="AX8" s="1992"/>
      <c r="AY8" s="1992"/>
      <c r="AZ8" s="1992"/>
      <c r="BA8" s="1992"/>
      <c r="BB8" s="1992"/>
      <c r="BD8" s="1992"/>
      <c r="BE8" s="1992"/>
      <c r="BG8" s="1992"/>
      <c r="BI8" s="1992"/>
      <c r="BJ8" s="1992"/>
      <c r="BK8" s="1992"/>
    </row>
    <row r="9" spans="1:64" ht="12.75" x14ac:dyDescent="0.2">
      <c r="A9" s="1984">
        <v>2</v>
      </c>
      <c r="B9" s="1993" t="s">
        <v>844</v>
      </c>
      <c r="C9" s="1994" t="s">
        <v>845</v>
      </c>
      <c r="D9" s="1987">
        <v>183183</v>
      </c>
      <c r="E9" s="1988">
        <v>77523000</v>
      </c>
      <c r="F9" s="1989">
        <v>34491976</v>
      </c>
      <c r="G9" s="1989">
        <v>-3588771</v>
      </c>
      <c r="H9" s="1989">
        <v>691627</v>
      </c>
      <c r="I9" s="1989">
        <v>-2897144</v>
      </c>
      <c r="J9" s="1989">
        <v>-1798860</v>
      </c>
      <c r="K9" s="1989">
        <v>-63629</v>
      </c>
      <c r="L9" s="1989">
        <v>-38455</v>
      </c>
      <c r="M9" s="1989">
        <v>0</v>
      </c>
      <c r="N9" s="1989">
        <v>-640217</v>
      </c>
      <c r="O9" s="1989">
        <v>-129495</v>
      </c>
      <c r="P9" s="1989">
        <v>-79301</v>
      </c>
      <c r="Q9" s="1989">
        <v>-1242</v>
      </c>
      <c r="R9" s="1989">
        <v>-1729</v>
      </c>
      <c r="S9" s="1989">
        <v>0</v>
      </c>
      <c r="T9" s="1989">
        <v>0</v>
      </c>
      <c r="U9" s="1989">
        <v>0</v>
      </c>
      <c r="V9" s="1989">
        <v>0</v>
      </c>
      <c r="W9" s="1989">
        <v>0</v>
      </c>
      <c r="X9" s="1989">
        <v>-29562</v>
      </c>
      <c r="Y9" s="1989">
        <v>-10000</v>
      </c>
      <c r="Z9" s="1989">
        <v>28802342</v>
      </c>
      <c r="AA9" s="1989">
        <v>-192944</v>
      </c>
      <c r="AB9" s="1990"/>
      <c r="AC9" s="1989">
        <v>272</v>
      </c>
      <c r="AD9" s="1989">
        <v>9</v>
      </c>
      <c r="AE9" s="1989">
        <v>36</v>
      </c>
      <c r="AF9" s="1989">
        <v>0</v>
      </c>
      <c r="AG9" s="1989">
        <v>268</v>
      </c>
      <c r="AH9" s="1989">
        <v>127</v>
      </c>
      <c r="AI9" s="1989">
        <v>23</v>
      </c>
      <c r="AJ9" s="1989">
        <v>2</v>
      </c>
      <c r="AK9" s="1989">
        <v>2</v>
      </c>
      <c r="AL9" s="1989">
        <v>0</v>
      </c>
      <c r="AM9" s="1989">
        <v>0</v>
      </c>
      <c r="AN9" s="1989">
        <v>0</v>
      </c>
      <c r="AO9" s="1989">
        <v>1452</v>
      </c>
      <c r="AP9" s="1989">
        <v>2083</v>
      </c>
      <c r="AQ9" s="1989">
        <v>1666</v>
      </c>
      <c r="AR9" s="1989">
        <v>417</v>
      </c>
      <c r="AS9" s="1989">
        <v>1236</v>
      </c>
      <c r="AT9" s="1988">
        <v>4860</v>
      </c>
      <c r="AU9" s="1991"/>
      <c r="AV9" s="1991"/>
      <c r="AX9" s="1992"/>
      <c r="AY9" s="1992"/>
      <c r="AZ9" s="1992"/>
      <c r="BA9" s="1992"/>
      <c r="BB9" s="1992"/>
      <c r="BD9" s="1992"/>
      <c r="BE9" s="1992"/>
      <c r="BG9" s="1992"/>
      <c r="BI9" s="1992"/>
      <c r="BJ9" s="1992"/>
      <c r="BK9" s="1992"/>
    </row>
    <row r="10" spans="1:64" ht="12.75" x14ac:dyDescent="0.2">
      <c r="A10" s="1984">
        <v>3</v>
      </c>
      <c r="B10" s="1995" t="s">
        <v>846</v>
      </c>
      <c r="C10" s="1994" t="s">
        <v>847</v>
      </c>
      <c r="D10" s="1987">
        <v>149167</v>
      </c>
      <c r="E10" s="1988">
        <v>81881000</v>
      </c>
      <c r="F10" s="1989">
        <v>37600170</v>
      </c>
      <c r="G10" s="1989">
        <v>-2682070</v>
      </c>
      <c r="H10" s="1989">
        <v>822252</v>
      </c>
      <c r="I10" s="1989">
        <v>-1859818</v>
      </c>
      <c r="J10" s="1989">
        <v>-1421685</v>
      </c>
      <c r="K10" s="1989">
        <v>-41947</v>
      </c>
      <c r="L10" s="1989">
        <v>-22170</v>
      </c>
      <c r="M10" s="1989">
        <v>-38545</v>
      </c>
      <c r="N10" s="1989">
        <v>-954556</v>
      </c>
      <c r="O10" s="1989">
        <v>-46854</v>
      </c>
      <c r="P10" s="1989">
        <v>-363589</v>
      </c>
      <c r="Q10" s="1989">
        <v>0</v>
      </c>
      <c r="R10" s="1989">
        <v>-22169</v>
      </c>
      <c r="S10" s="1989">
        <v>-2140</v>
      </c>
      <c r="T10" s="1989">
        <v>0</v>
      </c>
      <c r="U10" s="1989">
        <v>0</v>
      </c>
      <c r="V10" s="1989">
        <v>0</v>
      </c>
      <c r="W10" s="1989">
        <v>0</v>
      </c>
      <c r="X10" s="1989">
        <v>-12366</v>
      </c>
      <c r="Y10" s="1989">
        <v>-16872</v>
      </c>
      <c r="Z10" s="1989">
        <v>32797459</v>
      </c>
      <c r="AA10" s="1989">
        <v>-1436700</v>
      </c>
      <c r="AB10" s="1990"/>
      <c r="AC10" s="1989">
        <v>175</v>
      </c>
      <c r="AD10" s="1989">
        <v>2</v>
      </c>
      <c r="AE10" s="1989">
        <v>22</v>
      </c>
      <c r="AF10" s="1989">
        <v>1</v>
      </c>
      <c r="AG10" s="1989">
        <v>429</v>
      </c>
      <c r="AH10" s="1989">
        <v>61</v>
      </c>
      <c r="AI10" s="1989">
        <v>23</v>
      </c>
      <c r="AJ10" s="1989">
        <v>0</v>
      </c>
      <c r="AK10" s="1989">
        <v>22</v>
      </c>
      <c r="AL10" s="1989">
        <v>2</v>
      </c>
      <c r="AM10" s="1989">
        <v>0</v>
      </c>
      <c r="AN10" s="1989">
        <v>0</v>
      </c>
      <c r="AO10" s="1989">
        <v>1319</v>
      </c>
      <c r="AP10" s="1989">
        <v>1561</v>
      </c>
      <c r="AQ10" s="1989">
        <v>1117</v>
      </c>
      <c r="AR10" s="1989">
        <v>444</v>
      </c>
      <c r="AS10" s="1989">
        <v>894</v>
      </c>
      <c r="AT10" s="1988">
        <v>3790</v>
      </c>
      <c r="AU10" s="1991"/>
      <c r="AV10" s="1991"/>
      <c r="AX10" s="1992"/>
      <c r="AY10" s="1992"/>
      <c r="AZ10" s="1992"/>
      <c r="BA10" s="1992"/>
      <c r="BB10" s="1992"/>
      <c r="BD10" s="1992"/>
      <c r="BE10" s="1992"/>
      <c r="BG10" s="1992"/>
      <c r="BI10" s="1992"/>
      <c r="BJ10" s="1992"/>
      <c r="BK10" s="1992"/>
    </row>
    <row r="11" spans="1:64" ht="12.75" x14ac:dyDescent="0.2">
      <c r="A11" s="1984">
        <v>4</v>
      </c>
      <c r="B11" s="1995" t="s">
        <v>848</v>
      </c>
      <c r="C11" s="1994" t="s">
        <v>849</v>
      </c>
      <c r="D11" s="1987">
        <v>186077</v>
      </c>
      <c r="E11" s="1988">
        <v>97417000</v>
      </c>
      <c r="F11" s="1989">
        <v>42315640</v>
      </c>
      <c r="G11" s="1989">
        <v>-3405199</v>
      </c>
      <c r="H11" s="1989">
        <v>909566</v>
      </c>
      <c r="I11" s="1989">
        <v>-2495633</v>
      </c>
      <c r="J11" s="1989">
        <v>-2767956</v>
      </c>
      <c r="K11" s="1989">
        <v>-85478</v>
      </c>
      <c r="L11" s="1989">
        <v>-6076</v>
      </c>
      <c r="M11" s="1989">
        <v>0</v>
      </c>
      <c r="N11" s="1989">
        <v>-253517</v>
      </c>
      <c r="O11" s="1989">
        <v>-111788</v>
      </c>
      <c r="P11" s="1989">
        <v>-13300</v>
      </c>
      <c r="Q11" s="1989">
        <v>-1015</v>
      </c>
      <c r="R11" s="1989">
        <v>-5047</v>
      </c>
      <c r="S11" s="1989">
        <v>0</v>
      </c>
      <c r="T11" s="1989">
        <v>0</v>
      </c>
      <c r="U11" s="1989">
        <v>0</v>
      </c>
      <c r="V11" s="1989">
        <v>0</v>
      </c>
      <c r="W11" s="1989">
        <v>0</v>
      </c>
      <c r="X11" s="1989">
        <v>-24890</v>
      </c>
      <c r="Y11" s="1989">
        <v>0</v>
      </c>
      <c r="Z11" s="1989">
        <v>36550940</v>
      </c>
      <c r="AA11" s="1989">
        <v>-1210000</v>
      </c>
      <c r="AB11" s="1990"/>
      <c r="AC11" s="1989">
        <v>256</v>
      </c>
      <c r="AD11" s="1989">
        <v>25</v>
      </c>
      <c r="AE11" s="1989">
        <v>4</v>
      </c>
      <c r="AF11" s="1989">
        <v>0</v>
      </c>
      <c r="AG11" s="1989">
        <v>258</v>
      </c>
      <c r="AH11" s="1989">
        <v>82</v>
      </c>
      <c r="AI11" s="1989">
        <v>4</v>
      </c>
      <c r="AJ11" s="1989">
        <v>6</v>
      </c>
      <c r="AK11" s="1989">
        <v>6</v>
      </c>
      <c r="AL11" s="1989">
        <v>0</v>
      </c>
      <c r="AM11" s="1989">
        <v>0</v>
      </c>
      <c r="AN11" s="1989">
        <v>0</v>
      </c>
      <c r="AO11" s="1989">
        <v>1317</v>
      </c>
      <c r="AP11" s="1989">
        <v>1952</v>
      </c>
      <c r="AQ11" s="1989">
        <v>1354</v>
      </c>
      <c r="AR11" s="1989">
        <v>598</v>
      </c>
      <c r="AS11" s="1989">
        <v>1362</v>
      </c>
      <c r="AT11" s="1988">
        <v>4770</v>
      </c>
      <c r="AU11" s="1991"/>
      <c r="AV11" s="1991"/>
      <c r="AX11" s="1992"/>
      <c r="AY11" s="1992"/>
      <c r="AZ11" s="1992"/>
      <c r="BA11" s="1992"/>
      <c r="BB11" s="1992"/>
      <c r="BD11" s="1992"/>
      <c r="BE11" s="1992"/>
      <c r="BG11" s="1992"/>
      <c r="BI11" s="1992"/>
      <c r="BJ11" s="1992"/>
      <c r="BK11" s="1992"/>
    </row>
    <row r="12" spans="1:64" ht="12.75" x14ac:dyDescent="0.2">
      <c r="A12" s="1984">
        <v>5</v>
      </c>
      <c r="B12" s="1995" t="s">
        <v>850</v>
      </c>
      <c r="C12" s="1994" t="s">
        <v>851</v>
      </c>
      <c r="D12" s="1987">
        <v>130702</v>
      </c>
      <c r="E12" s="1988">
        <v>87807000</v>
      </c>
      <c r="F12" s="1989">
        <v>38959803</v>
      </c>
      <c r="G12" s="1989">
        <v>-1969333</v>
      </c>
      <c r="H12" s="1989">
        <v>910508</v>
      </c>
      <c r="I12" s="1989">
        <v>-1058825</v>
      </c>
      <c r="J12" s="1989">
        <v>-1757748</v>
      </c>
      <c r="K12" s="1989">
        <v>-10517</v>
      </c>
      <c r="L12" s="1989">
        <v>-12624</v>
      </c>
      <c r="M12" s="1989">
        <v>-30000</v>
      </c>
      <c r="N12" s="1989">
        <v>-418860</v>
      </c>
      <c r="O12" s="1989">
        <v>-145154</v>
      </c>
      <c r="P12" s="1989">
        <v>-47340</v>
      </c>
      <c r="Q12" s="1989">
        <v>0</v>
      </c>
      <c r="R12" s="1989">
        <v>-7194</v>
      </c>
      <c r="S12" s="1989">
        <v>-978</v>
      </c>
      <c r="T12" s="1989">
        <v>0</v>
      </c>
      <c r="U12" s="1989">
        <v>0</v>
      </c>
      <c r="V12" s="1989">
        <v>0</v>
      </c>
      <c r="W12" s="1989">
        <v>-25000</v>
      </c>
      <c r="X12" s="1989">
        <v>-10000</v>
      </c>
      <c r="Y12" s="1989">
        <v>-1872</v>
      </c>
      <c r="Z12" s="1989">
        <v>35433691</v>
      </c>
      <c r="AA12" s="1989">
        <v>-100000</v>
      </c>
      <c r="AB12" s="1990"/>
      <c r="AC12" s="1989">
        <v>105</v>
      </c>
      <c r="AD12" s="1989">
        <v>4</v>
      </c>
      <c r="AE12" s="1989">
        <v>13</v>
      </c>
      <c r="AF12" s="1989">
        <v>0</v>
      </c>
      <c r="AG12" s="1989">
        <v>291</v>
      </c>
      <c r="AH12" s="1989">
        <v>35</v>
      </c>
      <c r="AI12" s="1989">
        <v>7</v>
      </c>
      <c r="AJ12" s="1989">
        <v>0</v>
      </c>
      <c r="AK12" s="1989">
        <v>9</v>
      </c>
      <c r="AL12" s="1989">
        <v>3</v>
      </c>
      <c r="AM12" s="1989">
        <v>0</v>
      </c>
      <c r="AN12" s="1989">
        <v>0</v>
      </c>
      <c r="AO12" s="1989">
        <v>1127</v>
      </c>
      <c r="AP12" s="1989">
        <v>1181</v>
      </c>
      <c r="AQ12" s="1989">
        <v>935</v>
      </c>
      <c r="AR12" s="1989">
        <v>246</v>
      </c>
      <c r="AS12" s="1989">
        <v>823</v>
      </c>
      <c r="AT12" s="1988">
        <v>3130</v>
      </c>
      <c r="AU12" s="1991"/>
      <c r="AV12" s="1991"/>
      <c r="AX12" s="1992"/>
      <c r="AY12" s="1992"/>
      <c r="AZ12" s="1992"/>
      <c r="BA12" s="1992"/>
      <c r="BB12" s="1992"/>
      <c r="BD12" s="1992"/>
      <c r="BE12" s="1992"/>
      <c r="BG12" s="1992"/>
      <c r="BI12" s="1992"/>
      <c r="BJ12" s="1992"/>
      <c r="BK12" s="1992"/>
    </row>
    <row r="13" spans="1:64" ht="12.75" x14ac:dyDescent="0.2">
      <c r="A13" s="1984">
        <v>6</v>
      </c>
      <c r="B13" s="1995" t="s">
        <v>852</v>
      </c>
      <c r="C13" s="1994" t="s">
        <v>853</v>
      </c>
      <c r="D13" s="1987">
        <v>181049</v>
      </c>
      <c r="E13" s="1988">
        <v>123222000</v>
      </c>
      <c r="F13" s="1989">
        <v>55931679</v>
      </c>
      <c r="G13" s="1989">
        <v>-2653902</v>
      </c>
      <c r="H13" s="1989">
        <v>1278010</v>
      </c>
      <c r="I13" s="1989">
        <v>-1375892</v>
      </c>
      <c r="J13" s="1989">
        <v>-3356806</v>
      </c>
      <c r="K13" s="1989">
        <v>-90426</v>
      </c>
      <c r="L13" s="1989">
        <v>-34728</v>
      </c>
      <c r="M13" s="1989">
        <v>-10000</v>
      </c>
      <c r="N13" s="1989">
        <v>-1099906</v>
      </c>
      <c r="O13" s="1989">
        <v>-172928</v>
      </c>
      <c r="P13" s="1989">
        <v>-73990</v>
      </c>
      <c r="Q13" s="1989">
        <v>-13064</v>
      </c>
      <c r="R13" s="1989">
        <v>-15569</v>
      </c>
      <c r="S13" s="1989">
        <v>-52191</v>
      </c>
      <c r="T13" s="1989">
        <v>0</v>
      </c>
      <c r="U13" s="1989">
        <v>0</v>
      </c>
      <c r="V13" s="1989">
        <v>0</v>
      </c>
      <c r="W13" s="1989">
        <v>-8461</v>
      </c>
      <c r="X13" s="1989">
        <v>-7766</v>
      </c>
      <c r="Y13" s="1989">
        <v>-7000</v>
      </c>
      <c r="Z13" s="1989">
        <v>49312952</v>
      </c>
      <c r="AA13" s="1989">
        <v>-538000</v>
      </c>
      <c r="AB13" s="1990"/>
      <c r="AC13" s="1989">
        <v>238</v>
      </c>
      <c r="AD13" s="1989">
        <v>36</v>
      </c>
      <c r="AE13" s="1989">
        <v>24</v>
      </c>
      <c r="AF13" s="1989">
        <v>3</v>
      </c>
      <c r="AG13" s="1989">
        <v>379</v>
      </c>
      <c r="AH13" s="1989">
        <v>93</v>
      </c>
      <c r="AI13" s="1989">
        <v>26</v>
      </c>
      <c r="AJ13" s="1989">
        <v>32</v>
      </c>
      <c r="AK13" s="1989">
        <v>14</v>
      </c>
      <c r="AL13" s="1989">
        <v>12</v>
      </c>
      <c r="AM13" s="1989">
        <v>0</v>
      </c>
      <c r="AN13" s="1989">
        <v>0</v>
      </c>
      <c r="AO13" s="1989">
        <v>1957</v>
      </c>
      <c r="AP13" s="1989">
        <v>1438</v>
      </c>
      <c r="AQ13" s="1989">
        <v>978</v>
      </c>
      <c r="AR13" s="1989">
        <v>460</v>
      </c>
      <c r="AS13" s="1989">
        <v>786</v>
      </c>
      <c r="AT13" s="1988">
        <v>4350</v>
      </c>
      <c r="AU13" s="1991"/>
      <c r="AV13" s="1991"/>
      <c r="AX13" s="1992"/>
      <c r="AY13" s="1992"/>
      <c r="AZ13" s="1992"/>
      <c r="BA13" s="1992"/>
      <c r="BB13" s="1992"/>
      <c r="BD13" s="1992"/>
      <c r="BE13" s="1992"/>
      <c r="BG13" s="1992"/>
      <c r="BI13" s="1992"/>
      <c r="BJ13" s="1992"/>
      <c r="BK13" s="1992"/>
    </row>
    <row r="14" spans="1:64" ht="12.75" x14ac:dyDescent="0.2">
      <c r="A14" s="1984">
        <v>7</v>
      </c>
      <c r="B14" s="1995" t="s">
        <v>854</v>
      </c>
      <c r="C14" s="1994" t="s">
        <v>855</v>
      </c>
      <c r="D14" s="1987">
        <v>223286</v>
      </c>
      <c r="E14" s="1988">
        <v>137704000</v>
      </c>
      <c r="F14" s="1989">
        <v>61920117</v>
      </c>
      <c r="G14" s="1989">
        <v>-3340035</v>
      </c>
      <c r="H14" s="1989">
        <v>1420572</v>
      </c>
      <c r="I14" s="1989">
        <v>-1919463</v>
      </c>
      <c r="J14" s="1989">
        <v>-5302603</v>
      </c>
      <c r="K14" s="1989">
        <v>-29000</v>
      </c>
      <c r="L14" s="1989">
        <v>-58108</v>
      </c>
      <c r="M14" s="1989">
        <v>-23541</v>
      </c>
      <c r="N14" s="1989">
        <v>-2368562</v>
      </c>
      <c r="O14" s="1989">
        <v>-225433</v>
      </c>
      <c r="P14" s="1989">
        <v>-111800</v>
      </c>
      <c r="Q14" s="1989">
        <v>-2256</v>
      </c>
      <c r="R14" s="1989">
        <v>0</v>
      </c>
      <c r="S14" s="1989">
        <v>0</v>
      </c>
      <c r="T14" s="1989">
        <v>0</v>
      </c>
      <c r="U14" s="1989">
        <v>0</v>
      </c>
      <c r="V14" s="1989">
        <v>0</v>
      </c>
      <c r="W14" s="1989">
        <v>-105965</v>
      </c>
      <c r="X14" s="1989">
        <v>-13729</v>
      </c>
      <c r="Y14" s="1989">
        <v>-8323</v>
      </c>
      <c r="Z14" s="1989">
        <v>51751334</v>
      </c>
      <c r="AA14" s="1989">
        <v>-225000</v>
      </c>
      <c r="AB14" s="1990"/>
      <c r="AC14" s="1989">
        <v>305</v>
      </c>
      <c r="AD14" s="1989">
        <v>13</v>
      </c>
      <c r="AE14" s="1989">
        <v>38</v>
      </c>
      <c r="AF14" s="1989">
        <v>3</v>
      </c>
      <c r="AG14" s="1989">
        <v>542</v>
      </c>
      <c r="AH14" s="1989">
        <v>140</v>
      </c>
      <c r="AI14" s="1989">
        <v>73</v>
      </c>
      <c r="AJ14" s="1989">
        <v>0</v>
      </c>
      <c r="AK14" s="1989">
        <v>0</v>
      </c>
      <c r="AL14" s="1989">
        <v>0</v>
      </c>
      <c r="AM14" s="1989">
        <v>0</v>
      </c>
      <c r="AN14" s="1989">
        <v>0</v>
      </c>
      <c r="AO14" s="1989">
        <v>1421</v>
      </c>
      <c r="AP14" s="1989">
        <v>2001</v>
      </c>
      <c r="AQ14" s="1989">
        <v>1280</v>
      </c>
      <c r="AR14" s="1989">
        <v>721</v>
      </c>
      <c r="AS14" s="1989">
        <v>1660</v>
      </c>
      <c r="AT14" s="1988">
        <v>5110</v>
      </c>
      <c r="AU14" s="1991"/>
      <c r="AV14" s="1991"/>
      <c r="AX14" s="1992"/>
      <c r="AY14" s="1992"/>
      <c r="AZ14" s="1992"/>
      <c r="BA14" s="1992"/>
      <c r="BB14" s="1992"/>
      <c r="BD14" s="1992"/>
      <c r="BE14" s="1992"/>
      <c r="BG14" s="1992"/>
      <c r="BI14" s="1992"/>
      <c r="BJ14" s="1992"/>
      <c r="BK14" s="1992"/>
    </row>
    <row r="15" spans="1:64" ht="12.75" x14ac:dyDescent="0.2">
      <c r="A15" s="1984">
        <v>8</v>
      </c>
      <c r="B15" s="1995" t="s">
        <v>856</v>
      </c>
      <c r="C15" s="1994" t="s">
        <v>857</v>
      </c>
      <c r="D15" s="1987">
        <v>129574</v>
      </c>
      <c r="E15" s="1988">
        <v>62293000</v>
      </c>
      <c r="F15" s="1989">
        <v>29199778</v>
      </c>
      <c r="G15" s="1989">
        <v>-2343695</v>
      </c>
      <c r="H15" s="1989">
        <v>615489</v>
      </c>
      <c r="I15" s="1989">
        <v>-1728206</v>
      </c>
      <c r="J15" s="1989">
        <v>-1974943</v>
      </c>
      <c r="K15" s="1989">
        <v>-52801</v>
      </c>
      <c r="L15" s="1989">
        <v>-90063</v>
      </c>
      <c r="M15" s="1989">
        <v>0</v>
      </c>
      <c r="N15" s="1989">
        <v>-388112</v>
      </c>
      <c r="O15" s="1989">
        <v>-44088</v>
      </c>
      <c r="P15" s="1989">
        <v>-11005</v>
      </c>
      <c r="Q15" s="1989">
        <v>-6953</v>
      </c>
      <c r="R15" s="1989">
        <v>-74155</v>
      </c>
      <c r="S15" s="1989">
        <v>-15795</v>
      </c>
      <c r="T15" s="1989">
        <v>0</v>
      </c>
      <c r="U15" s="1989">
        <v>0</v>
      </c>
      <c r="V15" s="1989">
        <v>0</v>
      </c>
      <c r="W15" s="1989">
        <v>-2336</v>
      </c>
      <c r="X15" s="1989">
        <v>-17905</v>
      </c>
      <c r="Y15" s="1989">
        <v>-3972</v>
      </c>
      <c r="Z15" s="1989">
        <v>24568670</v>
      </c>
      <c r="AA15" s="1989">
        <v>-474100</v>
      </c>
      <c r="AB15" s="1990"/>
      <c r="AC15" s="1989">
        <v>205</v>
      </c>
      <c r="AD15" s="1989">
        <v>26</v>
      </c>
      <c r="AE15" s="1989">
        <v>61</v>
      </c>
      <c r="AF15" s="1989">
        <v>0</v>
      </c>
      <c r="AG15" s="1989">
        <v>229</v>
      </c>
      <c r="AH15" s="1989">
        <v>130</v>
      </c>
      <c r="AI15" s="1989">
        <v>3</v>
      </c>
      <c r="AJ15" s="1989">
        <v>27</v>
      </c>
      <c r="AK15" s="1989">
        <v>61</v>
      </c>
      <c r="AL15" s="1989">
        <v>4</v>
      </c>
      <c r="AM15" s="1989">
        <v>0</v>
      </c>
      <c r="AN15" s="1989">
        <v>0</v>
      </c>
      <c r="AO15" s="1989">
        <v>1241</v>
      </c>
      <c r="AP15" s="1989">
        <v>1354</v>
      </c>
      <c r="AQ15" s="1989">
        <v>968</v>
      </c>
      <c r="AR15" s="1989">
        <v>386</v>
      </c>
      <c r="AS15" s="1989">
        <v>660</v>
      </c>
      <c r="AT15" s="1988">
        <v>3350</v>
      </c>
      <c r="AU15" s="1991"/>
      <c r="AV15" s="1991"/>
      <c r="AX15" s="1992"/>
      <c r="AY15" s="1992"/>
      <c r="AZ15" s="1992"/>
      <c r="BA15" s="1992"/>
      <c r="BB15" s="1992"/>
      <c r="BD15" s="1992"/>
      <c r="BE15" s="1992"/>
      <c r="BG15" s="1992"/>
      <c r="BI15" s="1992"/>
      <c r="BJ15" s="1992"/>
      <c r="BK15" s="1992"/>
    </row>
    <row r="16" spans="1:64" ht="12.75" x14ac:dyDescent="0.2">
      <c r="A16" s="1984">
        <v>9</v>
      </c>
      <c r="B16" s="1995" t="s">
        <v>858</v>
      </c>
      <c r="C16" s="1994" t="s">
        <v>859</v>
      </c>
      <c r="D16" s="1987">
        <v>203037</v>
      </c>
      <c r="E16" s="1988">
        <v>151078000</v>
      </c>
      <c r="F16" s="1989">
        <v>67578217</v>
      </c>
      <c r="G16" s="1989">
        <v>-2695543</v>
      </c>
      <c r="H16" s="1989">
        <v>1508939</v>
      </c>
      <c r="I16" s="1989">
        <v>-1186604</v>
      </c>
      <c r="J16" s="1989">
        <v>-3481745</v>
      </c>
      <c r="K16" s="1989">
        <v>-31511</v>
      </c>
      <c r="L16" s="1989">
        <v>0</v>
      </c>
      <c r="M16" s="1989">
        <v>0</v>
      </c>
      <c r="N16" s="1989">
        <v>-3049900</v>
      </c>
      <c r="O16" s="1989">
        <v>-379465</v>
      </c>
      <c r="P16" s="1989">
        <v>-30499</v>
      </c>
      <c r="Q16" s="1989">
        <v>-7902</v>
      </c>
      <c r="R16" s="1989">
        <v>0</v>
      </c>
      <c r="S16" s="1989">
        <v>0</v>
      </c>
      <c r="T16" s="1989">
        <v>0</v>
      </c>
      <c r="U16" s="1989">
        <v>0</v>
      </c>
      <c r="V16" s="1989">
        <v>0</v>
      </c>
      <c r="W16" s="1989">
        <v>0</v>
      </c>
      <c r="X16" s="1989">
        <v>-181718</v>
      </c>
      <c r="Y16" s="1989">
        <v>0</v>
      </c>
      <c r="Z16" s="1989">
        <v>59228873</v>
      </c>
      <c r="AA16" s="1989">
        <v>0</v>
      </c>
      <c r="AB16" s="1990"/>
      <c r="AC16" s="1989">
        <v>202</v>
      </c>
      <c r="AD16" s="1989">
        <v>3</v>
      </c>
      <c r="AE16" s="1989">
        <v>0</v>
      </c>
      <c r="AF16" s="1989">
        <v>0</v>
      </c>
      <c r="AG16" s="1989">
        <v>137</v>
      </c>
      <c r="AH16" s="1989">
        <v>96</v>
      </c>
      <c r="AI16" s="1989">
        <v>2</v>
      </c>
      <c r="AJ16" s="1989">
        <v>3</v>
      </c>
      <c r="AK16" s="1989">
        <v>0</v>
      </c>
      <c r="AL16" s="1989">
        <v>0</v>
      </c>
      <c r="AM16" s="1989">
        <v>0</v>
      </c>
      <c r="AN16" s="1989">
        <v>0</v>
      </c>
      <c r="AO16" s="1989">
        <v>1343</v>
      </c>
      <c r="AP16" s="1989">
        <v>1331</v>
      </c>
      <c r="AQ16" s="1989">
        <v>671</v>
      </c>
      <c r="AR16" s="1989">
        <v>660</v>
      </c>
      <c r="AS16" s="1989">
        <v>1331</v>
      </c>
      <c r="AT16" s="1988">
        <v>4370</v>
      </c>
      <c r="AU16" s="1991"/>
      <c r="AV16" s="1991"/>
      <c r="AX16" s="1992"/>
      <c r="AY16" s="1992"/>
      <c r="AZ16" s="1992"/>
      <c r="BA16" s="1992"/>
      <c r="BB16" s="1992"/>
      <c r="BD16" s="1992"/>
      <c r="BE16" s="1992"/>
      <c r="BG16" s="1992"/>
      <c r="BI16" s="1992"/>
      <c r="BJ16" s="1992"/>
      <c r="BK16" s="1992"/>
    </row>
    <row r="17" spans="1:63" ht="12.75" x14ac:dyDescent="0.2">
      <c r="A17" s="1984">
        <v>10</v>
      </c>
      <c r="B17" s="1995" t="s">
        <v>860</v>
      </c>
      <c r="C17" s="1994" t="s">
        <v>861</v>
      </c>
      <c r="D17" s="1987">
        <v>417570</v>
      </c>
      <c r="E17" s="1988">
        <v>303298000</v>
      </c>
      <c r="F17" s="1989">
        <v>132090224</v>
      </c>
      <c r="G17" s="1989">
        <v>-3868625</v>
      </c>
      <c r="H17" s="1989">
        <v>2842282</v>
      </c>
      <c r="I17" s="1989">
        <v>-1026343</v>
      </c>
      <c r="J17" s="1989">
        <v>-11049517</v>
      </c>
      <c r="K17" s="1989">
        <v>-210430</v>
      </c>
      <c r="L17" s="1989">
        <v>0</v>
      </c>
      <c r="M17" s="1989">
        <v>0</v>
      </c>
      <c r="N17" s="1989">
        <v>-2084099</v>
      </c>
      <c r="O17" s="1989">
        <v>-878925</v>
      </c>
      <c r="P17" s="1989">
        <v>-104834</v>
      </c>
      <c r="Q17" s="1989">
        <v>0</v>
      </c>
      <c r="R17" s="1989">
        <v>0</v>
      </c>
      <c r="S17" s="1989">
        <v>0</v>
      </c>
      <c r="T17" s="1989">
        <v>0</v>
      </c>
      <c r="U17" s="1989">
        <v>0</v>
      </c>
      <c r="V17" s="1989">
        <v>0</v>
      </c>
      <c r="W17" s="1989">
        <v>0</v>
      </c>
      <c r="X17" s="1989">
        <v>0</v>
      </c>
      <c r="Y17" s="1989">
        <v>-20140</v>
      </c>
      <c r="Z17" s="1989">
        <v>115115936</v>
      </c>
      <c r="AA17" s="1989">
        <v>-2683000</v>
      </c>
      <c r="AB17" s="1990"/>
      <c r="AC17" s="1989">
        <v>441</v>
      </c>
      <c r="AD17" s="1989">
        <v>12</v>
      </c>
      <c r="AE17" s="1989">
        <v>0</v>
      </c>
      <c r="AF17" s="1989">
        <v>0</v>
      </c>
      <c r="AG17" s="1989">
        <v>753</v>
      </c>
      <c r="AH17" s="1989">
        <v>110</v>
      </c>
      <c r="AI17" s="1989">
        <v>29</v>
      </c>
      <c r="AJ17" s="1989">
        <v>0</v>
      </c>
      <c r="AK17" s="1989">
        <v>0</v>
      </c>
      <c r="AL17" s="1989">
        <v>0</v>
      </c>
      <c r="AM17" s="1989">
        <v>0</v>
      </c>
      <c r="AN17" s="1989">
        <v>0</v>
      </c>
      <c r="AO17" s="1989">
        <v>2702</v>
      </c>
      <c r="AP17" s="1989">
        <v>1982</v>
      </c>
      <c r="AQ17" s="1989">
        <v>777</v>
      </c>
      <c r="AR17" s="1989">
        <v>1205</v>
      </c>
      <c r="AS17" s="1989">
        <v>3443</v>
      </c>
      <c r="AT17" s="1988">
        <v>8680</v>
      </c>
      <c r="AU17" s="1991"/>
      <c r="AV17" s="1991"/>
      <c r="AX17" s="1992"/>
      <c r="AY17" s="1992"/>
      <c r="AZ17" s="1992"/>
      <c r="BA17" s="1992"/>
      <c r="BB17" s="1992"/>
      <c r="BD17" s="1992"/>
      <c r="BE17" s="1992"/>
      <c r="BG17" s="1992"/>
      <c r="BI17" s="1992"/>
      <c r="BJ17" s="1992"/>
      <c r="BK17" s="1992"/>
    </row>
    <row r="18" spans="1:63" ht="12.75" x14ac:dyDescent="0.2">
      <c r="A18" s="1984">
        <v>11</v>
      </c>
      <c r="B18" s="1995" t="s">
        <v>862</v>
      </c>
      <c r="C18" s="1994" t="s">
        <v>863</v>
      </c>
      <c r="D18" s="1987">
        <v>266729</v>
      </c>
      <c r="E18" s="1988">
        <v>138240000</v>
      </c>
      <c r="F18" s="1989">
        <v>66632249</v>
      </c>
      <c r="G18" s="1989">
        <v>-5007212</v>
      </c>
      <c r="H18" s="1989">
        <v>1491836</v>
      </c>
      <c r="I18" s="1989">
        <v>-3515376</v>
      </c>
      <c r="J18" s="1989">
        <v>-3876193</v>
      </c>
      <c r="K18" s="1989">
        <v>0</v>
      </c>
      <c r="L18" s="1989">
        <v>-7544</v>
      </c>
      <c r="M18" s="1989">
        <v>-92573</v>
      </c>
      <c r="N18" s="1989">
        <v>-2113363</v>
      </c>
      <c r="O18" s="1989">
        <v>-131540</v>
      </c>
      <c r="P18" s="1989">
        <v>-78199</v>
      </c>
      <c r="Q18" s="1989">
        <v>0</v>
      </c>
      <c r="R18" s="1989">
        <v>-2253</v>
      </c>
      <c r="S18" s="1989">
        <v>0</v>
      </c>
      <c r="T18" s="1989">
        <v>-241525</v>
      </c>
      <c r="U18" s="1989">
        <v>-241525</v>
      </c>
      <c r="V18" s="1989">
        <v>0</v>
      </c>
      <c r="W18" s="1989">
        <v>0</v>
      </c>
      <c r="X18" s="1989">
        <v>-13889</v>
      </c>
      <c r="Y18" s="1989">
        <v>-20482</v>
      </c>
      <c r="Z18" s="1989">
        <v>55771377</v>
      </c>
      <c r="AA18" s="1989">
        <v>-1810791</v>
      </c>
      <c r="AB18" s="1990"/>
      <c r="AC18" s="1989">
        <v>274</v>
      </c>
      <c r="AD18" s="1989">
        <v>8</v>
      </c>
      <c r="AE18" s="1989">
        <v>7</v>
      </c>
      <c r="AF18" s="1989">
        <v>0</v>
      </c>
      <c r="AG18" s="1989">
        <v>674</v>
      </c>
      <c r="AH18" s="1989">
        <v>0</v>
      </c>
      <c r="AI18" s="1989">
        <v>0</v>
      </c>
      <c r="AJ18" s="1989">
        <v>0</v>
      </c>
      <c r="AK18" s="1989">
        <v>0</v>
      </c>
      <c r="AL18" s="1989">
        <v>0</v>
      </c>
      <c r="AM18" s="1989">
        <v>12</v>
      </c>
      <c r="AN18" s="1989">
        <v>0</v>
      </c>
      <c r="AO18" s="1989">
        <v>2000</v>
      </c>
      <c r="AP18" s="1989">
        <v>2872</v>
      </c>
      <c r="AQ18" s="1989">
        <v>2197</v>
      </c>
      <c r="AR18" s="1989">
        <v>675</v>
      </c>
      <c r="AS18" s="1989">
        <v>1828</v>
      </c>
      <c r="AT18" s="1988">
        <v>6850</v>
      </c>
      <c r="AU18" s="1991"/>
      <c r="AV18" s="1991"/>
      <c r="AX18" s="1992"/>
      <c r="AY18" s="1992"/>
      <c r="AZ18" s="1992"/>
      <c r="BA18" s="1992"/>
      <c r="BB18" s="1992"/>
      <c r="BD18" s="1992"/>
      <c r="BE18" s="1992"/>
      <c r="BG18" s="1992"/>
      <c r="BI18" s="1992"/>
      <c r="BJ18" s="1992"/>
      <c r="BK18" s="1992"/>
    </row>
    <row r="19" spans="1:63" ht="12.75" x14ac:dyDescent="0.2">
      <c r="A19" s="1984">
        <v>12</v>
      </c>
      <c r="B19" s="1995" t="s">
        <v>864</v>
      </c>
      <c r="C19" s="1994" t="s">
        <v>865</v>
      </c>
      <c r="D19" s="1987">
        <v>92724</v>
      </c>
      <c r="E19" s="1988">
        <v>52679000</v>
      </c>
      <c r="F19" s="1989">
        <v>27513370</v>
      </c>
      <c r="G19" s="1989">
        <v>-1394639</v>
      </c>
      <c r="H19" s="1989">
        <v>637968</v>
      </c>
      <c r="I19" s="1989">
        <v>-756671</v>
      </c>
      <c r="J19" s="1989">
        <v>-1701881</v>
      </c>
      <c r="K19" s="1989">
        <v>-96390</v>
      </c>
      <c r="L19" s="1989">
        <v>0</v>
      </c>
      <c r="M19" s="1989">
        <v>-734</v>
      </c>
      <c r="N19" s="1989">
        <v>-582023</v>
      </c>
      <c r="O19" s="1989">
        <v>0</v>
      </c>
      <c r="P19" s="1989">
        <v>0</v>
      </c>
      <c r="Q19" s="1989">
        <v>0</v>
      </c>
      <c r="R19" s="1989">
        <v>0</v>
      </c>
      <c r="S19" s="1989">
        <v>0</v>
      </c>
      <c r="T19" s="1989">
        <v>0</v>
      </c>
      <c r="U19" s="1989">
        <v>0</v>
      </c>
      <c r="V19" s="1989">
        <v>0</v>
      </c>
      <c r="W19" s="1989">
        <v>0</v>
      </c>
      <c r="X19" s="1989">
        <v>-3197</v>
      </c>
      <c r="Y19" s="1989">
        <v>-1578</v>
      </c>
      <c r="Z19" s="1989">
        <v>24370896</v>
      </c>
      <c r="AA19" s="1989">
        <v>-150000</v>
      </c>
      <c r="AB19" s="1990"/>
      <c r="AC19" s="1989">
        <v>145</v>
      </c>
      <c r="AD19" s="1989">
        <v>30</v>
      </c>
      <c r="AE19" s="1989">
        <v>0</v>
      </c>
      <c r="AF19" s="1989">
        <v>1</v>
      </c>
      <c r="AG19" s="1989">
        <v>221</v>
      </c>
      <c r="AH19" s="1989">
        <v>0</v>
      </c>
      <c r="AI19" s="1989">
        <v>0</v>
      </c>
      <c r="AJ19" s="1989">
        <v>0</v>
      </c>
      <c r="AK19" s="1989">
        <v>0</v>
      </c>
      <c r="AL19" s="1989">
        <v>0</v>
      </c>
      <c r="AM19" s="1989">
        <v>0</v>
      </c>
      <c r="AN19" s="1989">
        <v>0</v>
      </c>
      <c r="AO19" s="1989">
        <v>738</v>
      </c>
      <c r="AP19" s="1989">
        <v>915</v>
      </c>
      <c r="AQ19" s="1989">
        <v>732</v>
      </c>
      <c r="AR19" s="1989">
        <v>183</v>
      </c>
      <c r="AS19" s="1989">
        <v>659</v>
      </c>
      <c r="AT19" s="1988">
        <v>2340</v>
      </c>
      <c r="AU19" s="1991"/>
      <c r="AV19" s="1991"/>
      <c r="AX19" s="1992"/>
      <c r="AY19" s="1992"/>
      <c r="AZ19" s="1992"/>
      <c r="BA19" s="1992"/>
      <c r="BB19" s="1992"/>
      <c r="BD19" s="1992"/>
      <c r="BE19" s="1992"/>
      <c r="BG19" s="1992"/>
      <c r="BI19" s="1992"/>
      <c r="BJ19" s="1992"/>
      <c r="BK19" s="1992"/>
    </row>
    <row r="20" spans="1:63" ht="12.75" x14ac:dyDescent="0.2">
      <c r="A20" s="1984">
        <v>13</v>
      </c>
      <c r="B20" s="1995" t="s">
        <v>866</v>
      </c>
      <c r="C20" s="1994" t="s">
        <v>867</v>
      </c>
      <c r="D20" s="1987">
        <v>229078</v>
      </c>
      <c r="E20" s="1988">
        <v>195842000</v>
      </c>
      <c r="F20" s="1989">
        <v>91691401</v>
      </c>
      <c r="G20" s="1989">
        <v>-2560308</v>
      </c>
      <c r="H20" s="1989">
        <v>2179343</v>
      </c>
      <c r="I20" s="1989">
        <v>-380965</v>
      </c>
      <c r="J20" s="1989">
        <v>-3556631</v>
      </c>
      <c r="K20" s="1989">
        <v>-30218</v>
      </c>
      <c r="L20" s="1989">
        <v>-3504</v>
      </c>
      <c r="M20" s="1989">
        <v>0</v>
      </c>
      <c r="N20" s="1989">
        <v>-909402</v>
      </c>
      <c r="O20" s="1989">
        <v>-7477</v>
      </c>
      <c r="P20" s="1989">
        <v>-44603</v>
      </c>
      <c r="Q20" s="1989">
        <v>0</v>
      </c>
      <c r="R20" s="1989">
        <v>0</v>
      </c>
      <c r="S20" s="1989">
        <v>0</v>
      </c>
      <c r="T20" s="1989">
        <v>0</v>
      </c>
      <c r="U20" s="1989">
        <v>0</v>
      </c>
      <c r="V20" s="1989">
        <v>0</v>
      </c>
      <c r="W20" s="1989">
        <v>0</v>
      </c>
      <c r="X20" s="1989">
        <v>0</v>
      </c>
      <c r="Y20" s="1989">
        <v>0</v>
      </c>
      <c r="Z20" s="1989">
        <v>86783204</v>
      </c>
      <c r="AA20" s="1989">
        <v>-3161787</v>
      </c>
      <c r="AB20" s="1990"/>
      <c r="AC20" s="1989">
        <v>198</v>
      </c>
      <c r="AD20" s="1989">
        <v>8</v>
      </c>
      <c r="AE20" s="1989">
        <v>2</v>
      </c>
      <c r="AF20" s="1989">
        <v>0</v>
      </c>
      <c r="AG20" s="1989">
        <v>211</v>
      </c>
      <c r="AH20" s="1989">
        <v>19</v>
      </c>
      <c r="AI20" s="1989">
        <v>15</v>
      </c>
      <c r="AJ20" s="1989">
        <v>0</v>
      </c>
      <c r="AK20" s="1989">
        <v>0</v>
      </c>
      <c r="AL20" s="1989">
        <v>0</v>
      </c>
      <c r="AM20" s="1989">
        <v>0</v>
      </c>
      <c r="AN20" s="1989">
        <v>0</v>
      </c>
      <c r="AO20" s="1989">
        <v>2159</v>
      </c>
      <c r="AP20" s="1989">
        <v>1340</v>
      </c>
      <c r="AQ20" s="1989">
        <v>713</v>
      </c>
      <c r="AR20" s="1989">
        <v>627</v>
      </c>
      <c r="AS20" s="1989">
        <v>1253</v>
      </c>
      <c r="AT20" s="1988">
        <v>4790</v>
      </c>
      <c r="AU20" s="1991"/>
      <c r="AV20" s="1991"/>
      <c r="AX20" s="1992"/>
      <c r="AY20" s="1992"/>
      <c r="AZ20" s="1992"/>
      <c r="BA20" s="1992"/>
      <c r="BB20" s="1992"/>
      <c r="BD20" s="1992"/>
      <c r="BE20" s="1992"/>
      <c r="BG20" s="1992"/>
      <c r="BI20" s="1992"/>
      <c r="BJ20" s="1992"/>
      <c r="BK20" s="1992"/>
    </row>
    <row r="21" spans="1:63" ht="12.75" x14ac:dyDescent="0.2">
      <c r="A21" s="1984">
        <v>14</v>
      </c>
      <c r="B21" s="1996" t="s">
        <v>2346</v>
      </c>
      <c r="C21" s="1994" t="s">
        <v>869</v>
      </c>
      <c r="D21" s="1987">
        <v>198939</v>
      </c>
      <c r="E21" s="1988">
        <v>182525000</v>
      </c>
      <c r="F21" s="1989">
        <v>86737728</v>
      </c>
      <c r="G21" s="1989">
        <v>-1706955</v>
      </c>
      <c r="H21" s="1989">
        <v>2106257</v>
      </c>
      <c r="I21" s="1989">
        <v>399302</v>
      </c>
      <c r="J21" s="1989">
        <v>-3265678</v>
      </c>
      <c r="K21" s="1989">
        <v>-11312</v>
      </c>
      <c r="L21" s="1989">
        <v>-35554</v>
      </c>
      <c r="M21" s="1989">
        <v>-632591</v>
      </c>
      <c r="N21" s="1989">
        <v>-2196612</v>
      </c>
      <c r="O21" s="1989">
        <v>-382014</v>
      </c>
      <c r="P21" s="1989">
        <v>-163260</v>
      </c>
      <c r="Q21" s="1989">
        <v>-2828</v>
      </c>
      <c r="R21" s="1989">
        <v>-88794</v>
      </c>
      <c r="S21" s="1989">
        <v>0</v>
      </c>
      <c r="T21" s="1989">
        <v>0</v>
      </c>
      <c r="U21" s="1989">
        <v>0</v>
      </c>
      <c r="V21" s="1989">
        <v>0</v>
      </c>
      <c r="W21" s="1989">
        <v>0</v>
      </c>
      <c r="X21" s="1989">
        <v>-75264</v>
      </c>
      <c r="Y21" s="1989">
        <v>-5277</v>
      </c>
      <c r="Z21" s="1989">
        <v>78374849</v>
      </c>
      <c r="AA21" s="1989">
        <v>-1000000</v>
      </c>
      <c r="AB21" s="1990"/>
      <c r="AC21" s="1989">
        <v>224</v>
      </c>
      <c r="AD21" s="1989">
        <v>5</v>
      </c>
      <c r="AE21" s="1989">
        <v>20</v>
      </c>
      <c r="AF21" s="1989">
        <v>12</v>
      </c>
      <c r="AG21" s="1989">
        <v>280</v>
      </c>
      <c r="AH21" s="1989">
        <v>183</v>
      </c>
      <c r="AI21" s="1989">
        <v>50</v>
      </c>
      <c r="AJ21" s="1989">
        <v>5</v>
      </c>
      <c r="AK21" s="1989">
        <v>29</v>
      </c>
      <c r="AL21" s="1989">
        <v>0</v>
      </c>
      <c r="AM21" s="1989">
        <v>0</v>
      </c>
      <c r="AN21" s="1989">
        <v>0</v>
      </c>
      <c r="AO21" s="1989">
        <v>2093</v>
      </c>
      <c r="AP21" s="1989">
        <v>890</v>
      </c>
      <c r="AQ21" s="1989">
        <v>553</v>
      </c>
      <c r="AR21" s="1989">
        <v>337</v>
      </c>
      <c r="AS21" s="1989">
        <v>1200</v>
      </c>
      <c r="AT21" s="1988">
        <v>4190</v>
      </c>
      <c r="AU21" s="1991"/>
      <c r="AV21" s="1991"/>
      <c r="AX21" s="1992"/>
      <c r="AY21" s="1992"/>
      <c r="AZ21" s="1992"/>
      <c r="BA21" s="1992"/>
      <c r="BB21" s="1992"/>
      <c r="BD21" s="1992"/>
      <c r="BE21" s="1992"/>
      <c r="BG21" s="1992"/>
      <c r="BI21" s="1992"/>
      <c r="BJ21" s="1992"/>
      <c r="BK21" s="1992"/>
    </row>
    <row r="22" spans="1:63" ht="12.75" x14ac:dyDescent="0.2">
      <c r="A22" s="1984">
        <v>15</v>
      </c>
      <c r="B22" s="1995" t="s">
        <v>870</v>
      </c>
      <c r="C22" s="1994" t="s">
        <v>871</v>
      </c>
      <c r="D22" s="1987">
        <v>167487</v>
      </c>
      <c r="E22" s="1988">
        <v>111499000</v>
      </c>
      <c r="F22" s="1989">
        <v>61207522</v>
      </c>
      <c r="G22" s="1989">
        <v>-2660000</v>
      </c>
      <c r="H22" s="1989">
        <v>1451000</v>
      </c>
      <c r="I22" s="1989">
        <v>-1209000</v>
      </c>
      <c r="J22" s="1989">
        <v>-2719236</v>
      </c>
      <c r="K22" s="1989">
        <v>-13460</v>
      </c>
      <c r="L22" s="1989">
        <v>-40444</v>
      </c>
      <c r="M22" s="1989">
        <v>-1000000</v>
      </c>
      <c r="N22" s="1989">
        <v>-1034820</v>
      </c>
      <c r="O22" s="1989">
        <v>-1000</v>
      </c>
      <c r="P22" s="1989">
        <v>-19054</v>
      </c>
      <c r="Q22" s="1989">
        <v>-1645</v>
      </c>
      <c r="R22" s="1989">
        <v>-40444</v>
      </c>
      <c r="S22" s="1989">
        <v>-12264</v>
      </c>
      <c r="T22" s="1989">
        <v>-12265</v>
      </c>
      <c r="U22" s="1989">
        <v>0</v>
      </c>
      <c r="V22" s="1989">
        <v>0</v>
      </c>
      <c r="W22" s="1989">
        <v>-77150</v>
      </c>
      <c r="X22" s="1989">
        <v>-16650</v>
      </c>
      <c r="Y22" s="1989">
        <v>-11880</v>
      </c>
      <c r="Z22" s="1989">
        <v>52026210</v>
      </c>
      <c r="AA22" s="1989">
        <v>-1456980</v>
      </c>
      <c r="AB22" s="1990"/>
      <c r="AC22" s="1989">
        <v>224</v>
      </c>
      <c r="AD22" s="1989">
        <v>4</v>
      </c>
      <c r="AE22" s="1989">
        <v>34</v>
      </c>
      <c r="AF22" s="1989">
        <v>0</v>
      </c>
      <c r="AG22" s="1989">
        <v>484</v>
      </c>
      <c r="AH22" s="1989">
        <v>2</v>
      </c>
      <c r="AI22" s="1989">
        <v>21</v>
      </c>
      <c r="AJ22" s="1989">
        <v>2</v>
      </c>
      <c r="AK22" s="1989">
        <v>34</v>
      </c>
      <c r="AL22" s="1989">
        <v>3</v>
      </c>
      <c r="AM22" s="1989">
        <v>0</v>
      </c>
      <c r="AN22" s="1989">
        <v>0</v>
      </c>
      <c r="AO22" s="1989">
        <v>1394</v>
      </c>
      <c r="AP22" s="1989">
        <v>1548</v>
      </c>
      <c r="AQ22" s="1989">
        <v>1189</v>
      </c>
      <c r="AR22" s="1989">
        <v>359</v>
      </c>
      <c r="AS22" s="1989">
        <v>986</v>
      </c>
      <c r="AT22" s="1988">
        <v>4020</v>
      </c>
      <c r="AU22" s="1991"/>
      <c r="AV22" s="1991"/>
      <c r="AX22" s="1992"/>
      <c r="AY22" s="1992"/>
      <c r="AZ22" s="1992"/>
      <c r="BA22" s="1992"/>
      <c r="BB22" s="1992"/>
      <c r="BD22" s="1992"/>
      <c r="BE22" s="1992"/>
      <c r="BG22" s="1992"/>
      <c r="BI22" s="1992"/>
      <c r="BJ22" s="1992"/>
      <c r="BK22" s="1992"/>
    </row>
    <row r="23" spans="1:63" ht="12.75" x14ac:dyDescent="0.2">
      <c r="A23" s="1984">
        <v>16</v>
      </c>
      <c r="B23" s="1996" t="s">
        <v>2347</v>
      </c>
      <c r="C23" s="1994" t="s">
        <v>873</v>
      </c>
      <c r="D23" s="1987">
        <v>259447</v>
      </c>
      <c r="E23" s="1988">
        <v>179972000</v>
      </c>
      <c r="F23" s="1989">
        <v>82166868</v>
      </c>
      <c r="G23" s="1989">
        <v>-4018456</v>
      </c>
      <c r="H23" s="1989">
        <v>1883498</v>
      </c>
      <c r="I23" s="1989">
        <v>-2134958</v>
      </c>
      <c r="J23" s="1989">
        <v>-7121083</v>
      </c>
      <c r="K23" s="1989">
        <v>-154087</v>
      </c>
      <c r="L23" s="1989">
        <v>-27036</v>
      </c>
      <c r="M23" s="1989">
        <v>-15601</v>
      </c>
      <c r="N23" s="1989">
        <v>-2336060</v>
      </c>
      <c r="O23" s="1989">
        <v>-85991</v>
      </c>
      <c r="P23" s="1989">
        <v>-50970</v>
      </c>
      <c r="Q23" s="1989">
        <v>-20665</v>
      </c>
      <c r="R23" s="1989">
        <v>-15593</v>
      </c>
      <c r="S23" s="1989">
        <v>-37637</v>
      </c>
      <c r="T23" s="1989">
        <v>0</v>
      </c>
      <c r="U23" s="1989">
        <v>0</v>
      </c>
      <c r="V23" s="1989">
        <v>0</v>
      </c>
      <c r="W23" s="1989">
        <v>0</v>
      </c>
      <c r="X23" s="1989">
        <v>-47478</v>
      </c>
      <c r="Y23" s="1989">
        <v>-667</v>
      </c>
      <c r="Z23" s="1989">
        <v>68971494</v>
      </c>
      <c r="AA23" s="1989">
        <v>-1401477</v>
      </c>
      <c r="AB23" s="1990"/>
      <c r="AC23" s="1989">
        <v>373</v>
      </c>
      <c r="AD23" s="1989">
        <v>43</v>
      </c>
      <c r="AE23" s="1989">
        <v>17</v>
      </c>
      <c r="AF23" s="1989">
        <v>1</v>
      </c>
      <c r="AG23" s="1989">
        <v>468</v>
      </c>
      <c r="AH23" s="1989">
        <v>59</v>
      </c>
      <c r="AI23" s="1989">
        <v>29</v>
      </c>
      <c r="AJ23" s="1989">
        <v>29</v>
      </c>
      <c r="AK23" s="1989">
        <v>12</v>
      </c>
      <c r="AL23" s="1989">
        <v>39</v>
      </c>
      <c r="AM23" s="1989">
        <v>0</v>
      </c>
      <c r="AN23" s="1989">
        <v>0</v>
      </c>
      <c r="AO23" s="1989">
        <v>2360</v>
      </c>
      <c r="AP23" s="1989">
        <v>2003</v>
      </c>
      <c r="AQ23" s="1989">
        <v>1221</v>
      </c>
      <c r="AR23" s="1989">
        <v>782</v>
      </c>
      <c r="AS23" s="1989">
        <v>1742</v>
      </c>
      <c r="AT23" s="1988">
        <v>5970</v>
      </c>
      <c r="AU23" s="1991"/>
      <c r="AV23" s="1991"/>
      <c r="AX23" s="1992"/>
      <c r="AY23" s="1992"/>
      <c r="AZ23" s="1992"/>
      <c r="BA23" s="1992"/>
      <c r="BB23" s="1992"/>
      <c r="BD23" s="1992"/>
      <c r="BE23" s="1992"/>
      <c r="BG23" s="1992"/>
      <c r="BI23" s="1992"/>
      <c r="BJ23" s="1992"/>
      <c r="BK23" s="1992"/>
    </row>
    <row r="24" spans="1:63" ht="12.75" x14ac:dyDescent="0.2">
      <c r="A24" s="1984">
        <v>17</v>
      </c>
      <c r="B24" s="1995" t="s">
        <v>874</v>
      </c>
      <c r="C24" s="1994" t="s">
        <v>875</v>
      </c>
      <c r="D24" s="1987">
        <v>226153</v>
      </c>
      <c r="E24" s="1988">
        <v>156247000</v>
      </c>
      <c r="F24" s="1989">
        <v>78080363</v>
      </c>
      <c r="G24" s="1989">
        <v>-3294517</v>
      </c>
      <c r="H24" s="1989">
        <v>1870485</v>
      </c>
      <c r="I24" s="1989">
        <v>-1424032</v>
      </c>
      <c r="J24" s="1989">
        <v>-5317585</v>
      </c>
      <c r="K24" s="1989">
        <v>-147800</v>
      </c>
      <c r="L24" s="1989">
        <v>-50801</v>
      </c>
      <c r="M24" s="1989">
        <v>-50000</v>
      </c>
      <c r="N24" s="1989">
        <v>-2181950</v>
      </c>
      <c r="O24" s="1989">
        <v>-115065</v>
      </c>
      <c r="P24" s="1989">
        <v>-16797</v>
      </c>
      <c r="Q24" s="1989">
        <v>-1454</v>
      </c>
      <c r="R24" s="1989">
        <v>-37679</v>
      </c>
      <c r="S24" s="1989">
        <v>-25991</v>
      </c>
      <c r="T24" s="1989">
        <v>-26000</v>
      </c>
      <c r="U24" s="1989">
        <v>0</v>
      </c>
      <c r="V24" s="1989">
        <v>0</v>
      </c>
      <c r="W24" s="1989">
        <v>-69335</v>
      </c>
      <c r="X24" s="1989">
        <v>-30978</v>
      </c>
      <c r="Y24" s="1989">
        <v>0</v>
      </c>
      <c r="Z24" s="1989">
        <v>68584896</v>
      </c>
      <c r="AA24" s="1989">
        <v>-1262156</v>
      </c>
      <c r="AB24" s="1990"/>
      <c r="AC24" s="1989">
        <v>362</v>
      </c>
      <c r="AD24" s="1989">
        <v>18</v>
      </c>
      <c r="AE24" s="1989">
        <v>32</v>
      </c>
      <c r="AF24" s="1989">
        <v>0</v>
      </c>
      <c r="AG24" s="1989">
        <v>508</v>
      </c>
      <c r="AH24" s="1989">
        <v>147</v>
      </c>
      <c r="AI24" s="1989">
        <v>11</v>
      </c>
      <c r="AJ24" s="1989">
        <v>6</v>
      </c>
      <c r="AK24" s="1989">
        <v>29</v>
      </c>
      <c r="AL24" s="1989">
        <v>21</v>
      </c>
      <c r="AM24" s="1989">
        <v>0</v>
      </c>
      <c r="AN24" s="1989">
        <v>0</v>
      </c>
      <c r="AO24" s="1989">
        <v>2094</v>
      </c>
      <c r="AP24" s="1989">
        <v>1705</v>
      </c>
      <c r="AQ24" s="1989">
        <v>1027</v>
      </c>
      <c r="AR24" s="1989">
        <v>678</v>
      </c>
      <c r="AS24" s="1989">
        <v>1303</v>
      </c>
      <c r="AT24" s="1988">
        <v>5200</v>
      </c>
      <c r="AU24" s="1991"/>
      <c r="AV24" s="1991"/>
      <c r="AX24" s="1992"/>
      <c r="AY24" s="1992"/>
      <c r="AZ24" s="1992"/>
      <c r="BA24" s="1992"/>
      <c r="BB24" s="1992"/>
      <c r="BD24" s="1992"/>
      <c r="BE24" s="1992"/>
      <c r="BG24" s="1992"/>
      <c r="BI24" s="1992"/>
      <c r="BJ24" s="1992"/>
      <c r="BK24" s="1992"/>
    </row>
    <row r="25" spans="1:63" ht="12.75" x14ac:dyDescent="0.2">
      <c r="A25" s="1984">
        <v>18</v>
      </c>
      <c r="B25" s="1995" t="s">
        <v>876</v>
      </c>
      <c r="C25" s="1994" t="s">
        <v>877</v>
      </c>
      <c r="D25" s="1987">
        <v>247577</v>
      </c>
      <c r="E25" s="1988">
        <v>182948000</v>
      </c>
      <c r="F25" s="1989">
        <v>83525343</v>
      </c>
      <c r="G25" s="1989">
        <v>-4061446</v>
      </c>
      <c r="H25" s="1989">
        <v>1860441</v>
      </c>
      <c r="I25" s="1989">
        <v>-2201005</v>
      </c>
      <c r="J25" s="1989">
        <v>-6816316</v>
      </c>
      <c r="K25" s="1989">
        <v>-103277</v>
      </c>
      <c r="L25" s="1989">
        <v>0</v>
      </c>
      <c r="M25" s="1989">
        <v>0</v>
      </c>
      <c r="N25" s="1989">
        <v>-657778</v>
      </c>
      <c r="O25" s="1989">
        <v>0</v>
      </c>
      <c r="P25" s="1989">
        <v>0</v>
      </c>
      <c r="Q25" s="1989">
        <v>0</v>
      </c>
      <c r="R25" s="1989">
        <v>0</v>
      </c>
      <c r="S25" s="1989">
        <v>0</v>
      </c>
      <c r="T25" s="1989">
        <v>0</v>
      </c>
      <c r="U25" s="1989">
        <v>0</v>
      </c>
      <c r="V25" s="1989">
        <v>0</v>
      </c>
      <c r="W25" s="1989">
        <v>0</v>
      </c>
      <c r="X25" s="1989">
        <v>-2981</v>
      </c>
      <c r="Y25" s="1989">
        <v>-37</v>
      </c>
      <c r="Z25" s="1989">
        <v>73001949</v>
      </c>
      <c r="AA25" s="1989">
        <v>-700000</v>
      </c>
      <c r="AB25" s="1990"/>
      <c r="AC25" s="1989">
        <v>305</v>
      </c>
      <c r="AD25" s="1989">
        <v>13</v>
      </c>
      <c r="AE25" s="1989">
        <v>0</v>
      </c>
      <c r="AF25" s="1989">
        <v>0</v>
      </c>
      <c r="AG25" s="1989">
        <v>413</v>
      </c>
      <c r="AH25" s="1989">
        <v>0</v>
      </c>
      <c r="AI25" s="1989">
        <v>0</v>
      </c>
      <c r="AJ25" s="1989">
        <v>0</v>
      </c>
      <c r="AK25" s="1989">
        <v>0</v>
      </c>
      <c r="AL25" s="1989">
        <v>0</v>
      </c>
      <c r="AM25" s="1989">
        <v>0</v>
      </c>
      <c r="AN25" s="1989">
        <v>0</v>
      </c>
      <c r="AO25" s="1989">
        <v>1619</v>
      </c>
      <c r="AP25" s="1989">
        <v>1964</v>
      </c>
      <c r="AQ25" s="1989">
        <v>1027</v>
      </c>
      <c r="AR25" s="1989">
        <v>937</v>
      </c>
      <c r="AS25" s="1989">
        <v>1748</v>
      </c>
      <c r="AT25" s="1988">
        <v>5340</v>
      </c>
      <c r="AU25" s="1991"/>
      <c r="AV25" s="1991"/>
      <c r="AX25" s="1992"/>
      <c r="AY25" s="1992"/>
      <c r="AZ25" s="1992"/>
      <c r="BA25" s="1992"/>
      <c r="BB25" s="1992"/>
      <c r="BD25" s="1992"/>
      <c r="BE25" s="1992"/>
      <c r="BG25" s="1992"/>
      <c r="BI25" s="1992"/>
      <c r="BJ25" s="1992"/>
      <c r="BK25" s="1992"/>
    </row>
    <row r="26" spans="1:63" ht="12.75" x14ac:dyDescent="0.2">
      <c r="A26" s="1984">
        <v>19</v>
      </c>
      <c r="B26" s="1995" t="s">
        <v>878</v>
      </c>
      <c r="C26" s="1994" t="s">
        <v>879</v>
      </c>
      <c r="D26" s="1987">
        <v>1893141</v>
      </c>
      <c r="E26" s="1988">
        <v>1111010000</v>
      </c>
      <c r="F26" s="1989">
        <v>522858072</v>
      </c>
      <c r="G26" s="1989">
        <v>-25416522</v>
      </c>
      <c r="H26" s="1989">
        <v>12265745</v>
      </c>
      <c r="I26" s="1989">
        <v>-13150777</v>
      </c>
      <c r="J26" s="1989">
        <v>-32899074</v>
      </c>
      <c r="K26" s="1989">
        <v>-131345</v>
      </c>
      <c r="L26" s="1989">
        <v>0</v>
      </c>
      <c r="M26" s="1989">
        <v>-504167</v>
      </c>
      <c r="N26" s="1989">
        <v>-27821297</v>
      </c>
      <c r="O26" s="1989">
        <v>-51000</v>
      </c>
      <c r="P26" s="1989">
        <v>-861480</v>
      </c>
      <c r="Q26" s="1989">
        <v>0</v>
      </c>
      <c r="R26" s="1989">
        <v>0</v>
      </c>
      <c r="S26" s="1989">
        <v>0</v>
      </c>
      <c r="T26" s="1989">
        <v>-423987</v>
      </c>
      <c r="U26" s="1989">
        <v>-423987</v>
      </c>
      <c r="V26" s="1989">
        <v>0</v>
      </c>
      <c r="W26" s="1989">
        <v>0</v>
      </c>
      <c r="X26" s="1989">
        <v>0</v>
      </c>
      <c r="Y26" s="1989">
        <v>0</v>
      </c>
      <c r="Z26" s="1989">
        <v>447014945</v>
      </c>
      <c r="AA26" s="1989">
        <v>-9187000</v>
      </c>
      <c r="AB26" s="1990"/>
      <c r="AC26" s="1989">
        <v>1901</v>
      </c>
      <c r="AD26" s="1989">
        <v>15</v>
      </c>
      <c r="AE26" s="1989">
        <v>0</v>
      </c>
      <c r="AF26" s="1989">
        <v>17</v>
      </c>
      <c r="AG26" s="1989">
        <v>11815</v>
      </c>
      <c r="AH26" s="1989">
        <v>19</v>
      </c>
      <c r="AI26" s="1989">
        <v>31</v>
      </c>
      <c r="AJ26" s="1989">
        <v>0</v>
      </c>
      <c r="AK26" s="1989">
        <v>0</v>
      </c>
      <c r="AL26" s="1989">
        <v>0</v>
      </c>
      <c r="AM26" s="1989">
        <v>31</v>
      </c>
      <c r="AN26" s="1989">
        <v>0</v>
      </c>
      <c r="AO26" s="1989">
        <v>19652</v>
      </c>
      <c r="AP26" s="1989">
        <v>12267</v>
      </c>
      <c r="AQ26" s="1989">
        <v>8301</v>
      </c>
      <c r="AR26" s="1989">
        <v>3966</v>
      </c>
      <c r="AS26" s="1989">
        <v>14304</v>
      </c>
      <c r="AT26" s="1988">
        <v>46700</v>
      </c>
      <c r="AU26" s="1991"/>
      <c r="AV26" s="1991"/>
      <c r="AX26" s="1992"/>
      <c r="AY26" s="1992"/>
      <c r="AZ26" s="1992"/>
      <c r="BA26" s="1992"/>
      <c r="BB26" s="1992"/>
      <c r="BD26" s="1992"/>
      <c r="BE26" s="1992"/>
      <c r="BG26" s="1992"/>
      <c r="BI26" s="1992"/>
      <c r="BJ26" s="1992"/>
      <c r="BK26" s="1992"/>
    </row>
    <row r="27" spans="1:63" ht="12.75" x14ac:dyDescent="0.2">
      <c r="A27" s="1984">
        <v>20</v>
      </c>
      <c r="B27" s="1995" t="s">
        <v>880</v>
      </c>
      <c r="C27" s="1994" t="s">
        <v>881</v>
      </c>
      <c r="D27" s="1987">
        <v>101839</v>
      </c>
      <c r="E27" s="1988">
        <v>101515000</v>
      </c>
      <c r="F27" s="1989">
        <v>45105405</v>
      </c>
      <c r="G27" s="1989">
        <v>-1262223</v>
      </c>
      <c r="H27" s="1989">
        <v>1087995</v>
      </c>
      <c r="I27" s="1989">
        <v>-174228</v>
      </c>
      <c r="J27" s="1989">
        <v>-901216</v>
      </c>
      <c r="K27" s="1989">
        <v>-45587</v>
      </c>
      <c r="L27" s="1989">
        <v>0</v>
      </c>
      <c r="M27" s="1989">
        <v>-213201</v>
      </c>
      <c r="N27" s="1989">
        <v>-434930</v>
      </c>
      <c r="O27" s="1989">
        <v>-46388</v>
      </c>
      <c r="P27" s="1989">
        <v>-3008</v>
      </c>
      <c r="Q27" s="1989">
        <v>-4526</v>
      </c>
      <c r="R27" s="1989">
        <v>0</v>
      </c>
      <c r="S27" s="1989">
        <v>0</v>
      </c>
      <c r="T27" s="1989">
        <v>0</v>
      </c>
      <c r="U27" s="1989">
        <v>0</v>
      </c>
      <c r="V27" s="1989">
        <v>0</v>
      </c>
      <c r="W27" s="1989">
        <v>0</v>
      </c>
      <c r="X27" s="1989">
        <v>0</v>
      </c>
      <c r="Y27" s="1989">
        <v>0</v>
      </c>
      <c r="Z27" s="1989">
        <v>43282321</v>
      </c>
      <c r="AA27" s="1989">
        <v>-250000</v>
      </c>
      <c r="AB27" s="1990"/>
      <c r="AC27" s="1989">
        <v>76</v>
      </c>
      <c r="AD27" s="1989">
        <v>14</v>
      </c>
      <c r="AE27" s="1989">
        <v>0</v>
      </c>
      <c r="AF27" s="1989">
        <v>2</v>
      </c>
      <c r="AG27" s="1989">
        <v>138</v>
      </c>
      <c r="AH27" s="1989">
        <v>36</v>
      </c>
      <c r="AI27" s="1989">
        <v>4</v>
      </c>
      <c r="AJ27" s="1989">
        <v>9</v>
      </c>
      <c r="AK27" s="1989">
        <v>0</v>
      </c>
      <c r="AL27" s="1989">
        <v>0</v>
      </c>
      <c r="AM27" s="1989">
        <v>0</v>
      </c>
      <c r="AN27" s="1989">
        <v>0</v>
      </c>
      <c r="AO27" s="1989">
        <v>823</v>
      </c>
      <c r="AP27" s="1989">
        <v>709</v>
      </c>
      <c r="AQ27" s="1989">
        <v>517</v>
      </c>
      <c r="AR27" s="1989">
        <v>192</v>
      </c>
      <c r="AS27" s="1989">
        <v>601</v>
      </c>
      <c r="AT27" s="1988">
        <v>2180</v>
      </c>
      <c r="AU27" s="1991"/>
      <c r="AV27" s="1991"/>
      <c r="AX27" s="1992"/>
      <c r="AY27" s="1992"/>
      <c r="AZ27" s="1992"/>
      <c r="BA27" s="1992"/>
      <c r="BB27" s="1992"/>
      <c r="BD27" s="1992"/>
      <c r="BE27" s="1992"/>
      <c r="BG27" s="1992"/>
      <c r="BI27" s="1992"/>
      <c r="BJ27" s="1992"/>
      <c r="BK27" s="1992"/>
    </row>
    <row r="28" spans="1:63" ht="12.75" x14ac:dyDescent="0.2">
      <c r="A28" s="1984">
        <v>21</v>
      </c>
      <c r="B28" s="1996" t="s">
        <v>707</v>
      </c>
      <c r="C28" s="1994" t="s">
        <v>883</v>
      </c>
      <c r="D28" s="1987">
        <v>247772</v>
      </c>
      <c r="E28" s="1988">
        <v>118695000</v>
      </c>
      <c r="F28" s="1989">
        <v>62278407</v>
      </c>
      <c r="G28" s="1989">
        <v>-5500000</v>
      </c>
      <c r="H28" s="1989">
        <v>1380000</v>
      </c>
      <c r="I28" s="1989">
        <v>-4120000</v>
      </c>
      <c r="J28" s="1989">
        <v>-4500000</v>
      </c>
      <c r="K28" s="1989">
        <v>-82000</v>
      </c>
      <c r="L28" s="1989">
        <v>-3000</v>
      </c>
      <c r="M28" s="1989">
        <v>-110000</v>
      </c>
      <c r="N28" s="1989">
        <v>-3000000</v>
      </c>
      <c r="O28" s="1989">
        <v>-27000</v>
      </c>
      <c r="P28" s="1989">
        <v>-4000</v>
      </c>
      <c r="Q28" s="1989">
        <v>0</v>
      </c>
      <c r="R28" s="1989">
        <v>0</v>
      </c>
      <c r="S28" s="1989">
        <v>0</v>
      </c>
      <c r="T28" s="1989">
        <v>-26000</v>
      </c>
      <c r="U28" s="1989">
        <v>0</v>
      </c>
      <c r="V28" s="1989">
        <v>0</v>
      </c>
      <c r="W28" s="1989">
        <v>-100000</v>
      </c>
      <c r="X28" s="1989">
        <v>-150000</v>
      </c>
      <c r="Y28" s="1989">
        <v>-10000</v>
      </c>
      <c r="Z28" s="1989">
        <v>50146407</v>
      </c>
      <c r="AA28" s="1989">
        <v>-2500000</v>
      </c>
      <c r="AB28" s="1990"/>
      <c r="AC28" s="1989">
        <v>249</v>
      </c>
      <c r="AD28" s="1989">
        <v>9</v>
      </c>
      <c r="AE28" s="1989">
        <v>2</v>
      </c>
      <c r="AF28" s="1989">
        <v>0</v>
      </c>
      <c r="AG28" s="1989">
        <v>991</v>
      </c>
      <c r="AH28" s="1989">
        <v>3</v>
      </c>
      <c r="AI28" s="1989">
        <v>28</v>
      </c>
      <c r="AJ28" s="1989">
        <v>0</v>
      </c>
      <c r="AK28" s="1989">
        <v>0</v>
      </c>
      <c r="AL28" s="1989">
        <v>0</v>
      </c>
      <c r="AM28" s="1989">
        <v>0</v>
      </c>
      <c r="AN28" s="1989">
        <v>5</v>
      </c>
      <c r="AO28" s="1989">
        <v>2167</v>
      </c>
      <c r="AP28" s="1989">
        <v>3156</v>
      </c>
      <c r="AQ28" s="1989">
        <v>2491</v>
      </c>
      <c r="AR28" s="1989">
        <v>665</v>
      </c>
      <c r="AS28" s="1989">
        <v>1088</v>
      </c>
      <c r="AT28" s="1988">
        <v>6450</v>
      </c>
      <c r="AU28" s="1991"/>
      <c r="AV28" s="1991"/>
      <c r="AX28" s="1992"/>
      <c r="AY28" s="1992"/>
      <c r="AZ28" s="1992"/>
      <c r="BA28" s="1992"/>
      <c r="BB28" s="1992"/>
      <c r="BD28" s="1992"/>
      <c r="BE28" s="1992"/>
      <c r="BG28" s="1992"/>
      <c r="BI28" s="1992"/>
      <c r="BJ28" s="1992"/>
      <c r="BK28" s="1992"/>
    </row>
    <row r="29" spans="1:63" ht="12.75" x14ac:dyDescent="0.2">
      <c r="A29" s="1984">
        <v>22</v>
      </c>
      <c r="B29" s="1996" t="s">
        <v>710</v>
      </c>
      <c r="C29" s="1994" t="s">
        <v>885</v>
      </c>
      <c r="D29" s="1987">
        <v>261549</v>
      </c>
      <c r="E29" s="1988">
        <v>129618000</v>
      </c>
      <c r="F29" s="1989">
        <v>62173686</v>
      </c>
      <c r="G29" s="1989">
        <v>-6189260</v>
      </c>
      <c r="H29" s="1989">
        <v>1360533</v>
      </c>
      <c r="I29" s="1989">
        <v>-4828727</v>
      </c>
      <c r="J29" s="1989">
        <v>-2353426</v>
      </c>
      <c r="K29" s="1989">
        <v>0</v>
      </c>
      <c r="L29" s="1989">
        <v>0</v>
      </c>
      <c r="M29" s="1989">
        <v>0</v>
      </c>
      <c r="N29" s="1989">
        <v>-1466888</v>
      </c>
      <c r="O29" s="1989">
        <v>-5790</v>
      </c>
      <c r="P29" s="1989">
        <v>-31706</v>
      </c>
      <c r="Q29" s="1989">
        <v>0</v>
      </c>
      <c r="R29" s="1989">
        <v>0</v>
      </c>
      <c r="S29" s="1989">
        <v>0</v>
      </c>
      <c r="T29" s="1989">
        <v>0</v>
      </c>
      <c r="U29" s="1989">
        <v>0</v>
      </c>
      <c r="V29" s="1989">
        <v>0</v>
      </c>
      <c r="W29" s="1989">
        <v>0</v>
      </c>
      <c r="X29" s="1989">
        <v>-85703</v>
      </c>
      <c r="Y29" s="1989">
        <v>-5000</v>
      </c>
      <c r="Z29" s="1989">
        <v>52528446</v>
      </c>
      <c r="AA29" s="1989">
        <v>-1200000</v>
      </c>
      <c r="AB29" s="1990"/>
      <c r="AC29" s="1989">
        <v>185</v>
      </c>
      <c r="AD29" s="1989">
        <v>0</v>
      </c>
      <c r="AE29" s="1989">
        <v>0</v>
      </c>
      <c r="AF29" s="1989">
        <v>0</v>
      </c>
      <c r="AG29" s="1989">
        <v>1045</v>
      </c>
      <c r="AH29" s="1989">
        <v>2</v>
      </c>
      <c r="AI29" s="1989">
        <v>11</v>
      </c>
      <c r="AJ29" s="1989">
        <v>0</v>
      </c>
      <c r="AK29" s="1989">
        <v>0</v>
      </c>
      <c r="AL29" s="1989">
        <v>0</v>
      </c>
      <c r="AM29" s="1989">
        <v>0</v>
      </c>
      <c r="AN29" s="1989">
        <v>0</v>
      </c>
      <c r="AO29" s="1989">
        <v>2223</v>
      </c>
      <c r="AP29" s="1989">
        <v>3180</v>
      </c>
      <c r="AQ29" s="1989">
        <v>2293</v>
      </c>
      <c r="AR29" s="1989">
        <v>887</v>
      </c>
      <c r="AS29" s="1989">
        <v>1512</v>
      </c>
      <c r="AT29" s="1988">
        <v>6770</v>
      </c>
      <c r="AU29" s="1991"/>
      <c r="AV29" s="1991"/>
      <c r="AX29" s="1992"/>
      <c r="AY29" s="1992"/>
      <c r="AZ29" s="1992"/>
      <c r="BA29" s="1992"/>
      <c r="BB29" s="1992"/>
      <c r="BD29" s="1992"/>
      <c r="BE29" s="1992"/>
      <c r="BG29" s="1992"/>
      <c r="BI29" s="1992"/>
      <c r="BJ29" s="1992"/>
      <c r="BK29" s="1992"/>
    </row>
    <row r="30" spans="1:63" ht="12.75" x14ac:dyDescent="0.2">
      <c r="A30" s="1984">
        <v>23</v>
      </c>
      <c r="B30" s="1995" t="s">
        <v>886</v>
      </c>
      <c r="C30" s="1994" t="s">
        <v>887</v>
      </c>
      <c r="D30" s="1987">
        <v>96880</v>
      </c>
      <c r="E30" s="1988">
        <v>62302000</v>
      </c>
      <c r="F30" s="1989">
        <v>26643470</v>
      </c>
      <c r="G30" s="1989">
        <v>-1357373</v>
      </c>
      <c r="H30" s="1989">
        <v>617591</v>
      </c>
      <c r="I30" s="1989">
        <v>-739782</v>
      </c>
      <c r="J30" s="1989">
        <v>-566050</v>
      </c>
      <c r="K30" s="1989">
        <v>0</v>
      </c>
      <c r="L30" s="1989">
        <v>-9187</v>
      </c>
      <c r="M30" s="1989">
        <v>-38105</v>
      </c>
      <c r="N30" s="1989">
        <v>-423620</v>
      </c>
      <c r="O30" s="1989">
        <v>0</v>
      </c>
      <c r="P30" s="1989">
        <v>-14541</v>
      </c>
      <c r="Q30" s="1989">
        <v>0</v>
      </c>
      <c r="R30" s="1989">
        <v>0</v>
      </c>
      <c r="S30" s="1989">
        <v>0</v>
      </c>
      <c r="T30" s="1989">
        <v>0</v>
      </c>
      <c r="U30" s="1989">
        <v>0</v>
      </c>
      <c r="V30" s="1989">
        <v>0</v>
      </c>
      <c r="W30" s="1989">
        <v>-1859</v>
      </c>
      <c r="X30" s="1989">
        <v>0</v>
      </c>
      <c r="Y30" s="1989">
        <v>0</v>
      </c>
      <c r="Z30" s="1989">
        <v>24850326</v>
      </c>
      <c r="AA30" s="1989">
        <v>-858675</v>
      </c>
      <c r="AB30" s="1990"/>
      <c r="AC30" s="1989">
        <v>73</v>
      </c>
      <c r="AD30" s="1989">
        <v>0</v>
      </c>
      <c r="AE30" s="1989">
        <v>10</v>
      </c>
      <c r="AF30" s="1989">
        <v>1</v>
      </c>
      <c r="AG30" s="1989">
        <v>302</v>
      </c>
      <c r="AH30" s="1989">
        <v>0</v>
      </c>
      <c r="AI30" s="1989">
        <v>12</v>
      </c>
      <c r="AJ30" s="1989">
        <v>0</v>
      </c>
      <c r="AK30" s="1989">
        <v>0</v>
      </c>
      <c r="AL30" s="1989">
        <v>0</v>
      </c>
      <c r="AM30" s="1989">
        <v>0</v>
      </c>
      <c r="AN30" s="1989">
        <v>0</v>
      </c>
      <c r="AO30" s="1989">
        <v>785</v>
      </c>
      <c r="AP30" s="1989">
        <v>891</v>
      </c>
      <c r="AQ30" s="1989">
        <v>732</v>
      </c>
      <c r="AR30" s="1989">
        <v>159</v>
      </c>
      <c r="AS30" s="1989">
        <v>747</v>
      </c>
      <c r="AT30" s="1988">
        <v>2380</v>
      </c>
      <c r="AU30" s="1991"/>
      <c r="AV30" s="1991"/>
      <c r="AX30" s="1992"/>
      <c r="AY30" s="1992"/>
      <c r="AZ30" s="1992"/>
      <c r="BA30" s="1992"/>
      <c r="BB30" s="1992"/>
      <c r="BD30" s="1992"/>
      <c r="BE30" s="1992"/>
      <c r="BG30" s="1992"/>
      <c r="BI30" s="1992"/>
      <c r="BJ30" s="1992"/>
      <c r="BK30" s="1992"/>
    </row>
    <row r="31" spans="1:63" ht="12.75" x14ac:dyDescent="0.2">
      <c r="A31" s="1984">
        <v>24</v>
      </c>
      <c r="B31" s="1995" t="s">
        <v>888</v>
      </c>
      <c r="C31" s="1994" t="s">
        <v>889</v>
      </c>
      <c r="D31" s="1987">
        <v>393126</v>
      </c>
      <c r="E31" s="1988">
        <v>224796000</v>
      </c>
      <c r="F31" s="1989">
        <v>109362301</v>
      </c>
      <c r="G31" s="1989">
        <v>-7400000</v>
      </c>
      <c r="H31" s="1989">
        <v>2500000</v>
      </c>
      <c r="I31" s="1989">
        <v>-4900000</v>
      </c>
      <c r="J31" s="1989">
        <v>-5600000</v>
      </c>
      <c r="K31" s="1989">
        <v>-100000</v>
      </c>
      <c r="L31" s="1989">
        <v>0</v>
      </c>
      <c r="M31" s="1989">
        <v>-250000</v>
      </c>
      <c r="N31" s="1989">
        <v>-3830000</v>
      </c>
      <c r="O31" s="1989">
        <v>-500000</v>
      </c>
      <c r="P31" s="1989">
        <v>-230000</v>
      </c>
      <c r="Q31" s="1989">
        <v>-5000</v>
      </c>
      <c r="R31" s="1989">
        <v>0</v>
      </c>
      <c r="S31" s="1989">
        <v>0</v>
      </c>
      <c r="T31" s="1989">
        <v>0</v>
      </c>
      <c r="U31" s="1989">
        <v>0</v>
      </c>
      <c r="V31" s="1989">
        <v>0</v>
      </c>
      <c r="W31" s="1989">
        <v>-4000</v>
      </c>
      <c r="X31" s="1989">
        <v>-181000</v>
      </c>
      <c r="Y31" s="1989">
        <v>-60000</v>
      </c>
      <c r="Z31" s="1989">
        <v>93702301</v>
      </c>
      <c r="AA31" s="1989">
        <v>-890000</v>
      </c>
      <c r="AB31" s="1990"/>
      <c r="AC31" s="1989">
        <v>374</v>
      </c>
      <c r="AD31" s="1989">
        <v>11</v>
      </c>
      <c r="AE31" s="1989">
        <v>0</v>
      </c>
      <c r="AF31" s="1989">
        <v>1</v>
      </c>
      <c r="AG31" s="1989">
        <v>1242</v>
      </c>
      <c r="AH31" s="1989">
        <v>209</v>
      </c>
      <c r="AI31" s="1989">
        <v>51</v>
      </c>
      <c r="AJ31" s="1989">
        <v>6</v>
      </c>
      <c r="AK31" s="1989">
        <v>0</v>
      </c>
      <c r="AL31" s="1989">
        <v>0</v>
      </c>
      <c r="AM31" s="1989">
        <v>0</v>
      </c>
      <c r="AN31" s="1989">
        <v>0</v>
      </c>
      <c r="AO31" s="1989">
        <v>3332</v>
      </c>
      <c r="AP31" s="1989">
        <v>3971</v>
      </c>
      <c r="AQ31" s="1989">
        <v>2700</v>
      </c>
      <c r="AR31" s="1989">
        <v>1271</v>
      </c>
      <c r="AS31" s="1989">
        <v>2316</v>
      </c>
      <c r="AT31" s="1988">
        <v>9710</v>
      </c>
      <c r="AU31" s="1991"/>
      <c r="AV31" s="1991"/>
      <c r="AX31" s="1992"/>
      <c r="AY31" s="1992"/>
      <c r="AZ31" s="1992"/>
      <c r="BA31" s="1992"/>
      <c r="BB31" s="1992"/>
      <c r="BD31" s="1992"/>
      <c r="BE31" s="1992"/>
      <c r="BG31" s="1992"/>
      <c r="BI31" s="1992"/>
      <c r="BJ31" s="1992"/>
      <c r="BK31" s="1992"/>
    </row>
    <row r="32" spans="1:63" ht="12.75" x14ac:dyDescent="0.2">
      <c r="A32" s="1984">
        <v>25</v>
      </c>
      <c r="B32" s="1995" t="s">
        <v>890</v>
      </c>
      <c r="C32" s="1994" t="s">
        <v>891</v>
      </c>
      <c r="D32" s="1987">
        <v>91296</v>
      </c>
      <c r="E32" s="1988">
        <v>52310000</v>
      </c>
      <c r="F32" s="1989">
        <v>24059525</v>
      </c>
      <c r="G32" s="1989">
        <v>-1558326</v>
      </c>
      <c r="H32" s="1989">
        <v>544066</v>
      </c>
      <c r="I32" s="1989">
        <v>-1014260</v>
      </c>
      <c r="J32" s="1989">
        <v>-1495152</v>
      </c>
      <c r="K32" s="1989">
        <v>-61942</v>
      </c>
      <c r="L32" s="1989">
        <v>-20485</v>
      </c>
      <c r="M32" s="1989">
        <v>0</v>
      </c>
      <c r="N32" s="1989">
        <v>-805948</v>
      </c>
      <c r="O32" s="1989">
        <v>-46926</v>
      </c>
      <c r="P32" s="1989">
        <v>-18115</v>
      </c>
      <c r="Q32" s="1989">
        <v>-12341</v>
      </c>
      <c r="R32" s="1989">
        <v>-1678</v>
      </c>
      <c r="S32" s="1989">
        <v>0</v>
      </c>
      <c r="T32" s="1989">
        <v>0</v>
      </c>
      <c r="U32" s="1989">
        <v>0</v>
      </c>
      <c r="V32" s="1989">
        <v>0</v>
      </c>
      <c r="W32" s="1989">
        <v>0</v>
      </c>
      <c r="X32" s="1989">
        <v>-8465</v>
      </c>
      <c r="Y32" s="1989">
        <v>-500</v>
      </c>
      <c r="Z32" s="1989">
        <v>20573713</v>
      </c>
      <c r="AA32" s="1989">
        <v>-160000</v>
      </c>
      <c r="AB32" s="1990"/>
      <c r="AC32" s="1989">
        <v>150</v>
      </c>
      <c r="AD32" s="1989">
        <v>11</v>
      </c>
      <c r="AE32" s="1989">
        <v>20</v>
      </c>
      <c r="AF32" s="1989">
        <v>0</v>
      </c>
      <c r="AG32" s="1989">
        <v>277</v>
      </c>
      <c r="AH32" s="1989">
        <v>66</v>
      </c>
      <c r="AI32" s="1989">
        <v>6</v>
      </c>
      <c r="AJ32" s="1989">
        <v>11</v>
      </c>
      <c r="AK32" s="1989">
        <v>5</v>
      </c>
      <c r="AL32" s="1989">
        <v>0</v>
      </c>
      <c r="AM32" s="1989">
        <v>0</v>
      </c>
      <c r="AN32" s="1989">
        <v>3</v>
      </c>
      <c r="AO32" s="1989">
        <v>813</v>
      </c>
      <c r="AP32" s="1989">
        <v>877</v>
      </c>
      <c r="AQ32" s="1989">
        <v>640</v>
      </c>
      <c r="AR32" s="1989">
        <v>237</v>
      </c>
      <c r="AS32" s="1989">
        <v>581</v>
      </c>
      <c r="AT32" s="1988">
        <v>2300</v>
      </c>
      <c r="AU32" s="1991"/>
      <c r="AV32" s="1991"/>
      <c r="AX32" s="1992"/>
      <c r="AY32" s="1992"/>
      <c r="AZ32" s="1992"/>
      <c r="BA32" s="1992"/>
      <c r="BB32" s="1992"/>
      <c r="BD32" s="1992"/>
      <c r="BE32" s="1992"/>
      <c r="BG32" s="1992"/>
      <c r="BI32" s="1992"/>
      <c r="BJ32" s="1992"/>
      <c r="BK32" s="1992"/>
    </row>
    <row r="33" spans="1:63" ht="12.75" x14ac:dyDescent="0.2">
      <c r="A33" s="1984">
        <v>26</v>
      </c>
      <c r="B33" s="1996" t="s">
        <v>657</v>
      </c>
      <c r="C33" s="1994" t="s">
        <v>893</v>
      </c>
      <c r="D33" s="1987">
        <v>292496</v>
      </c>
      <c r="E33" s="1988">
        <v>166339000</v>
      </c>
      <c r="F33" s="1989">
        <v>80779555</v>
      </c>
      <c r="G33" s="1989">
        <v>-4550908</v>
      </c>
      <c r="H33" s="1989">
        <v>1841742</v>
      </c>
      <c r="I33" s="1989">
        <v>-2709166</v>
      </c>
      <c r="J33" s="1989">
        <v>-5543111</v>
      </c>
      <c r="K33" s="1989">
        <v>-115304</v>
      </c>
      <c r="L33" s="1989">
        <v>0</v>
      </c>
      <c r="M33" s="1989">
        <v>-2500</v>
      </c>
      <c r="N33" s="1989">
        <v>-679571</v>
      </c>
      <c r="O33" s="1989">
        <v>-73609</v>
      </c>
      <c r="P33" s="1989">
        <v>-20586</v>
      </c>
      <c r="Q33" s="1989">
        <v>-4000</v>
      </c>
      <c r="R33" s="1989">
        <v>0</v>
      </c>
      <c r="S33" s="1989">
        <v>0</v>
      </c>
      <c r="T33" s="1989">
        <v>0</v>
      </c>
      <c r="U33" s="1989">
        <v>0</v>
      </c>
      <c r="V33" s="1989">
        <v>0</v>
      </c>
      <c r="W33" s="1989">
        <v>0</v>
      </c>
      <c r="X33" s="1989">
        <v>-48613</v>
      </c>
      <c r="Y33" s="1989">
        <v>-1102</v>
      </c>
      <c r="Z33" s="1989">
        <v>71581993</v>
      </c>
      <c r="AA33" s="1989">
        <v>-284723</v>
      </c>
      <c r="AB33" s="1990"/>
      <c r="AC33" s="1989">
        <v>257</v>
      </c>
      <c r="AD33" s="1989">
        <v>1</v>
      </c>
      <c r="AE33" s="1989">
        <v>0</v>
      </c>
      <c r="AF33" s="1989">
        <v>0</v>
      </c>
      <c r="AG33" s="1989">
        <v>404</v>
      </c>
      <c r="AH33" s="1989">
        <v>51</v>
      </c>
      <c r="AI33" s="1989">
        <v>7</v>
      </c>
      <c r="AJ33" s="1989">
        <v>1</v>
      </c>
      <c r="AK33" s="1989">
        <v>0</v>
      </c>
      <c r="AL33" s="1989">
        <v>0</v>
      </c>
      <c r="AM33" s="1989">
        <v>0</v>
      </c>
      <c r="AN33" s="1989">
        <v>0</v>
      </c>
      <c r="AO33" s="1989">
        <v>1987</v>
      </c>
      <c r="AP33" s="1989">
        <v>3604</v>
      </c>
      <c r="AQ33" s="1989">
        <v>2756</v>
      </c>
      <c r="AR33" s="1989">
        <v>848</v>
      </c>
      <c r="AS33" s="1989">
        <v>1711</v>
      </c>
      <c r="AT33" s="1988">
        <v>7380</v>
      </c>
      <c r="AU33" s="1991"/>
      <c r="AV33" s="1991"/>
      <c r="AX33" s="1992"/>
      <c r="AY33" s="1992"/>
      <c r="AZ33" s="1992"/>
      <c r="BA33" s="1992"/>
      <c r="BB33" s="1992"/>
      <c r="BD33" s="1992"/>
      <c r="BE33" s="1992"/>
      <c r="BG33" s="1992"/>
      <c r="BI33" s="1992"/>
      <c r="BJ33" s="1992"/>
      <c r="BK33" s="1992"/>
    </row>
    <row r="34" spans="1:63" ht="12.75" x14ac:dyDescent="0.2">
      <c r="A34" s="1984">
        <v>27</v>
      </c>
      <c r="B34" s="1996" t="s">
        <v>610</v>
      </c>
      <c r="C34" s="1994" t="s">
        <v>895</v>
      </c>
      <c r="D34" s="1987">
        <v>144145</v>
      </c>
      <c r="E34" s="1988">
        <v>163208000</v>
      </c>
      <c r="F34" s="1989">
        <v>72402793</v>
      </c>
      <c r="G34" s="1989">
        <v>-1010000</v>
      </c>
      <c r="H34" s="1989">
        <v>2099110</v>
      </c>
      <c r="I34" s="1989">
        <v>1089110</v>
      </c>
      <c r="J34" s="1989">
        <v>-2500000</v>
      </c>
      <c r="K34" s="1989">
        <v>-5000</v>
      </c>
      <c r="L34" s="1989">
        <v>0</v>
      </c>
      <c r="M34" s="1989">
        <v>-350000</v>
      </c>
      <c r="N34" s="1989">
        <v>-4700000</v>
      </c>
      <c r="O34" s="1989">
        <v>-80000</v>
      </c>
      <c r="P34" s="1989">
        <v>-75000</v>
      </c>
      <c r="Q34" s="1989">
        <v>0</v>
      </c>
      <c r="R34" s="1989">
        <v>0</v>
      </c>
      <c r="S34" s="1989">
        <v>0</v>
      </c>
      <c r="T34" s="1989">
        <v>0</v>
      </c>
      <c r="U34" s="1989">
        <v>0</v>
      </c>
      <c r="V34" s="1989">
        <v>0</v>
      </c>
      <c r="W34" s="1989">
        <v>0</v>
      </c>
      <c r="X34" s="1989">
        <v>-50000</v>
      </c>
      <c r="Y34" s="1989">
        <v>0</v>
      </c>
      <c r="Z34" s="1989">
        <v>64073002</v>
      </c>
      <c r="AA34" s="1989">
        <v>-1000000</v>
      </c>
      <c r="AB34" s="1990"/>
      <c r="AC34" s="1989">
        <v>110</v>
      </c>
      <c r="AD34" s="1989">
        <v>2</v>
      </c>
      <c r="AE34" s="1989">
        <v>0</v>
      </c>
      <c r="AF34" s="1989">
        <v>0</v>
      </c>
      <c r="AG34" s="1989">
        <v>204</v>
      </c>
      <c r="AH34" s="1989">
        <v>69</v>
      </c>
      <c r="AI34" s="1989">
        <v>17</v>
      </c>
      <c r="AJ34" s="1989">
        <v>0</v>
      </c>
      <c r="AK34" s="1989">
        <v>0</v>
      </c>
      <c r="AL34" s="1989">
        <v>0</v>
      </c>
      <c r="AM34" s="1989">
        <v>0</v>
      </c>
      <c r="AN34" s="1989">
        <v>0</v>
      </c>
      <c r="AO34" s="1989">
        <v>1257</v>
      </c>
      <c r="AP34" s="1989">
        <v>460</v>
      </c>
      <c r="AQ34" s="1989">
        <v>251</v>
      </c>
      <c r="AR34" s="1989">
        <v>209</v>
      </c>
      <c r="AS34" s="1989">
        <v>694</v>
      </c>
      <c r="AT34" s="1988">
        <v>2500</v>
      </c>
      <c r="AU34" s="1991"/>
      <c r="AV34" s="1991"/>
      <c r="AX34" s="1992"/>
      <c r="AY34" s="1992"/>
      <c r="AZ34" s="1992"/>
      <c r="BA34" s="1992"/>
      <c r="BB34" s="1992"/>
      <c r="BD34" s="1992"/>
      <c r="BE34" s="1992"/>
      <c r="BG34" s="1992"/>
      <c r="BI34" s="1992"/>
      <c r="BJ34" s="1992"/>
      <c r="BK34" s="1992"/>
    </row>
    <row r="35" spans="1:63" ht="12.75" x14ac:dyDescent="0.2">
      <c r="A35" s="1984">
        <v>28</v>
      </c>
      <c r="B35" s="1995" t="s">
        <v>896</v>
      </c>
      <c r="C35" s="1994" t="s">
        <v>897</v>
      </c>
      <c r="D35" s="1987">
        <v>736622</v>
      </c>
      <c r="E35" s="1988">
        <v>393576000</v>
      </c>
      <c r="F35" s="1989">
        <v>189951797</v>
      </c>
      <c r="G35" s="1989">
        <v>-16500000</v>
      </c>
      <c r="H35" s="1989">
        <v>4158366</v>
      </c>
      <c r="I35" s="1989">
        <v>-12341634</v>
      </c>
      <c r="J35" s="1989">
        <v>-13505902</v>
      </c>
      <c r="K35" s="1989">
        <v>-163887</v>
      </c>
      <c r="L35" s="1989">
        <v>-9921</v>
      </c>
      <c r="M35" s="1989">
        <v>-180000</v>
      </c>
      <c r="N35" s="1989">
        <v>-8300000</v>
      </c>
      <c r="O35" s="1989">
        <v>-8141</v>
      </c>
      <c r="P35" s="1989">
        <v>-390000</v>
      </c>
      <c r="Q35" s="1989">
        <v>0</v>
      </c>
      <c r="R35" s="1989">
        <v>-6890</v>
      </c>
      <c r="S35" s="1989">
        <v>0</v>
      </c>
      <c r="T35" s="1989">
        <v>0</v>
      </c>
      <c r="U35" s="1989">
        <v>0</v>
      </c>
      <c r="V35" s="1989">
        <v>0</v>
      </c>
      <c r="W35" s="1989">
        <v>-20000</v>
      </c>
      <c r="X35" s="1989">
        <v>-98160</v>
      </c>
      <c r="Y35" s="1989">
        <v>-25000</v>
      </c>
      <c r="Z35" s="1989">
        <v>154902262</v>
      </c>
      <c r="AA35" s="1989">
        <v>-1899365</v>
      </c>
      <c r="AB35" s="1990"/>
      <c r="AC35" s="1989">
        <v>766</v>
      </c>
      <c r="AD35" s="1989">
        <v>24</v>
      </c>
      <c r="AE35" s="1989">
        <v>8</v>
      </c>
      <c r="AF35" s="1989">
        <v>2</v>
      </c>
      <c r="AG35" s="1989">
        <v>1864</v>
      </c>
      <c r="AH35" s="1989">
        <v>8</v>
      </c>
      <c r="AI35" s="1989">
        <v>90</v>
      </c>
      <c r="AJ35" s="1989">
        <v>0</v>
      </c>
      <c r="AK35" s="1989">
        <v>7</v>
      </c>
      <c r="AL35" s="1989">
        <v>0</v>
      </c>
      <c r="AM35" s="1989">
        <v>0</v>
      </c>
      <c r="AN35" s="1989">
        <v>0</v>
      </c>
      <c r="AO35" s="1989">
        <v>7506</v>
      </c>
      <c r="AP35" s="1989">
        <v>8247</v>
      </c>
      <c r="AQ35" s="1989">
        <v>5584</v>
      </c>
      <c r="AR35" s="1989">
        <v>2663</v>
      </c>
      <c r="AS35" s="1989">
        <v>2589</v>
      </c>
      <c r="AT35" s="1988">
        <v>18690</v>
      </c>
      <c r="AU35" s="1991"/>
      <c r="AV35" s="1991"/>
      <c r="AX35" s="1992"/>
      <c r="AY35" s="1992"/>
      <c r="AZ35" s="1992"/>
      <c r="BA35" s="1992"/>
      <c r="BB35" s="1992"/>
      <c r="BD35" s="1992"/>
      <c r="BE35" s="1992"/>
      <c r="BG35" s="1992"/>
      <c r="BI35" s="1992"/>
      <c r="BJ35" s="1992"/>
      <c r="BK35" s="1992"/>
    </row>
    <row r="36" spans="1:63" ht="12.75" x14ac:dyDescent="0.2">
      <c r="A36" s="1984">
        <v>29</v>
      </c>
      <c r="B36" s="1995" t="s">
        <v>898</v>
      </c>
      <c r="C36" s="1994" t="s">
        <v>899</v>
      </c>
      <c r="D36" s="1987">
        <v>192687</v>
      </c>
      <c r="E36" s="1988">
        <v>111455000</v>
      </c>
      <c r="F36" s="1989">
        <v>50931623</v>
      </c>
      <c r="G36" s="1989">
        <v>-3301000</v>
      </c>
      <c r="H36" s="1989">
        <v>1122985.6000000001</v>
      </c>
      <c r="I36" s="1989">
        <v>-2178014.4</v>
      </c>
      <c r="J36" s="1989">
        <v>-2871419.53</v>
      </c>
      <c r="K36" s="1989">
        <v>-109151.14</v>
      </c>
      <c r="L36" s="1989">
        <v>-13728.4</v>
      </c>
      <c r="M36" s="1989">
        <v>-15000</v>
      </c>
      <c r="N36" s="1989">
        <v>-1551778</v>
      </c>
      <c r="O36" s="1989">
        <v>-66055.850000000006</v>
      </c>
      <c r="P36" s="1989">
        <v>-219128.14</v>
      </c>
      <c r="Q36" s="1989">
        <v>-643.62</v>
      </c>
      <c r="R36" s="1989">
        <v>-3080.16</v>
      </c>
      <c r="S36" s="1989">
        <v>0</v>
      </c>
      <c r="T36" s="1989">
        <v>0</v>
      </c>
      <c r="U36" s="1989">
        <v>0</v>
      </c>
      <c r="V36" s="1989">
        <v>0</v>
      </c>
      <c r="W36" s="1989">
        <v>-10043</v>
      </c>
      <c r="X36" s="1989">
        <v>-23957.47</v>
      </c>
      <c r="Y36" s="1989">
        <v>-12000</v>
      </c>
      <c r="Z36" s="1989">
        <v>43857623.289999999</v>
      </c>
      <c r="AA36" s="1989">
        <v>-732000</v>
      </c>
      <c r="AB36" s="1990"/>
      <c r="AC36" s="1989">
        <v>229</v>
      </c>
      <c r="AD36" s="1989">
        <v>22</v>
      </c>
      <c r="AE36" s="1989">
        <v>11</v>
      </c>
      <c r="AF36" s="1989">
        <v>0</v>
      </c>
      <c r="AG36" s="1989">
        <v>317</v>
      </c>
      <c r="AH36" s="1989">
        <v>117</v>
      </c>
      <c r="AI36" s="1989">
        <v>71</v>
      </c>
      <c r="AJ36" s="1989">
        <v>2</v>
      </c>
      <c r="AK36" s="1989">
        <v>6</v>
      </c>
      <c r="AL36" s="1989">
        <v>0</v>
      </c>
      <c r="AM36" s="1989">
        <v>0</v>
      </c>
      <c r="AN36" s="1989">
        <v>0</v>
      </c>
      <c r="AO36" s="1989">
        <v>1772</v>
      </c>
      <c r="AP36" s="1989">
        <v>1803</v>
      </c>
      <c r="AQ36" s="1989">
        <v>1211</v>
      </c>
      <c r="AR36" s="1989">
        <v>592</v>
      </c>
      <c r="AS36" s="1989">
        <v>1136</v>
      </c>
      <c r="AT36" s="1988">
        <v>4770</v>
      </c>
      <c r="AU36" s="1991"/>
      <c r="AV36" s="1991"/>
      <c r="AX36" s="1992"/>
      <c r="AY36" s="1992"/>
      <c r="AZ36" s="1992"/>
      <c r="BA36" s="1992"/>
      <c r="BB36" s="1992"/>
      <c r="BD36" s="1992"/>
      <c r="BE36" s="1992"/>
      <c r="BG36" s="1992"/>
      <c r="BI36" s="1992"/>
      <c r="BJ36" s="1992"/>
      <c r="BK36" s="1992"/>
    </row>
    <row r="37" spans="1:63" ht="12.75" x14ac:dyDescent="0.2">
      <c r="A37" s="1984">
        <v>30</v>
      </c>
      <c r="B37" s="1995" t="s">
        <v>900</v>
      </c>
      <c r="C37" s="1994" t="s">
        <v>901</v>
      </c>
      <c r="D37" s="1987">
        <v>163444</v>
      </c>
      <c r="E37" s="1988">
        <v>84427000</v>
      </c>
      <c r="F37" s="1989">
        <v>37462660</v>
      </c>
      <c r="G37" s="1989">
        <v>-2996318</v>
      </c>
      <c r="H37" s="1989">
        <v>788306</v>
      </c>
      <c r="I37" s="1989">
        <v>-2208012</v>
      </c>
      <c r="J37" s="1989">
        <v>-2142342</v>
      </c>
      <c r="K37" s="1989">
        <v>-40547</v>
      </c>
      <c r="L37" s="1989">
        <v>-86805</v>
      </c>
      <c r="M37" s="1989">
        <v>-50000</v>
      </c>
      <c r="N37" s="1989">
        <v>-704324</v>
      </c>
      <c r="O37" s="1989">
        <v>-46274</v>
      </c>
      <c r="P37" s="1989">
        <v>-4000</v>
      </c>
      <c r="Q37" s="1989">
        <v>-1847</v>
      </c>
      <c r="R37" s="1989">
        <v>-8364</v>
      </c>
      <c r="S37" s="1989">
        <v>0</v>
      </c>
      <c r="T37" s="1989">
        <v>0</v>
      </c>
      <c r="U37" s="1989">
        <v>0</v>
      </c>
      <c r="V37" s="1989">
        <v>0</v>
      </c>
      <c r="W37" s="1989">
        <v>0</v>
      </c>
      <c r="X37" s="1989">
        <v>-18222</v>
      </c>
      <c r="Y37" s="1989">
        <v>-51</v>
      </c>
      <c r="Z37" s="1989">
        <v>32151872</v>
      </c>
      <c r="AA37" s="1989">
        <v>-769737</v>
      </c>
      <c r="AB37" s="1990"/>
      <c r="AC37" s="1989">
        <v>293</v>
      </c>
      <c r="AD37" s="1989">
        <v>12</v>
      </c>
      <c r="AE37" s="1989">
        <v>66</v>
      </c>
      <c r="AF37" s="1989">
        <v>6</v>
      </c>
      <c r="AG37" s="1989">
        <v>362</v>
      </c>
      <c r="AH37" s="1989">
        <v>100</v>
      </c>
      <c r="AI37" s="1989">
        <v>2</v>
      </c>
      <c r="AJ37" s="1989">
        <v>4</v>
      </c>
      <c r="AK37" s="1989">
        <v>12</v>
      </c>
      <c r="AL37" s="1989">
        <v>0</v>
      </c>
      <c r="AM37" s="1989">
        <v>0</v>
      </c>
      <c r="AN37" s="1989">
        <v>0</v>
      </c>
      <c r="AO37" s="1989">
        <v>1344</v>
      </c>
      <c r="AP37" s="1989">
        <v>1775</v>
      </c>
      <c r="AQ37" s="1989">
        <v>1279</v>
      </c>
      <c r="AR37" s="1989">
        <v>496</v>
      </c>
      <c r="AS37" s="1989">
        <v>1057</v>
      </c>
      <c r="AT37" s="1988">
        <v>4200</v>
      </c>
      <c r="AU37" s="1991"/>
      <c r="AV37" s="1991"/>
      <c r="AX37" s="1992"/>
      <c r="AY37" s="1992"/>
      <c r="AZ37" s="1992"/>
      <c r="BA37" s="1992"/>
      <c r="BB37" s="1992"/>
      <c r="BD37" s="1992"/>
      <c r="BE37" s="1992"/>
      <c r="BG37" s="1992"/>
      <c r="BI37" s="1992"/>
      <c r="BJ37" s="1992"/>
      <c r="BK37" s="1992"/>
    </row>
    <row r="38" spans="1:63" ht="12.75" x14ac:dyDescent="0.2">
      <c r="A38" s="1984">
        <v>31</v>
      </c>
      <c r="B38" s="1995" t="s">
        <v>902</v>
      </c>
      <c r="C38" s="1994" t="s">
        <v>903</v>
      </c>
      <c r="D38" s="1987">
        <v>416255</v>
      </c>
      <c r="E38" s="1988">
        <v>314955000</v>
      </c>
      <c r="F38" s="1989">
        <v>136728132</v>
      </c>
      <c r="G38" s="1989">
        <v>-4492670</v>
      </c>
      <c r="H38" s="1989">
        <v>2940755</v>
      </c>
      <c r="I38" s="1989">
        <v>-1551915</v>
      </c>
      <c r="J38" s="1989">
        <v>-7679236</v>
      </c>
      <c r="K38" s="1989">
        <v>-40575</v>
      </c>
      <c r="L38" s="1989">
        <v>0</v>
      </c>
      <c r="M38" s="1989">
        <v>0</v>
      </c>
      <c r="N38" s="1989">
        <v>-3198821</v>
      </c>
      <c r="O38" s="1989">
        <v>-442644</v>
      </c>
      <c r="P38" s="1989">
        <v>-52467</v>
      </c>
      <c r="Q38" s="1989">
        <v>-2286</v>
      </c>
      <c r="R38" s="1989">
        <v>0</v>
      </c>
      <c r="S38" s="1989">
        <v>0</v>
      </c>
      <c r="T38" s="1989">
        <v>-2500</v>
      </c>
      <c r="U38" s="1989">
        <v>0</v>
      </c>
      <c r="V38" s="1989">
        <v>0</v>
      </c>
      <c r="W38" s="1989">
        <v>-20000</v>
      </c>
      <c r="X38" s="1989">
        <v>-50000</v>
      </c>
      <c r="Y38" s="1989">
        <v>-1299</v>
      </c>
      <c r="Z38" s="1989">
        <v>123541389</v>
      </c>
      <c r="AA38" s="1989">
        <v>-2489000</v>
      </c>
      <c r="AB38" s="1990"/>
      <c r="AC38" s="1989">
        <v>336</v>
      </c>
      <c r="AD38" s="1989">
        <v>12</v>
      </c>
      <c r="AE38" s="1989">
        <v>0</v>
      </c>
      <c r="AF38" s="1989">
        <v>0</v>
      </c>
      <c r="AG38" s="1989">
        <v>842</v>
      </c>
      <c r="AH38" s="1989">
        <v>119</v>
      </c>
      <c r="AI38" s="1989">
        <v>7</v>
      </c>
      <c r="AJ38" s="1989">
        <v>2</v>
      </c>
      <c r="AK38" s="1989">
        <v>0</v>
      </c>
      <c r="AL38" s="1989">
        <v>0</v>
      </c>
      <c r="AM38" s="1989">
        <v>0</v>
      </c>
      <c r="AN38" s="1989">
        <v>4</v>
      </c>
      <c r="AO38" s="1989">
        <v>2797</v>
      </c>
      <c r="AP38" s="1989">
        <v>2336</v>
      </c>
      <c r="AQ38" s="1989">
        <v>919</v>
      </c>
      <c r="AR38" s="1989">
        <v>1417</v>
      </c>
      <c r="AS38" s="1989">
        <v>3265</v>
      </c>
      <c r="AT38" s="1988">
        <v>8540</v>
      </c>
      <c r="AU38" s="1991"/>
      <c r="AV38" s="1991"/>
      <c r="AX38" s="1992"/>
      <c r="AY38" s="1992"/>
      <c r="AZ38" s="1992"/>
      <c r="BA38" s="1992"/>
      <c r="BB38" s="1992"/>
      <c r="BD38" s="1992"/>
      <c r="BE38" s="1992"/>
      <c r="BG38" s="1992"/>
      <c r="BI38" s="1992"/>
      <c r="BJ38" s="1992"/>
      <c r="BK38" s="1992"/>
    </row>
    <row r="39" spans="1:63" ht="12.75" x14ac:dyDescent="0.2">
      <c r="A39" s="1984">
        <v>32</v>
      </c>
      <c r="B39" s="1995" t="s">
        <v>904</v>
      </c>
      <c r="C39" s="1994" t="s">
        <v>905</v>
      </c>
      <c r="D39" s="1987">
        <v>104595</v>
      </c>
      <c r="E39" s="1988">
        <v>74539000</v>
      </c>
      <c r="F39" s="1989">
        <v>36592114</v>
      </c>
      <c r="G39" s="1989">
        <v>-1200000</v>
      </c>
      <c r="H39" s="1989">
        <v>853872</v>
      </c>
      <c r="I39" s="1989">
        <v>-346128</v>
      </c>
      <c r="J39" s="1989">
        <v>-2300000</v>
      </c>
      <c r="K39" s="1989">
        <v>-60000</v>
      </c>
      <c r="L39" s="1989">
        <v>-5000</v>
      </c>
      <c r="M39" s="1989">
        <v>-45000</v>
      </c>
      <c r="N39" s="1989">
        <v>-1200000</v>
      </c>
      <c r="O39" s="1989">
        <v>-65000</v>
      </c>
      <c r="P39" s="1989">
        <v>-45000</v>
      </c>
      <c r="Q39" s="1989">
        <v>-21000</v>
      </c>
      <c r="R39" s="1989">
        <v>-5000</v>
      </c>
      <c r="S39" s="1989">
        <v>-10000</v>
      </c>
      <c r="T39" s="1989">
        <v>0</v>
      </c>
      <c r="U39" s="1989">
        <v>0</v>
      </c>
      <c r="V39" s="1989">
        <v>0</v>
      </c>
      <c r="W39" s="1989">
        <v>0</v>
      </c>
      <c r="X39" s="1989">
        <v>-18000</v>
      </c>
      <c r="Y39" s="1989">
        <v>-4000</v>
      </c>
      <c r="Z39" s="1989">
        <v>32072986</v>
      </c>
      <c r="AA39" s="1989">
        <v>-1081603</v>
      </c>
      <c r="AB39" s="1990"/>
      <c r="AC39" s="1989">
        <v>105</v>
      </c>
      <c r="AD39" s="1989">
        <v>3</v>
      </c>
      <c r="AE39" s="1989">
        <v>1</v>
      </c>
      <c r="AF39" s="1989">
        <v>5</v>
      </c>
      <c r="AG39" s="1989">
        <v>78</v>
      </c>
      <c r="AH39" s="1989">
        <v>61</v>
      </c>
      <c r="AI39" s="1989">
        <v>26</v>
      </c>
      <c r="AJ39" s="1989">
        <v>3</v>
      </c>
      <c r="AK39" s="1989">
        <v>1</v>
      </c>
      <c r="AL39" s="1989">
        <v>5</v>
      </c>
      <c r="AM39" s="1989">
        <v>0</v>
      </c>
      <c r="AN39" s="1989">
        <v>0</v>
      </c>
      <c r="AO39" s="1989">
        <v>1031</v>
      </c>
      <c r="AP39" s="1989">
        <v>628</v>
      </c>
      <c r="AQ39" s="1989">
        <v>301</v>
      </c>
      <c r="AR39" s="1989">
        <v>327</v>
      </c>
      <c r="AS39" s="1989">
        <v>646</v>
      </c>
      <c r="AT39" s="1988">
        <v>2320</v>
      </c>
      <c r="AU39" s="1991"/>
      <c r="AV39" s="1991"/>
      <c r="AX39" s="1992"/>
      <c r="AY39" s="1992"/>
      <c r="AZ39" s="1992"/>
      <c r="BA39" s="1992"/>
      <c r="BB39" s="1992"/>
      <c r="BD39" s="1992"/>
      <c r="BE39" s="1992"/>
      <c r="BG39" s="1992"/>
      <c r="BI39" s="1992"/>
      <c r="BJ39" s="1992"/>
      <c r="BK39" s="1992"/>
    </row>
    <row r="40" spans="1:63" ht="12.75" x14ac:dyDescent="0.2">
      <c r="A40" s="1984">
        <v>33</v>
      </c>
      <c r="B40" s="1996" t="s">
        <v>2345</v>
      </c>
      <c r="C40" s="1994" t="s">
        <v>907</v>
      </c>
      <c r="D40" s="1987">
        <v>432307</v>
      </c>
      <c r="E40" s="1988">
        <v>311972000</v>
      </c>
      <c r="F40" s="1989">
        <v>128812343</v>
      </c>
      <c r="G40" s="1989">
        <v>-6721638</v>
      </c>
      <c r="H40" s="1989">
        <v>2931777</v>
      </c>
      <c r="I40" s="1989">
        <v>-3789861</v>
      </c>
      <c r="J40" s="1989">
        <v>-8643085</v>
      </c>
      <c r="K40" s="1989">
        <v>-57930</v>
      </c>
      <c r="L40" s="1989">
        <v>0</v>
      </c>
      <c r="M40" s="1989">
        <v>-115000</v>
      </c>
      <c r="N40" s="1989">
        <v>-3015714</v>
      </c>
      <c r="O40" s="1989">
        <v>-85462</v>
      </c>
      <c r="P40" s="1989">
        <v>-51418</v>
      </c>
      <c r="Q40" s="1989">
        <v>-1317</v>
      </c>
      <c r="R40" s="1989">
        <v>0</v>
      </c>
      <c r="S40" s="1989">
        <v>0</v>
      </c>
      <c r="T40" s="1989">
        <v>0</v>
      </c>
      <c r="U40" s="1989">
        <v>0</v>
      </c>
      <c r="V40" s="1989">
        <v>0</v>
      </c>
      <c r="W40" s="1989">
        <v>-8942</v>
      </c>
      <c r="X40" s="1989">
        <v>-129274</v>
      </c>
      <c r="Y40" s="1989">
        <v>-1104</v>
      </c>
      <c r="Z40" s="1989">
        <v>112802504</v>
      </c>
      <c r="AA40" s="1989">
        <v>-1580916</v>
      </c>
      <c r="AB40" s="1990"/>
      <c r="AC40" s="1989">
        <v>432</v>
      </c>
      <c r="AD40" s="1989">
        <v>10</v>
      </c>
      <c r="AE40" s="1989">
        <v>0</v>
      </c>
      <c r="AF40" s="1989">
        <v>0</v>
      </c>
      <c r="AG40" s="1989">
        <v>615</v>
      </c>
      <c r="AH40" s="1989">
        <v>64</v>
      </c>
      <c r="AI40" s="1989">
        <v>16</v>
      </c>
      <c r="AJ40" s="1989">
        <v>3</v>
      </c>
      <c r="AK40" s="1989">
        <v>0</v>
      </c>
      <c r="AL40" s="1989">
        <v>0</v>
      </c>
      <c r="AM40" s="1989">
        <v>0</v>
      </c>
      <c r="AN40" s="1989">
        <v>0</v>
      </c>
      <c r="AO40" s="1989">
        <v>3492</v>
      </c>
      <c r="AP40" s="1989">
        <v>3688</v>
      </c>
      <c r="AQ40" s="1989">
        <v>2295</v>
      </c>
      <c r="AR40" s="1989">
        <v>1393</v>
      </c>
      <c r="AS40" s="1989">
        <v>2771</v>
      </c>
      <c r="AT40" s="1988">
        <v>10200</v>
      </c>
      <c r="AU40" s="1991"/>
      <c r="AV40" s="1991"/>
      <c r="AX40" s="1992"/>
      <c r="AY40" s="1992"/>
      <c r="AZ40" s="1992"/>
      <c r="BA40" s="1992"/>
      <c r="BB40" s="1992"/>
      <c r="BD40" s="1992"/>
      <c r="BE40" s="1992"/>
      <c r="BG40" s="1992"/>
      <c r="BI40" s="1992"/>
      <c r="BJ40" s="1992"/>
      <c r="BK40" s="1992"/>
    </row>
    <row r="41" spans="1:63" ht="12.75" x14ac:dyDescent="0.2">
      <c r="A41" s="1984">
        <v>34</v>
      </c>
      <c r="B41" s="1996" t="s">
        <v>604</v>
      </c>
      <c r="C41" s="1994" t="s">
        <v>909</v>
      </c>
      <c r="D41" s="1987">
        <v>715969</v>
      </c>
      <c r="E41" s="1988">
        <v>564353000</v>
      </c>
      <c r="F41" s="1989">
        <v>260497152</v>
      </c>
      <c r="G41" s="1989">
        <v>-8658060</v>
      </c>
      <c r="H41" s="1989">
        <v>6192086</v>
      </c>
      <c r="I41" s="1989">
        <v>-2465974</v>
      </c>
      <c r="J41" s="1989">
        <v>-17256930</v>
      </c>
      <c r="K41" s="1989">
        <v>-151160</v>
      </c>
      <c r="L41" s="1989">
        <v>0</v>
      </c>
      <c r="M41" s="1989">
        <v>-860000</v>
      </c>
      <c r="N41" s="1989">
        <v>-10154469</v>
      </c>
      <c r="O41" s="1989">
        <v>-252174</v>
      </c>
      <c r="P41" s="1989">
        <v>-373345</v>
      </c>
      <c r="Q41" s="1989">
        <v>-2865</v>
      </c>
      <c r="R41" s="1989">
        <v>0</v>
      </c>
      <c r="S41" s="1989">
        <v>0</v>
      </c>
      <c r="T41" s="1989">
        <v>-551025</v>
      </c>
      <c r="U41" s="1989">
        <v>-551025</v>
      </c>
      <c r="V41" s="1989">
        <v>0</v>
      </c>
      <c r="W41" s="1989">
        <v>0</v>
      </c>
      <c r="X41" s="1989">
        <v>-161090</v>
      </c>
      <c r="Y41" s="1989">
        <v>-30953</v>
      </c>
      <c r="Z41" s="1989">
        <v>228237167</v>
      </c>
      <c r="AA41" s="1989">
        <v>-864673</v>
      </c>
      <c r="AB41" s="1990"/>
      <c r="AC41" s="1989">
        <v>923</v>
      </c>
      <c r="AD41" s="1989">
        <v>27</v>
      </c>
      <c r="AE41" s="1989">
        <v>0</v>
      </c>
      <c r="AF41" s="1989">
        <v>18</v>
      </c>
      <c r="AG41" s="1989">
        <v>3650</v>
      </c>
      <c r="AH41" s="1989">
        <v>77</v>
      </c>
      <c r="AI41" s="1989">
        <v>37</v>
      </c>
      <c r="AJ41" s="1989">
        <v>13</v>
      </c>
      <c r="AK41" s="1989">
        <v>0</v>
      </c>
      <c r="AL41" s="1989">
        <v>0</v>
      </c>
      <c r="AM41" s="1989">
        <v>49</v>
      </c>
      <c r="AN41" s="1989">
        <v>45</v>
      </c>
      <c r="AO41" s="1989">
        <v>6787</v>
      </c>
      <c r="AP41" s="1989">
        <v>4998</v>
      </c>
      <c r="AQ41" s="1989">
        <v>2958</v>
      </c>
      <c r="AR41" s="1989">
        <v>2040</v>
      </c>
      <c r="AS41" s="1989">
        <v>3886</v>
      </c>
      <c r="AT41" s="1988">
        <v>15870</v>
      </c>
      <c r="AU41" s="1991"/>
      <c r="AV41" s="1991"/>
      <c r="AX41" s="1992"/>
      <c r="AY41" s="1992"/>
      <c r="AZ41" s="1992"/>
      <c r="BA41" s="1992"/>
      <c r="BB41" s="1992"/>
      <c r="BD41" s="1992"/>
      <c r="BE41" s="1992"/>
      <c r="BG41" s="1992"/>
      <c r="BI41" s="1992"/>
      <c r="BJ41" s="1992"/>
      <c r="BK41" s="1992"/>
    </row>
    <row r="42" spans="1:63" ht="12.75" x14ac:dyDescent="0.2">
      <c r="A42" s="1984">
        <v>35</v>
      </c>
      <c r="B42" s="1995" t="s">
        <v>910</v>
      </c>
      <c r="C42" s="1994" t="s">
        <v>911</v>
      </c>
      <c r="D42" s="1987">
        <v>139831</v>
      </c>
      <c r="E42" s="1988">
        <v>77067000</v>
      </c>
      <c r="F42" s="1989">
        <v>35507435</v>
      </c>
      <c r="G42" s="1989">
        <v>-2708615</v>
      </c>
      <c r="H42" s="1989">
        <v>782948</v>
      </c>
      <c r="I42" s="1989">
        <v>-1925667</v>
      </c>
      <c r="J42" s="1989">
        <v>-1454280</v>
      </c>
      <c r="K42" s="1989">
        <v>-37384</v>
      </c>
      <c r="L42" s="1989">
        <v>-55672</v>
      </c>
      <c r="M42" s="1989">
        <v>-5000</v>
      </c>
      <c r="N42" s="1989">
        <v>-924910</v>
      </c>
      <c r="O42" s="1989">
        <v>-19999</v>
      </c>
      <c r="P42" s="1989">
        <v>-58706</v>
      </c>
      <c r="Q42" s="1989">
        <v>0</v>
      </c>
      <c r="R42" s="1989">
        <v>-54293</v>
      </c>
      <c r="S42" s="1989">
        <v>-10406</v>
      </c>
      <c r="T42" s="1989">
        <v>-15800</v>
      </c>
      <c r="U42" s="1989">
        <v>0</v>
      </c>
      <c r="V42" s="1989">
        <v>0</v>
      </c>
      <c r="W42" s="1989">
        <v>-2883</v>
      </c>
      <c r="X42" s="1989">
        <v>-2000</v>
      </c>
      <c r="Y42" s="1989">
        <v>-3490</v>
      </c>
      <c r="Z42" s="1989">
        <v>30762428</v>
      </c>
      <c r="AA42" s="1989">
        <v>-445044</v>
      </c>
      <c r="AB42" s="1990"/>
      <c r="AC42" s="1989">
        <v>178</v>
      </c>
      <c r="AD42" s="1989">
        <v>15</v>
      </c>
      <c r="AE42" s="1989">
        <v>41</v>
      </c>
      <c r="AF42" s="1989">
        <v>0</v>
      </c>
      <c r="AG42" s="1989">
        <v>106</v>
      </c>
      <c r="AH42" s="1989">
        <v>27</v>
      </c>
      <c r="AI42" s="1989">
        <v>14</v>
      </c>
      <c r="AJ42" s="1989">
        <v>0</v>
      </c>
      <c r="AK42" s="1989">
        <v>41</v>
      </c>
      <c r="AL42" s="1989">
        <v>4</v>
      </c>
      <c r="AM42" s="1989">
        <v>0</v>
      </c>
      <c r="AN42" s="1989">
        <v>260</v>
      </c>
      <c r="AO42" s="1989">
        <v>980</v>
      </c>
      <c r="AP42" s="1989">
        <v>1621</v>
      </c>
      <c r="AQ42" s="1989">
        <v>1224</v>
      </c>
      <c r="AR42" s="1989">
        <v>397</v>
      </c>
      <c r="AS42" s="1989">
        <v>838</v>
      </c>
      <c r="AT42" s="1988">
        <v>3550</v>
      </c>
      <c r="AU42" s="1991"/>
      <c r="AV42" s="1991"/>
      <c r="AX42" s="1992"/>
      <c r="AY42" s="1992"/>
      <c r="AZ42" s="1992"/>
      <c r="BA42" s="1992"/>
      <c r="BB42" s="1992"/>
      <c r="BD42" s="1992"/>
      <c r="BE42" s="1992"/>
      <c r="BG42" s="1992"/>
      <c r="BI42" s="1992"/>
      <c r="BJ42" s="1992"/>
      <c r="BK42" s="1992"/>
    </row>
    <row r="43" spans="1:63" ht="12.75" x14ac:dyDescent="0.2">
      <c r="A43" s="1984">
        <v>36</v>
      </c>
      <c r="B43" s="1995" t="s">
        <v>912</v>
      </c>
      <c r="C43" s="1994" t="s">
        <v>913</v>
      </c>
      <c r="D43" s="1987">
        <v>336429</v>
      </c>
      <c r="E43" s="1988">
        <v>247090000</v>
      </c>
      <c r="F43" s="1989">
        <v>102204872</v>
      </c>
      <c r="G43" s="1989">
        <v>-4497665</v>
      </c>
      <c r="H43" s="1989">
        <v>2211809</v>
      </c>
      <c r="I43" s="1989">
        <v>-2285856</v>
      </c>
      <c r="J43" s="1989">
        <v>-8554847</v>
      </c>
      <c r="K43" s="1989">
        <v>-178634</v>
      </c>
      <c r="L43" s="1989">
        <v>0</v>
      </c>
      <c r="M43" s="1989">
        <v>0</v>
      </c>
      <c r="N43" s="1989">
        <v>-2930463</v>
      </c>
      <c r="O43" s="1989">
        <v>-210189</v>
      </c>
      <c r="P43" s="1989">
        <v>-291809</v>
      </c>
      <c r="Q43" s="1989">
        <v>-44658</v>
      </c>
      <c r="R43" s="1989">
        <v>0</v>
      </c>
      <c r="S43" s="1989">
        <v>0</v>
      </c>
      <c r="T43" s="1989">
        <v>0</v>
      </c>
      <c r="U43" s="1989">
        <v>0</v>
      </c>
      <c r="V43" s="1989">
        <v>0</v>
      </c>
      <c r="W43" s="1989">
        <v>0</v>
      </c>
      <c r="X43" s="1989">
        <v>-24849</v>
      </c>
      <c r="Y43" s="1989">
        <v>-17268</v>
      </c>
      <c r="Z43" s="1989">
        <v>87666299</v>
      </c>
      <c r="AA43" s="1989">
        <v>-2946991</v>
      </c>
      <c r="AB43" s="1990"/>
      <c r="AC43" s="1989">
        <v>369</v>
      </c>
      <c r="AD43" s="1989">
        <v>28</v>
      </c>
      <c r="AE43" s="1989">
        <v>0</v>
      </c>
      <c r="AF43" s="1989">
        <v>0</v>
      </c>
      <c r="AG43" s="1989">
        <v>319</v>
      </c>
      <c r="AH43" s="1989">
        <v>36</v>
      </c>
      <c r="AI43" s="1989">
        <v>32</v>
      </c>
      <c r="AJ43" s="1989">
        <v>30</v>
      </c>
      <c r="AK43" s="1989">
        <v>0</v>
      </c>
      <c r="AL43" s="1989">
        <v>0</v>
      </c>
      <c r="AM43" s="1989">
        <v>0</v>
      </c>
      <c r="AN43" s="1989">
        <v>0</v>
      </c>
      <c r="AO43" s="1989">
        <v>2313</v>
      </c>
      <c r="AP43" s="1989">
        <v>2173</v>
      </c>
      <c r="AQ43" s="1989">
        <v>1114</v>
      </c>
      <c r="AR43" s="1989">
        <v>1059</v>
      </c>
      <c r="AS43" s="1989">
        <v>2796</v>
      </c>
      <c r="AT43" s="1988">
        <v>7270</v>
      </c>
      <c r="AU43" s="1991"/>
      <c r="AV43" s="1991"/>
      <c r="AX43" s="1992"/>
      <c r="AY43" s="1992"/>
      <c r="AZ43" s="1992"/>
      <c r="BA43" s="1992"/>
      <c r="BB43" s="1992"/>
      <c r="BD43" s="1992"/>
      <c r="BE43" s="1992"/>
      <c r="BG43" s="1992"/>
      <c r="BI43" s="1992"/>
      <c r="BJ43" s="1992"/>
      <c r="BK43" s="1992"/>
    </row>
    <row r="44" spans="1:63" ht="12.75" x14ac:dyDescent="0.2">
      <c r="A44" s="1984">
        <v>37</v>
      </c>
      <c r="B44" s="1995" t="s">
        <v>914</v>
      </c>
      <c r="C44" s="1994" t="s">
        <v>915</v>
      </c>
      <c r="D44" s="1987">
        <v>119076</v>
      </c>
      <c r="E44" s="1988">
        <v>64855000</v>
      </c>
      <c r="F44" s="1989">
        <v>33434450</v>
      </c>
      <c r="G44" s="1989">
        <v>-2352700</v>
      </c>
      <c r="H44" s="1989">
        <v>731626</v>
      </c>
      <c r="I44" s="1989">
        <v>-1621074</v>
      </c>
      <c r="J44" s="1989">
        <v>-2158282</v>
      </c>
      <c r="K44" s="1989">
        <v>-2565</v>
      </c>
      <c r="L44" s="1989">
        <v>-1649</v>
      </c>
      <c r="M44" s="1989">
        <v>-25000</v>
      </c>
      <c r="N44" s="1989">
        <v>-905264</v>
      </c>
      <c r="O44" s="1989">
        <v>-35213</v>
      </c>
      <c r="P44" s="1989">
        <v>-69220</v>
      </c>
      <c r="Q44" s="1989">
        <v>-259</v>
      </c>
      <c r="R44" s="1989">
        <v>-1015</v>
      </c>
      <c r="S44" s="1989">
        <v>0</v>
      </c>
      <c r="T44" s="1989">
        <v>0</v>
      </c>
      <c r="U44" s="1989">
        <v>0</v>
      </c>
      <c r="V44" s="1989">
        <v>0</v>
      </c>
      <c r="W44" s="1989">
        <v>-25815</v>
      </c>
      <c r="X44" s="1989">
        <v>-14655</v>
      </c>
      <c r="Y44" s="1989">
        <v>-728</v>
      </c>
      <c r="Z44" s="1989">
        <v>28573711</v>
      </c>
      <c r="AA44" s="1989">
        <v>-196000</v>
      </c>
      <c r="AB44" s="1990"/>
      <c r="AC44" s="1989">
        <v>104</v>
      </c>
      <c r="AD44" s="1989">
        <v>2</v>
      </c>
      <c r="AE44" s="1989">
        <v>0</v>
      </c>
      <c r="AF44" s="1989">
        <v>183</v>
      </c>
      <c r="AG44" s="1989">
        <v>3</v>
      </c>
      <c r="AH44" s="1989">
        <v>40</v>
      </c>
      <c r="AI44" s="1989">
        <v>17</v>
      </c>
      <c r="AJ44" s="1989">
        <v>1</v>
      </c>
      <c r="AK44" s="1989">
        <v>0</v>
      </c>
      <c r="AL44" s="1989">
        <v>2</v>
      </c>
      <c r="AM44" s="1989">
        <v>0</v>
      </c>
      <c r="AN44" s="1989">
        <v>0</v>
      </c>
      <c r="AO44" s="1989">
        <v>1089</v>
      </c>
      <c r="AP44" s="1989">
        <v>1083</v>
      </c>
      <c r="AQ44" s="1989">
        <v>693</v>
      </c>
      <c r="AR44" s="1989">
        <v>390</v>
      </c>
      <c r="AS44" s="1989">
        <v>844</v>
      </c>
      <c r="AT44" s="1988">
        <v>3030</v>
      </c>
      <c r="AU44" s="1991"/>
      <c r="AV44" s="1991"/>
      <c r="AX44" s="1992"/>
      <c r="AY44" s="1992"/>
      <c r="AZ44" s="1992"/>
      <c r="BA44" s="1992"/>
      <c r="BB44" s="1992"/>
      <c r="BD44" s="1992"/>
      <c r="BE44" s="1992"/>
      <c r="BG44" s="1992"/>
      <c r="BI44" s="1992"/>
      <c r="BJ44" s="1992"/>
      <c r="BK44" s="1992"/>
    </row>
    <row r="45" spans="1:63" ht="12.75" x14ac:dyDescent="0.2">
      <c r="A45" s="1984">
        <v>38</v>
      </c>
      <c r="B45" s="1995" t="s">
        <v>916</v>
      </c>
      <c r="C45" s="1994" t="s">
        <v>917</v>
      </c>
      <c r="D45" s="1987">
        <v>111335</v>
      </c>
      <c r="E45" s="1988">
        <v>94041000</v>
      </c>
      <c r="F45" s="1989">
        <v>46265935</v>
      </c>
      <c r="G45" s="1989">
        <v>-1480451</v>
      </c>
      <c r="H45" s="1989">
        <v>1242680</v>
      </c>
      <c r="I45" s="1989">
        <v>-237771</v>
      </c>
      <c r="J45" s="1989">
        <v>-2102663</v>
      </c>
      <c r="K45" s="1989">
        <v>-75214</v>
      </c>
      <c r="L45" s="1989">
        <v>0</v>
      </c>
      <c r="M45" s="1989">
        <v>-86493</v>
      </c>
      <c r="N45" s="1989">
        <v>-486577</v>
      </c>
      <c r="O45" s="1989">
        <v>-97921</v>
      </c>
      <c r="P45" s="1989">
        <v>-8853</v>
      </c>
      <c r="Q45" s="1989">
        <v>0</v>
      </c>
      <c r="R45" s="1989">
        <v>0</v>
      </c>
      <c r="S45" s="1989">
        <v>0</v>
      </c>
      <c r="T45" s="1989">
        <v>-6120</v>
      </c>
      <c r="U45" s="1989">
        <v>0</v>
      </c>
      <c r="V45" s="1989">
        <v>0</v>
      </c>
      <c r="W45" s="1989">
        <v>0</v>
      </c>
      <c r="X45" s="1989">
        <v>0</v>
      </c>
      <c r="Y45" s="1989">
        <v>0</v>
      </c>
      <c r="Z45" s="1989">
        <v>43164323</v>
      </c>
      <c r="AA45" s="1989">
        <v>-300000</v>
      </c>
      <c r="AB45" s="1990"/>
      <c r="AC45" s="1989">
        <v>90</v>
      </c>
      <c r="AD45" s="1989">
        <v>4</v>
      </c>
      <c r="AE45" s="1989">
        <v>0</v>
      </c>
      <c r="AF45" s="1989">
        <v>1</v>
      </c>
      <c r="AG45" s="1989">
        <v>202</v>
      </c>
      <c r="AH45" s="1989">
        <v>5</v>
      </c>
      <c r="AI45" s="1989">
        <v>1</v>
      </c>
      <c r="AJ45" s="1989">
        <v>0</v>
      </c>
      <c r="AK45" s="1989">
        <v>0</v>
      </c>
      <c r="AL45" s="1989">
        <v>0</v>
      </c>
      <c r="AM45" s="1989">
        <v>0</v>
      </c>
      <c r="AN45" s="1989">
        <v>5</v>
      </c>
      <c r="AO45" s="1989">
        <v>880</v>
      </c>
      <c r="AP45" s="1989">
        <v>712</v>
      </c>
      <c r="AQ45" s="1989">
        <v>324</v>
      </c>
      <c r="AR45" s="1989">
        <v>388</v>
      </c>
      <c r="AS45" s="1989">
        <v>331</v>
      </c>
      <c r="AT45" s="1988">
        <v>2280</v>
      </c>
      <c r="AU45" s="1991"/>
      <c r="AV45" s="1991"/>
      <c r="AX45" s="1992"/>
      <c r="AY45" s="1992"/>
      <c r="AZ45" s="1992"/>
      <c r="BA45" s="1992"/>
      <c r="BB45" s="1992"/>
      <c r="BD45" s="1992"/>
      <c r="BE45" s="1992"/>
      <c r="BG45" s="1992"/>
      <c r="BI45" s="1992"/>
      <c r="BJ45" s="1992"/>
      <c r="BK45" s="1992"/>
    </row>
    <row r="46" spans="1:63" ht="12.75" x14ac:dyDescent="0.2">
      <c r="A46" s="1984">
        <v>39</v>
      </c>
      <c r="B46" s="1995" t="s">
        <v>918</v>
      </c>
      <c r="C46" s="1994" t="s">
        <v>919</v>
      </c>
      <c r="D46" s="1987">
        <v>106254</v>
      </c>
      <c r="E46" s="1988">
        <v>66293000</v>
      </c>
      <c r="F46" s="1989">
        <v>29398051</v>
      </c>
      <c r="G46" s="1989">
        <v>-1708021</v>
      </c>
      <c r="H46" s="1989">
        <v>658246</v>
      </c>
      <c r="I46" s="1989">
        <v>-1049775</v>
      </c>
      <c r="J46" s="1989">
        <v>-1131089</v>
      </c>
      <c r="K46" s="1989">
        <v>0</v>
      </c>
      <c r="L46" s="1989">
        <v>-2188</v>
      </c>
      <c r="M46" s="1989">
        <v>0</v>
      </c>
      <c r="N46" s="1989">
        <v>-600037</v>
      </c>
      <c r="O46" s="1989">
        <v>-41978</v>
      </c>
      <c r="P46" s="1989">
        <v>-63881</v>
      </c>
      <c r="Q46" s="1989">
        <v>0</v>
      </c>
      <c r="R46" s="1989">
        <v>-2188</v>
      </c>
      <c r="S46" s="1989">
        <v>0</v>
      </c>
      <c r="T46" s="1989">
        <v>0</v>
      </c>
      <c r="U46" s="1989">
        <v>0</v>
      </c>
      <c r="V46" s="1989">
        <v>0</v>
      </c>
      <c r="W46" s="1989">
        <v>0</v>
      </c>
      <c r="X46" s="1989">
        <v>0</v>
      </c>
      <c r="Y46" s="1989">
        <v>0</v>
      </c>
      <c r="Z46" s="1989">
        <v>26506915</v>
      </c>
      <c r="AA46" s="1989">
        <v>-275000</v>
      </c>
      <c r="AB46" s="1990"/>
      <c r="AC46" s="1989">
        <v>113</v>
      </c>
      <c r="AD46" s="1989">
        <v>0</v>
      </c>
      <c r="AE46" s="1989">
        <v>4</v>
      </c>
      <c r="AF46" s="1989">
        <v>0</v>
      </c>
      <c r="AG46" s="1989">
        <v>198</v>
      </c>
      <c r="AH46" s="1989">
        <v>55</v>
      </c>
      <c r="AI46" s="1989">
        <v>19</v>
      </c>
      <c r="AJ46" s="1989">
        <v>0</v>
      </c>
      <c r="AK46" s="1989">
        <v>4</v>
      </c>
      <c r="AL46" s="1989">
        <v>0</v>
      </c>
      <c r="AM46" s="1989">
        <v>0</v>
      </c>
      <c r="AN46" s="1989">
        <v>0</v>
      </c>
      <c r="AO46" s="1989">
        <v>840</v>
      </c>
      <c r="AP46" s="1989">
        <v>993</v>
      </c>
      <c r="AQ46" s="1989">
        <v>780</v>
      </c>
      <c r="AR46" s="1989">
        <v>213</v>
      </c>
      <c r="AS46" s="1989">
        <v>726</v>
      </c>
      <c r="AT46" s="1988">
        <v>2590</v>
      </c>
      <c r="AU46" s="1991"/>
      <c r="AV46" s="1991"/>
      <c r="AX46" s="1992"/>
      <c r="AY46" s="1992"/>
      <c r="AZ46" s="1992"/>
      <c r="BA46" s="1992"/>
      <c r="BB46" s="1992"/>
      <c r="BD46" s="1992"/>
      <c r="BE46" s="1992"/>
      <c r="BG46" s="1992"/>
      <c r="BI46" s="1992"/>
      <c r="BJ46" s="1992"/>
      <c r="BK46" s="1992"/>
    </row>
    <row r="47" spans="1:63" ht="12.75" x14ac:dyDescent="0.2">
      <c r="A47" s="1984">
        <v>40</v>
      </c>
      <c r="B47" s="1995" t="s">
        <v>920</v>
      </c>
      <c r="C47" s="1994" t="s">
        <v>921</v>
      </c>
      <c r="D47" s="1987">
        <v>148995</v>
      </c>
      <c r="E47" s="1988">
        <v>71222000</v>
      </c>
      <c r="F47" s="1989">
        <v>36198592</v>
      </c>
      <c r="G47" s="1989">
        <v>-2818063</v>
      </c>
      <c r="H47" s="1989">
        <v>788077</v>
      </c>
      <c r="I47" s="1989">
        <v>-2029986</v>
      </c>
      <c r="J47" s="1989">
        <v>-2250000</v>
      </c>
      <c r="K47" s="1989">
        <v>-27872</v>
      </c>
      <c r="L47" s="1989">
        <v>-4000</v>
      </c>
      <c r="M47" s="1989">
        <v>-50000</v>
      </c>
      <c r="N47" s="1989">
        <v>-1313657</v>
      </c>
      <c r="O47" s="1989">
        <v>-85000</v>
      </c>
      <c r="P47" s="1989">
        <v>-90000</v>
      </c>
      <c r="Q47" s="1989">
        <v>0</v>
      </c>
      <c r="R47" s="1989">
        <v>0</v>
      </c>
      <c r="S47" s="1989">
        <v>0</v>
      </c>
      <c r="T47" s="1989">
        <v>-325000</v>
      </c>
      <c r="U47" s="1989">
        <v>0</v>
      </c>
      <c r="V47" s="1989">
        <v>0</v>
      </c>
      <c r="W47" s="1989">
        <v>-25000</v>
      </c>
      <c r="X47" s="1989">
        <v>-25000</v>
      </c>
      <c r="Y47" s="1989">
        <v>-25000</v>
      </c>
      <c r="Z47" s="1989">
        <v>29948077</v>
      </c>
      <c r="AA47" s="1989">
        <v>-1112405</v>
      </c>
      <c r="AB47" s="1990"/>
      <c r="AC47" s="1989">
        <v>146</v>
      </c>
      <c r="AD47" s="1989">
        <v>3</v>
      </c>
      <c r="AE47" s="1989">
        <v>3</v>
      </c>
      <c r="AF47" s="1989">
        <v>0</v>
      </c>
      <c r="AG47" s="1989">
        <v>608</v>
      </c>
      <c r="AH47" s="1989">
        <v>46</v>
      </c>
      <c r="AI47" s="1989">
        <v>29</v>
      </c>
      <c r="AJ47" s="1989">
        <v>3</v>
      </c>
      <c r="AK47" s="1989">
        <v>0</v>
      </c>
      <c r="AL47" s="1989">
        <v>0</v>
      </c>
      <c r="AM47" s="1989">
        <v>0</v>
      </c>
      <c r="AN47" s="1989">
        <v>3</v>
      </c>
      <c r="AO47" s="1989">
        <v>1345</v>
      </c>
      <c r="AP47" s="1989">
        <v>1642</v>
      </c>
      <c r="AQ47" s="1989">
        <v>1272</v>
      </c>
      <c r="AR47" s="1989">
        <v>370</v>
      </c>
      <c r="AS47" s="1989">
        <v>885</v>
      </c>
      <c r="AT47" s="1988">
        <v>3880</v>
      </c>
      <c r="AU47" s="1991"/>
      <c r="AV47" s="1991"/>
      <c r="AX47" s="1992"/>
      <c r="AY47" s="1992"/>
      <c r="AZ47" s="1992"/>
      <c r="BA47" s="1992"/>
      <c r="BB47" s="1992"/>
      <c r="BD47" s="1992"/>
      <c r="BE47" s="1992"/>
      <c r="BG47" s="1992"/>
      <c r="BI47" s="1992"/>
      <c r="BJ47" s="1992"/>
      <c r="BK47" s="1992"/>
    </row>
    <row r="48" spans="1:63" ht="12.75" x14ac:dyDescent="0.2">
      <c r="A48" s="1984">
        <v>41</v>
      </c>
      <c r="B48" s="1995" t="s">
        <v>922</v>
      </c>
      <c r="C48" s="1994" t="s">
        <v>923</v>
      </c>
      <c r="D48" s="1987">
        <v>238334</v>
      </c>
      <c r="E48" s="1988">
        <v>129201000</v>
      </c>
      <c r="F48" s="1989">
        <v>62199029</v>
      </c>
      <c r="G48" s="1989">
        <v>-4909755</v>
      </c>
      <c r="H48" s="1989">
        <v>1351881</v>
      </c>
      <c r="I48" s="1989">
        <v>-3557874</v>
      </c>
      <c r="J48" s="1989">
        <v>-2273101</v>
      </c>
      <c r="K48" s="1989">
        <v>-108849</v>
      </c>
      <c r="L48" s="1989">
        <v>-1566</v>
      </c>
      <c r="M48" s="1989">
        <v>0</v>
      </c>
      <c r="N48" s="1989">
        <v>-1065703</v>
      </c>
      <c r="O48" s="1989">
        <v>-292153</v>
      </c>
      <c r="P48" s="1989">
        <v>-98426</v>
      </c>
      <c r="Q48" s="1989">
        <v>-27212</v>
      </c>
      <c r="R48" s="1989">
        <v>-1566</v>
      </c>
      <c r="S48" s="1989">
        <v>0</v>
      </c>
      <c r="T48" s="1989">
        <v>0</v>
      </c>
      <c r="U48" s="1989">
        <v>0</v>
      </c>
      <c r="V48" s="1989">
        <v>0</v>
      </c>
      <c r="W48" s="1989">
        <v>0</v>
      </c>
      <c r="X48" s="1989">
        <v>-2696</v>
      </c>
      <c r="Y48" s="1989">
        <v>-10933</v>
      </c>
      <c r="Z48" s="1989">
        <v>54758950</v>
      </c>
      <c r="AA48" s="1989">
        <v>-2725740</v>
      </c>
      <c r="AB48" s="1990"/>
      <c r="AC48" s="1989">
        <v>186</v>
      </c>
      <c r="AD48" s="1989">
        <v>12</v>
      </c>
      <c r="AE48" s="1989">
        <v>1</v>
      </c>
      <c r="AF48" s="1989">
        <v>0</v>
      </c>
      <c r="AG48" s="1989">
        <v>421</v>
      </c>
      <c r="AH48" s="1989">
        <v>115</v>
      </c>
      <c r="AI48" s="1989">
        <v>39</v>
      </c>
      <c r="AJ48" s="1989">
        <v>11</v>
      </c>
      <c r="AK48" s="1989">
        <v>1</v>
      </c>
      <c r="AL48" s="1989">
        <v>0</v>
      </c>
      <c r="AM48" s="1989">
        <v>0</v>
      </c>
      <c r="AN48" s="1989">
        <v>0</v>
      </c>
      <c r="AO48" s="1989">
        <v>1857</v>
      </c>
      <c r="AP48" s="1989">
        <v>2318</v>
      </c>
      <c r="AQ48" s="1989">
        <v>1481</v>
      </c>
      <c r="AR48" s="1989">
        <v>837</v>
      </c>
      <c r="AS48" s="1989">
        <v>1579</v>
      </c>
      <c r="AT48" s="1988">
        <v>5950</v>
      </c>
      <c r="AU48" s="1991"/>
      <c r="AV48" s="1991"/>
      <c r="AX48" s="1992"/>
      <c r="AY48" s="1992"/>
      <c r="AZ48" s="1992"/>
      <c r="BA48" s="1992"/>
      <c r="BB48" s="1992"/>
      <c r="BD48" s="1992"/>
      <c r="BE48" s="1992"/>
      <c r="BG48" s="1992"/>
      <c r="BI48" s="1992"/>
      <c r="BJ48" s="1992"/>
      <c r="BK48" s="1992"/>
    </row>
    <row r="49" spans="1:63" ht="12.75" x14ac:dyDescent="0.2">
      <c r="A49" s="1984">
        <v>42</v>
      </c>
      <c r="B49" s="1995" t="s">
        <v>924</v>
      </c>
      <c r="C49" s="1994" t="s">
        <v>925</v>
      </c>
      <c r="D49" s="1987">
        <v>349888</v>
      </c>
      <c r="E49" s="1988">
        <v>157569000</v>
      </c>
      <c r="F49" s="1989">
        <v>76799575</v>
      </c>
      <c r="G49" s="1989">
        <v>-6873366</v>
      </c>
      <c r="H49" s="1989">
        <v>1626426</v>
      </c>
      <c r="I49" s="1989">
        <v>-5246940</v>
      </c>
      <c r="J49" s="1989">
        <v>-3860915</v>
      </c>
      <c r="K49" s="1989">
        <v>-183297</v>
      </c>
      <c r="L49" s="1989">
        <v>-9709</v>
      </c>
      <c r="M49" s="1989">
        <v>-23493</v>
      </c>
      <c r="N49" s="1989">
        <v>-2896086</v>
      </c>
      <c r="O49" s="1989">
        <v>-196959</v>
      </c>
      <c r="P49" s="1989">
        <v>-251721</v>
      </c>
      <c r="Q49" s="1989">
        <v>0</v>
      </c>
      <c r="R49" s="1989">
        <v>-2187</v>
      </c>
      <c r="S49" s="1989">
        <v>0</v>
      </c>
      <c r="T49" s="1989">
        <v>-50000</v>
      </c>
      <c r="U49" s="1989">
        <v>0</v>
      </c>
      <c r="V49" s="1989">
        <v>0</v>
      </c>
      <c r="W49" s="1989">
        <v>0</v>
      </c>
      <c r="X49" s="1989">
        <v>0</v>
      </c>
      <c r="Y49" s="1989">
        <v>-13000</v>
      </c>
      <c r="Z49" s="1989">
        <v>63240645</v>
      </c>
      <c r="AA49" s="1989">
        <v>-1240367</v>
      </c>
      <c r="AB49" s="1990"/>
      <c r="AC49" s="1989">
        <v>365</v>
      </c>
      <c r="AD49" s="1989">
        <v>32</v>
      </c>
      <c r="AE49" s="1989">
        <v>11</v>
      </c>
      <c r="AF49" s="1989">
        <v>0</v>
      </c>
      <c r="AG49" s="1989">
        <v>880</v>
      </c>
      <c r="AH49" s="1989">
        <v>157</v>
      </c>
      <c r="AI49" s="1989">
        <v>82</v>
      </c>
      <c r="AJ49" s="1989">
        <v>0</v>
      </c>
      <c r="AK49" s="1989">
        <v>1</v>
      </c>
      <c r="AL49" s="1989">
        <v>0</v>
      </c>
      <c r="AM49" s="1989">
        <v>0</v>
      </c>
      <c r="AN49" s="1989">
        <v>0</v>
      </c>
      <c r="AO49" s="1989">
        <v>3047</v>
      </c>
      <c r="AP49" s="1989">
        <v>3928</v>
      </c>
      <c r="AQ49" s="1989">
        <v>2906</v>
      </c>
      <c r="AR49" s="1989">
        <v>1022</v>
      </c>
      <c r="AS49" s="1989">
        <v>2083</v>
      </c>
      <c r="AT49" s="1988">
        <v>9140</v>
      </c>
      <c r="AU49" s="1991"/>
      <c r="AV49" s="1991"/>
      <c r="AX49" s="1992"/>
      <c r="AY49" s="1992"/>
      <c r="AZ49" s="1992"/>
      <c r="BA49" s="1992"/>
      <c r="BB49" s="1992"/>
      <c r="BD49" s="1992"/>
      <c r="BE49" s="1992"/>
      <c r="BG49" s="1992"/>
      <c r="BI49" s="1992"/>
      <c r="BJ49" s="1992"/>
      <c r="BK49" s="1992"/>
    </row>
    <row r="50" spans="1:63" ht="12.75" x14ac:dyDescent="0.2">
      <c r="A50" s="1984">
        <v>43</v>
      </c>
      <c r="B50" s="1995" t="s">
        <v>926</v>
      </c>
      <c r="C50" s="1994" t="s">
        <v>927</v>
      </c>
      <c r="D50" s="1987">
        <v>226244</v>
      </c>
      <c r="E50" s="1988">
        <v>290247000</v>
      </c>
      <c r="F50" s="1989">
        <v>124976781</v>
      </c>
      <c r="G50" s="1989">
        <v>-1427058</v>
      </c>
      <c r="H50" s="1989">
        <v>3168877</v>
      </c>
      <c r="I50" s="1989">
        <v>1741819</v>
      </c>
      <c r="J50" s="1989">
        <v>-22264793</v>
      </c>
      <c r="K50" s="1989">
        <v>-15188</v>
      </c>
      <c r="L50" s="1989">
        <v>0</v>
      </c>
      <c r="M50" s="1989">
        <v>-50000</v>
      </c>
      <c r="N50" s="1989">
        <v>-1122838</v>
      </c>
      <c r="O50" s="1989">
        <v>-127373</v>
      </c>
      <c r="P50" s="1989">
        <v>-3319</v>
      </c>
      <c r="Q50" s="1989">
        <v>0</v>
      </c>
      <c r="R50" s="1989">
        <v>0</v>
      </c>
      <c r="S50" s="1989">
        <v>0</v>
      </c>
      <c r="T50" s="1989">
        <v>0</v>
      </c>
      <c r="U50" s="1989">
        <v>0</v>
      </c>
      <c r="V50" s="1989">
        <v>0</v>
      </c>
      <c r="W50" s="1989">
        <v>-50000</v>
      </c>
      <c r="X50" s="1989">
        <v>-100000</v>
      </c>
      <c r="Y50" s="1989">
        <v>-25655</v>
      </c>
      <c r="Z50" s="1989">
        <v>102959434</v>
      </c>
      <c r="AA50" s="1989">
        <v>-2300000</v>
      </c>
      <c r="AB50" s="1990"/>
      <c r="AC50" s="1989">
        <v>454</v>
      </c>
      <c r="AD50" s="1989">
        <v>4</v>
      </c>
      <c r="AE50" s="1989">
        <v>0</v>
      </c>
      <c r="AF50" s="1989">
        <v>1</v>
      </c>
      <c r="AG50" s="1989">
        <v>285</v>
      </c>
      <c r="AH50" s="1989">
        <v>55</v>
      </c>
      <c r="AI50" s="1989">
        <v>3</v>
      </c>
      <c r="AJ50" s="1989">
        <v>0</v>
      </c>
      <c r="AK50" s="1989">
        <v>0</v>
      </c>
      <c r="AL50" s="1989">
        <v>0</v>
      </c>
      <c r="AM50" s="1989">
        <v>0</v>
      </c>
      <c r="AN50" s="1989">
        <v>0</v>
      </c>
      <c r="AO50" s="1989">
        <v>2353</v>
      </c>
      <c r="AP50" s="1989">
        <v>744</v>
      </c>
      <c r="AQ50" s="1989">
        <v>321</v>
      </c>
      <c r="AR50" s="1989">
        <v>423</v>
      </c>
      <c r="AS50" s="1989">
        <v>936</v>
      </c>
      <c r="AT50" s="1988">
        <v>4040</v>
      </c>
      <c r="AU50" s="1991"/>
      <c r="AV50" s="1991"/>
      <c r="AX50" s="1992"/>
      <c r="AY50" s="1992"/>
      <c r="AZ50" s="1992"/>
      <c r="BA50" s="1992"/>
      <c r="BB50" s="1992"/>
      <c r="BD50" s="1992"/>
      <c r="BE50" s="1992"/>
      <c r="BG50" s="1992"/>
      <c r="BI50" s="1992"/>
      <c r="BJ50" s="1992"/>
      <c r="BK50" s="1992"/>
    </row>
    <row r="51" spans="1:63" ht="12.75" x14ac:dyDescent="0.2">
      <c r="A51" s="1984">
        <v>44</v>
      </c>
      <c r="B51" s="1995" t="s">
        <v>928</v>
      </c>
      <c r="C51" s="1994" t="s">
        <v>929</v>
      </c>
      <c r="D51" s="1987">
        <v>1258806</v>
      </c>
      <c r="E51" s="1988">
        <v>1603521000</v>
      </c>
      <c r="F51" s="1989">
        <v>601220341</v>
      </c>
      <c r="G51" s="1989">
        <v>-2987116</v>
      </c>
      <c r="H51" s="1989">
        <v>14983505</v>
      </c>
      <c r="I51" s="1989">
        <v>11996389</v>
      </c>
      <c r="J51" s="1989">
        <v>-58663296</v>
      </c>
      <c r="K51" s="1989">
        <v>-14214</v>
      </c>
      <c r="L51" s="1989">
        <v>0</v>
      </c>
      <c r="M51" s="1989">
        <v>-72625</v>
      </c>
      <c r="N51" s="1989">
        <v>-19453874</v>
      </c>
      <c r="O51" s="1989">
        <v>-200504</v>
      </c>
      <c r="P51" s="1989">
        <v>0</v>
      </c>
      <c r="Q51" s="1989">
        <v>0</v>
      </c>
      <c r="R51" s="1989">
        <v>0</v>
      </c>
      <c r="S51" s="1989">
        <v>0</v>
      </c>
      <c r="T51" s="1989">
        <v>0</v>
      </c>
      <c r="U51" s="1989">
        <v>0</v>
      </c>
      <c r="V51" s="1989">
        <v>0</v>
      </c>
      <c r="W51" s="1989">
        <v>0</v>
      </c>
      <c r="X51" s="1989">
        <v>0</v>
      </c>
      <c r="Y51" s="1989">
        <v>-90286</v>
      </c>
      <c r="Z51" s="1989">
        <v>534721931</v>
      </c>
      <c r="AA51" s="1989">
        <v>-8553183</v>
      </c>
      <c r="AB51" s="1990"/>
      <c r="AC51" s="1989">
        <v>862</v>
      </c>
      <c r="AD51" s="1989">
        <v>1</v>
      </c>
      <c r="AE51" s="1989">
        <v>0</v>
      </c>
      <c r="AF51" s="1989">
        <v>4</v>
      </c>
      <c r="AG51" s="1989">
        <v>1251</v>
      </c>
      <c r="AH51" s="1989">
        <v>33</v>
      </c>
      <c r="AI51" s="1989">
        <v>1</v>
      </c>
      <c r="AJ51" s="1989">
        <v>0</v>
      </c>
      <c r="AK51" s="1989">
        <v>0</v>
      </c>
      <c r="AL51" s="1989">
        <v>0</v>
      </c>
      <c r="AM51" s="1989">
        <v>0</v>
      </c>
      <c r="AN51" s="1989">
        <v>0</v>
      </c>
      <c r="AO51" s="1989">
        <v>8015</v>
      </c>
      <c r="AP51" s="1989">
        <v>1484</v>
      </c>
      <c r="AQ51" s="1989">
        <v>600</v>
      </c>
      <c r="AR51" s="1989">
        <v>884</v>
      </c>
      <c r="AS51" s="1989">
        <v>6829</v>
      </c>
      <c r="AT51" s="1988">
        <v>16930</v>
      </c>
      <c r="AU51" s="1991"/>
      <c r="AV51" s="1991"/>
      <c r="AX51" s="1992"/>
      <c r="AY51" s="1992"/>
      <c r="AZ51" s="1992"/>
      <c r="BA51" s="1992"/>
      <c r="BB51" s="1992"/>
      <c r="BD51" s="1992"/>
      <c r="BE51" s="1992"/>
      <c r="BG51" s="1992"/>
      <c r="BI51" s="1992"/>
      <c r="BJ51" s="1992"/>
      <c r="BK51" s="1992"/>
    </row>
    <row r="52" spans="1:63" ht="12.75" x14ac:dyDescent="0.2">
      <c r="A52" s="1984">
        <v>45</v>
      </c>
      <c r="B52" s="1996" t="s">
        <v>2344</v>
      </c>
      <c r="C52" s="1994" t="s">
        <v>931</v>
      </c>
      <c r="D52" s="1987">
        <v>130851</v>
      </c>
      <c r="E52" s="1988">
        <v>83539000</v>
      </c>
      <c r="F52" s="1989">
        <v>42744085</v>
      </c>
      <c r="G52" s="1989">
        <v>-2594964</v>
      </c>
      <c r="H52" s="1989">
        <v>960258</v>
      </c>
      <c r="I52" s="1989">
        <v>-1634706</v>
      </c>
      <c r="J52" s="1989">
        <v>-2130823</v>
      </c>
      <c r="K52" s="1989">
        <v>-1491</v>
      </c>
      <c r="L52" s="1989">
        <v>0</v>
      </c>
      <c r="M52" s="1989">
        <v>0</v>
      </c>
      <c r="N52" s="1989">
        <v>-750000</v>
      </c>
      <c r="O52" s="1989">
        <v>-69550</v>
      </c>
      <c r="P52" s="1989">
        <v>-10896</v>
      </c>
      <c r="Q52" s="1989">
        <v>-93</v>
      </c>
      <c r="R52" s="1989">
        <v>0</v>
      </c>
      <c r="S52" s="1989">
        <v>0</v>
      </c>
      <c r="T52" s="1989">
        <v>0</v>
      </c>
      <c r="U52" s="1989">
        <v>0</v>
      </c>
      <c r="V52" s="1989">
        <v>0</v>
      </c>
      <c r="W52" s="1989">
        <v>0</v>
      </c>
      <c r="X52" s="1989">
        <v>-26712</v>
      </c>
      <c r="Y52" s="1989">
        <v>-4052</v>
      </c>
      <c r="Z52" s="1989">
        <v>38115762</v>
      </c>
      <c r="AA52" s="1989">
        <v>-1000000</v>
      </c>
      <c r="AB52" s="1990"/>
      <c r="AC52" s="1989">
        <v>106</v>
      </c>
      <c r="AD52" s="1989">
        <v>2</v>
      </c>
      <c r="AE52" s="1989">
        <v>0</v>
      </c>
      <c r="AF52" s="1989">
        <v>0</v>
      </c>
      <c r="AG52" s="1989">
        <v>210</v>
      </c>
      <c r="AH52" s="1989">
        <v>69</v>
      </c>
      <c r="AI52" s="1989">
        <v>14</v>
      </c>
      <c r="AJ52" s="1989">
        <v>2</v>
      </c>
      <c r="AK52" s="1989">
        <v>0</v>
      </c>
      <c r="AL52" s="1989">
        <v>0</v>
      </c>
      <c r="AM52" s="1989">
        <v>0</v>
      </c>
      <c r="AN52" s="1989">
        <v>0</v>
      </c>
      <c r="AO52" s="1989">
        <v>1057</v>
      </c>
      <c r="AP52" s="1989">
        <v>1344</v>
      </c>
      <c r="AQ52" s="1989">
        <v>876</v>
      </c>
      <c r="AR52" s="1989">
        <v>468</v>
      </c>
      <c r="AS52" s="1989">
        <v>807</v>
      </c>
      <c r="AT52" s="1988">
        <v>3220</v>
      </c>
      <c r="AU52" s="1991"/>
      <c r="AV52" s="1991"/>
      <c r="AX52" s="1992"/>
      <c r="AY52" s="1992"/>
      <c r="AZ52" s="1992"/>
      <c r="BA52" s="1992"/>
      <c r="BB52" s="1992"/>
      <c r="BD52" s="1992"/>
      <c r="BE52" s="1992"/>
      <c r="BG52" s="1992"/>
      <c r="BI52" s="1992"/>
      <c r="BJ52" s="1992"/>
      <c r="BK52" s="1992"/>
    </row>
    <row r="53" spans="1:63" ht="12.75" x14ac:dyDescent="0.2">
      <c r="A53" s="1984">
        <v>46</v>
      </c>
      <c r="B53" s="1995" t="s">
        <v>932</v>
      </c>
      <c r="C53" s="1994" t="s">
        <v>933</v>
      </c>
      <c r="D53" s="1987">
        <v>228946</v>
      </c>
      <c r="E53" s="1988">
        <v>143598000</v>
      </c>
      <c r="F53" s="1989">
        <v>65903725</v>
      </c>
      <c r="G53" s="1989">
        <v>-3497555.4</v>
      </c>
      <c r="H53" s="1989">
        <v>1514886.55</v>
      </c>
      <c r="I53" s="1989">
        <v>-1982668.8499999999</v>
      </c>
      <c r="J53" s="1989">
        <v>-10704381</v>
      </c>
      <c r="K53" s="1989">
        <v>-103195.09</v>
      </c>
      <c r="L53" s="1989">
        <v>-24688.49</v>
      </c>
      <c r="M53" s="1989">
        <v>0</v>
      </c>
      <c r="N53" s="1989">
        <v>-996767.15</v>
      </c>
      <c r="O53" s="1989">
        <v>-304015.49</v>
      </c>
      <c r="P53" s="1989">
        <v>0</v>
      </c>
      <c r="Q53" s="1989">
        <v>-21445.55</v>
      </c>
      <c r="R53" s="1989">
        <v>-19622.16</v>
      </c>
      <c r="S53" s="1989">
        <v>0</v>
      </c>
      <c r="T53" s="1989">
        <v>0</v>
      </c>
      <c r="U53" s="1989">
        <v>0</v>
      </c>
      <c r="V53" s="1989">
        <v>0</v>
      </c>
      <c r="W53" s="1989">
        <v>0</v>
      </c>
      <c r="X53" s="1989">
        <v>-46382.1</v>
      </c>
      <c r="Y53" s="1989">
        <v>-10807.11</v>
      </c>
      <c r="Z53" s="1989">
        <v>51689752.009999998</v>
      </c>
      <c r="AA53" s="1989">
        <v>-1200000</v>
      </c>
      <c r="AB53" s="1990"/>
      <c r="AC53" s="1989">
        <v>331</v>
      </c>
      <c r="AD53" s="1989">
        <v>21</v>
      </c>
      <c r="AE53" s="1989">
        <v>11</v>
      </c>
      <c r="AF53" s="1989">
        <v>0</v>
      </c>
      <c r="AG53" s="1989">
        <v>210</v>
      </c>
      <c r="AH53" s="1989">
        <v>141</v>
      </c>
      <c r="AI53" s="1989">
        <v>0</v>
      </c>
      <c r="AJ53" s="1989">
        <v>3</v>
      </c>
      <c r="AK53" s="1989">
        <v>4</v>
      </c>
      <c r="AL53" s="1989">
        <v>0</v>
      </c>
      <c r="AM53" s="1989">
        <v>0</v>
      </c>
      <c r="AN53" s="1989">
        <v>0</v>
      </c>
      <c r="AO53" s="1989">
        <v>1669</v>
      </c>
      <c r="AP53" s="1989">
        <v>2528</v>
      </c>
      <c r="AQ53" s="1989">
        <v>1909</v>
      </c>
      <c r="AR53" s="1989">
        <v>619</v>
      </c>
      <c r="AS53" s="1989">
        <v>1388</v>
      </c>
      <c r="AT53" s="1988">
        <v>5610</v>
      </c>
      <c r="AU53" s="1991"/>
      <c r="AV53" s="1991"/>
      <c r="AX53" s="1992"/>
      <c r="AY53" s="1992"/>
      <c r="AZ53" s="1992"/>
      <c r="BA53" s="1992"/>
      <c r="BB53" s="1992"/>
      <c r="BD53" s="1992"/>
      <c r="BE53" s="1992"/>
      <c r="BG53" s="1992"/>
      <c r="BI53" s="1992"/>
      <c r="BJ53" s="1992"/>
      <c r="BK53" s="1992"/>
    </row>
    <row r="54" spans="1:63" ht="12.75" x14ac:dyDescent="0.2">
      <c r="A54" s="1984">
        <v>47</v>
      </c>
      <c r="B54" s="1995" t="s">
        <v>934</v>
      </c>
      <c r="C54" s="1994" t="s">
        <v>935</v>
      </c>
      <c r="D54" s="1987">
        <v>176202</v>
      </c>
      <c r="E54" s="1988">
        <v>105327000</v>
      </c>
      <c r="F54" s="1989">
        <v>51930844</v>
      </c>
      <c r="G54" s="1989">
        <v>-2582127</v>
      </c>
      <c r="H54" s="1989">
        <v>1180076</v>
      </c>
      <c r="I54" s="1989">
        <v>-1402051</v>
      </c>
      <c r="J54" s="1989">
        <v>-3254264</v>
      </c>
      <c r="K54" s="1989">
        <v>-90036</v>
      </c>
      <c r="L54" s="1989">
        <v>-27453</v>
      </c>
      <c r="M54" s="1989">
        <v>-52810</v>
      </c>
      <c r="N54" s="1989">
        <v>-1557175</v>
      </c>
      <c r="O54" s="1989">
        <v>-57434</v>
      </c>
      <c r="P54" s="1989">
        <v>-52367</v>
      </c>
      <c r="Q54" s="1989">
        <v>-2905</v>
      </c>
      <c r="R54" s="1989">
        <v>0</v>
      </c>
      <c r="S54" s="1989">
        <v>-2609</v>
      </c>
      <c r="T54" s="1989">
        <v>0</v>
      </c>
      <c r="U54" s="1989">
        <v>0</v>
      </c>
      <c r="V54" s="1989">
        <v>0</v>
      </c>
      <c r="W54" s="1989">
        <v>-3568</v>
      </c>
      <c r="X54" s="1989">
        <v>-61807</v>
      </c>
      <c r="Y54" s="1989">
        <v>-8000</v>
      </c>
      <c r="Z54" s="1989">
        <v>45278365</v>
      </c>
      <c r="AA54" s="1989">
        <v>-463064</v>
      </c>
      <c r="AB54" s="1990"/>
      <c r="AC54" s="1989">
        <v>245</v>
      </c>
      <c r="AD54" s="1989">
        <v>9</v>
      </c>
      <c r="AE54" s="1989">
        <v>26</v>
      </c>
      <c r="AF54" s="1989">
        <v>0</v>
      </c>
      <c r="AG54" s="1989">
        <v>373</v>
      </c>
      <c r="AH54" s="1989">
        <v>83</v>
      </c>
      <c r="AI54" s="1989">
        <v>35</v>
      </c>
      <c r="AJ54" s="1989">
        <v>4</v>
      </c>
      <c r="AK54" s="1989">
        <v>0</v>
      </c>
      <c r="AL54" s="1989">
        <v>7</v>
      </c>
      <c r="AM54" s="1989">
        <v>0</v>
      </c>
      <c r="AN54" s="1989">
        <v>0</v>
      </c>
      <c r="AO54" s="1989">
        <v>1613</v>
      </c>
      <c r="AP54" s="1989">
        <v>1529</v>
      </c>
      <c r="AQ54" s="1989">
        <v>1146</v>
      </c>
      <c r="AR54" s="1989">
        <v>383</v>
      </c>
      <c r="AS54" s="1989">
        <v>1192</v>
      </c>
      <c r="AT54" s="1988">
        <v>4400</v>
      </c>
      <c r="AU54" s="1991"/>
      <c r="AV54" s="1991"/>
      <c r="AX54" s="1992"/>
      <c r="AY54" s="1992"/>
      <c r="AZ54" s="1992"/>
      <c r="BA54" s="1992"/>
      <c r="BB54" s="1992"/>
      <c r="BD54" s="1992"/>
      <c r="BE54" s="1992"/>
      <c r="BG54" s="1992"/>
      <c r="BI54" s="1992"/>
      <c r="BJ54" s="1992"/>
      <c r="BK54" s="1992"/>
    </row>
    <row r="55" spans="1:63" ht="12.75" x14ac:dyDescent="0.2">
      <c r="A55" s="1984">
        <v>48</v>
      </c>
      <c r="B55" s="1995" t="s">
        <v>936</v>
      </c>
      <c r="C55" s="1994" t="s">
        <v>937</v>
      </c>
      <c r="D55" s="1987">
        <v>78958</v>
      </c>
      <c r="E55" s="1988">
        <v>40593000</v>
      </c>
      <c r="F55" s="1989">
        <v>19274688</v>
      </c>
      <c r="G55" s="1989">
        <v>-1816728</v>
      </c>
      <c r="H55" s="1989">
        <v>395221</v>
      </c>
      <c r="I55" s="1989">
        <v>-1421507</v>
      </c>
      <c r="J55" s="1989">
        <v>-1593720</v>
      </c>
      <c r="K55" s="1989">
        <v>-9423</v>
      </c>
      <c r="L55" s="1989">
        <v>0</v>
      </c>
      <c r="M55" s="1989">
        <v>-1000</v>
      </c>
      <c r="N55" s="1989">
        <v>-193894</v>
      </c>
      <c r="O55" s="1989">
        <v>-60018</v>
      </c>
      <c r="P55" s="1989">
        <v>-39984</v>
      </c>
      <c r="Q55" s="1989">
        <v>-2355</v>
      </c>
      <c r="R55" s="1989">
        <v>0</v>
      </c>
      <c r="S55" s="1989">
        <v>0</v>
      </c>
      <c r="T55" s="1989">
        <v>0</v>
      </c>
      <c r="U55" s="1989">
        <v>0</v>
      </c>
      <c r="V55" s="1989">
        <v>0</v>
      </c>
      <c r="W55" s="1989">
        <v>0</v>
      </c>
      <c r="X55" s="1989">
        <v>-6122</v>
      </c>
      <c r="Y55" s="1989">
        <v>0</v>
      </c>
      <c r="Z55" s="1989">
        <v>15936327</v>
      </c>
      <c r="AA55" s="1989">
        <v>-500000</v>
      </c>
      <c r="AB55" s="1990"/>
      <c r="AC55" s="1989">
        <v>70</v>
      </c>
      <c r="AD55" s="1989">
        <v>6</v>
      </c>
      <c r="AE55" s="1989">
        <v>0</v>
      </c>
      <c r="AF55" s="1989">
        <v>0</v>
      </c>
      <c r="AG55" s="1989">
        <v>89</v>
      </c>
      <c r="AH55" s="1989">
        <v>43</v>
      </c>
      <c r="AI55" s="1989">
        <v>18</v>
      </c>
      <c r="AJ55" s="1989">
        <v>6</v>
      </c>
      <c r="AK55" s="1989">
        <v>0</v>
      </c>
      <c r="AL55" s="1989">
        <v>0</v>
      </c>
      <c r="AM55" s="1989">
        <v>0</v>
      </c>
      <c r="AN55" s="1989">
        <v>0</v>
      </c>
      <c r="AO55" s="1989">
        <v>586</v>
      </c>
      <c r="AP55" s="1989">
        <v>871</v>
      </c>
      <c r="AQ55" s="1989">
        <v>480</v>
      </c>
      <c r="AR55" s="1989">
        <v>391</v>
      </c>
      <c r="AS55" s="1989">
        <v>564</v>
      </c>
      <c r="AT55" s="1988">
        <v>2000</v>
      </c>
      <c r="AU55" s="1991"/>
      <c r="AV55" s="1991"/>
      <c r="AX55" s="1992"/>
      <c r="AY55" s="1992"/>
      <c r="AZ55" s="1992"/>
      <c r="BA55" s="1992"/>
      <c r="BB55" s="1992"/>
      <c r="BD55" s="1992"/>
      <c r="BE55" s="1992"/>
      <c r="BG55" s="1992"/>
      <c r="BI55" s="1992"/>
      <c r="BJ55" s="1992"/>
      <c r="BK55" s="1992"/>
    </row>
    <row r="56" spans="1:63" ht="12.75" x14ac:dyDescent="0.2">
      <c r="A56" s="1984">
        <v>49</v>
      </c>
      <c r="B56" s="1997" t="s">
        <v>938</v>
      </c>
      <c r="C56" s="1998" t="s">
        <v>939</v>
      </c>
      <c r="D56" s="1987">
        <v>305867</v>
      </c>
      <c r="E56" s="1988">
        <v>211642000</v>
      </c>
      <c r="F56" s="1989">
        <v>100801878</v>
      </c>
      <c r="G56" s="1989">
        <v>-4774077</v>
      </c>
      <c r="H56" s="1989">
        <v>2250718</v>
      </c>
      <c r="I56" s="1989">
        <v>-2523359</v>
      </c>
      <c r="J56" s="1989">
        <v>-6275555</v>
      </c>
      <c r="K56" s="1989">
        <v>-111507</v>
      </c>
      <c r="L56" s="1989">
        <v>-35809</v>
      </c>
      <c r="M56" s="1989">
        <v>-387220</v>
      </c>
      <c r="N56" s="1989">
        <v>-1887186</v>
      </c>
      <c r="O56" s="1989">
        <v>-375842</v>
      </c>
      <c r="P56" s="1989">
        <v>-487096</v>
      </c>
      <c r="Q56" s="1989">
        <v>-1645</v>
      </c>
      <c r="R56" s="1989">
        <v>-18513</v>
      </c>
      <c r="S56" s="1989">
        <v>-10859</v>
      </c>
      <c r="T56" s="1989">
        <v>0</v>
      </c>
      <c r="U56" s="1989">
        <v>0</v>
      </c>
      <c r="V56" s="1989">
        <v>0</v>
      </c>
      <c r="W56" s="1989">
        <v>-51191</v>
      </c>
      <c r="X56" s="1989">
        <v>-42245</v>
      </c>
      <c r="Y56" s="1989">
        <v>-13942</v>
      </c>
      <c r="Z56" s="1989">
        <v>88457212</v>
      </c>
      <c r="AA56" s="1989">
        <v>-1519801</v>
      </c>
      <c r="AB56" s="1990"/>
      <c r="AC56" s="1989">
        <v>388</v>
      </c>
      <c r="AD56" s="1989">
        <v>9</v>
      </c>
      <c r="AE56" s="1989">
        <v>16</v>
      </c>
      <c r="AF56" s="1989">
        <v>3</v>
      </c>
      <c r="AG56" s="1989">
        <v>423</v>
      </c>
      <c r="AH56" s="1989">
        <v>237</v>
      </c>
      <c r="AI56" s="1989">
        <v>53</v>
      </c>
      <c r="AJ56" s="1989">
        <v>0</v>
      </c>
      <c r="AK56" s="1989">
        <v>13</v>
      </c>
      <c r="AL56" s="1989">
        <v>4</v>
      </c>
      <c r="AM56" s="1989">
        <v>0</v>
      </c>
      <c r="AN56" s="1989">
        <v>0</v>
      </c>
      <c r="AO56" s="1989">
        <v>2651</v>
      </c>
      <c r="AP56" s="1989">
        <v>2456</v>
      </c>
      <c r="AQ56" s="1989">
        <v>1421</v>
      </c>
      <c r="AR56" s="1989">
        <v>1035</v>
      </c>
      <c r="AS56" s="1989">
        <v>1865</v>
      </c>
      <c r="AT56" s="1988">
        <v>7030</v>
      </c>
      <c r="AU56" s="1991"/>
      <c r="AV56" s="1991"/>
      <c r="AX56" s="1992"/>
      <c r="AY56" s="1992"/>
      <c r="AZ56" s="1992"/>
      <c r="BA56" s="1992"/>
      <c r="BB56" s="1992"/>
      <c r="BD56" s="1992"/>
      <c r="BE56" s="1992"/>
      <c r="BG56" s="1992"/>
      <c r="BI56" s="1992"/>
      <c r="BJ56" s="1992"/>
      <c r="BK56" s="1992"/>
    </row>
    <row r="57" spans="1:63" ht="12.75" x14ac:dyDescent="0.2">
      <c r="A57" s="1984">
        <v>50</v>
      </c>
      <c r="B57" s="1995" t="s">
        <v>940</v>
      </c>
      <c r="C57" s="1994" t="s">
        <v>941</v>
      </c>
      <c r="D57" s="1987">
        <v>193360</v>
      </c>
      <c r="E57" s="1988">
        <v>129963000</v>
      </c>
      <c r="F57" s="1989">
        <v>55671004</v>
      </c>
      <c r="G57" s="1989">
        <v>-3239671</v>
      </c>
      <c r="H57" s="1989">
        <v>1232084</v>
      </c>
      <c r="I57" s="1989">
        <v>-2007587</v>
      </c>
      <c r="J57" s="1989">
        <v>-6085684</v>
      </c>
      <c r="K57" s="1989">
        <v>-19820</v>
      </c>
      <c r="L57" s="1989">
        <v>-1665</v>
      </c>
      <c r="M57" s="1989">
        <v>-40000</v>
      </c>
      <c r="N57" s="1989">
        <v>-605063</v>
      </c>
      <c r="O57" s="1989">
        <v>-66448</v>
      </c>
      <c r="P57" s="1989">
        <v>-195358</v>
      </c>
      <c r="Q57" s="1989">
        <v>-425</v>
      </c>
      <c r="R57" s="1989">
        <v>0</v>
      </c>
      <c r="S57" s="1989">
        <v>0</v>
      </c>
      <c r="T57" s="1989">
        <v>-26904</v>
      </c>
      <c r="U57" s="1989">
        <v>0</v>
      </c>
      <c r="V57" s="1989">
        <v>0</v>
      </c>
      <c r="W57" s="1989">
        <v>-50000</v>
      </c>
      <c r="X57" s="1989">
        <v>-23500</v>
      </c>
      <c r="Y57" s="1989">
        <v>-2500</v>
      </c>
      <c r="Z57" s="1989">
        <v>46033113</v>
      </c>
      <c r="AA57" s="1989">
        <v>-600000</v>
      </c>
      <c r="AB57" s="1990"/>
      <c r="AC57" s="1989">
        <v>223</v>
      </c>
      <c r="AD57" s="1989">
        <v>9</v>
      </c>
      <c r="AE57" s="1989">
        <v>1</v>
      </c>
      <c r="AF57" s="1989">
        <v>0</v>
      </c>
      <c r="AG57" s="1989">
        <v>428</v>
      </c>
      <c r="AH57" s="1989">
        <v>78</v>
      </c>
      <c r="AI57" s="1989">
        <v>35</v>
      </c>
      <c r="AJ57" s="1989">
        <v>2</v>
      </c>
      <c r="AK57" s="1989">
        <v>0</v>
      </c>
      <c r="AL57" s="1989">
        <v>0</v>
      </c>
      <c r="AM57" s="1989">
        <v>0</v>
      </c>
      <c r="AN57" s="1989">
        <v>0</v>
      </c>
      <c r="AO57" s="1989">
        <v>1599</v>
      </c>
      <c r="AP57" s="1989">
        <v>1842</v>
      </c>
      <c r="AQ57" s="1989">
        <v>1261</v>
      </c>
      <c r="AR57" s="1989">
        <v>581</v>
      </c>
      <c r="AS57" s="1989">
        <v>1169</v>
      </c>
      <c r="AT57" s="1988">
        <v>4700</v>
      </c>
      <c r="AU57" s="1991"/>
      <c r="AV57" s="1991"/>
      <c r="AX57" s="1992"/>
      <c r="AY57" s="1992"/>
      <c r="AZ57" s="1992"/>
      <c r="BA57" s="1992"/>
      <c r="BB57" s="1992"/>
      <c r="BD57" s="1992"/>
      <c r="BE57" s="1992"/>
      <c r="BG57" s="1992"/>
      <c r="BI57" s="1992"/>
      <c r="BJ57" s="1992"/>
      <c r="BK57" s="1992"/>
    </row>
    <row r="58" spans="1:63" ht="12.75" x14ac:dyDescent="0.2">
      <c r="A58" s="1984">
        <v>51</v>
      </c>
      <c r="B58" s="1995" t="s">
        <v>942</v>
      </c>
      <c r="C58" s="1994" t="s">
        <v>943</v>
      </c>
      <c r="D58" s="1987">
        <v>217330</v>
      </c>
      <c r="E58" s="1988">
        <v>186160000</v>
      </c>
      <c r="F58" s="1989">
        <v>90248259</v>
      </c>
      <c r="G58" s="1989">
        <v>-2752820</v>
      </c>
      <c r="H58" s="1989">
        <v>2172275</v>
      </c>
      <c r="I58" s="1989">
        <v>-580545</v>
      </c>
      <c r="J58" s="1989">
        <v>-4641843</v>
      </c>
      <c r="K58" s="1989">
        <v>-33796</v>
      </c>
      <c r="L58" s="1989">
        <v>-8710</v>
      </c>
      <c r="M58" s="1989">
        <v>0</v>
      </c>
      <c r="N58" s="1989">
        <v>-1717175</v>
      </c>
      <c r="O58" s="1989">
        <v>-6517</v>
      </c>
      <c r="P58" s="1989">
        <v>-103035</v>
      </c>
      <c r="Q58" s="1989">
        <v>0</v>
      </c>
      <c r="R58" s="1989">
        <v>-1588</v>
      </c>
      <c r="S58" s="1989">
        <v>-8308</v>
      </c>
      <c r="T58" s="1989">
        <v>0</v>
      </c>
      <c r="U58" s="1989">
        <v>0</v>
      </c>
      <c r="V58" s="1989">
        <v>0</v>
      </c>
      <c r="W58" s="1989">
        <v>-2087</v>
      </c>
      <c r="X58" s="1989">
        <v>-37197</v>
      </c>
      <c r="Y58" s="1989">
        <v>-17116</v>
      </c>
      <c r="Z58" s="1989">
        <v>81507517</v>
      </c>
      <c r="AA58" s="1989">
        <v>-2876850</v>
      </c>
      <c r="AB58" s="1990"/>
      <c r="AC58" s="1989">
        <v>241</v>
      </c>
      <c r="AD58" s="1989">
        <v>9</v>
      </c>
      <c r="AE58" s="1989">
        <v>6</v>
      </c>
      <c r="AF58" s="1989">
        <v>0</v>
      </c>
      <c r="AG58" s="1989">
        <v>512</v>
      </c>
      <c r="AH58" s="1989">
        <v>17</v>
      </c>
      <c r="AI58" s="1989">
        <v>17</v>
      </c>
      <c r="AJ58" s="1989">
        <v>0</v>
      </c>
      <c r="AK58" s="1989">
        <v>2</v>
      </c>
      <c r="AL58" s="1989">
        <v>2</v>
      </c>
      <c r="AM58" s="1989">
        <v>0</v>
      </c>
      <c r="AN58" s="1989">
        <v>0</v>
      </c>
      <c r="AO58" s="1989">
        <v>2187</v>
      </c>
      <c r="AP58" s="1989">
        <v>1444</v>
      </c>
      <c r="AQ58" s="1989">
        <v>808</v>
      </c>
      <c r="AR58" s="1989">
        <v>636</v>
      </c>
      <c r="AS58" s="1989">
        <v>1127</v>
      </c>
      <c r="AT58" s="1988">
        <v>4840</v>
      </c>
      <c r="AU58" s="1991"/>
      <c r="AV58" s="1991"/>
      <c r="AX58" s="1992"/>
      <c r="AY58" s="1992"/>
      <c r="AZ58" s="1992"/>
      <c r="BA58" s="1992"/>
      <c r="BB58" s="1992"/>
      <c r="BD58" s="1992"/>
      <c r="BE58" s="1992"/>
      <c r="BG58" s="1992"/>
      <c r="BI58" s="1992"/>
      <c r="BJ58" s="1992"/>
      <c r="BK58" s="1992"/>
    </row>
    <row r="59" spans="1:63" ht="12.75" x14ac:dyDescent="0.2">
      <c r="A59" s="1984">
        <v>52</v>
      </c>
      <c r="B59" s="1995" t="s">
        <v>944</v>
      </c>
      <c r="C59" s="1994" t="s">
        <v>945</v>
      </c>
      <c r="D59" s="1987">
        <v>174255</v>
      </c>
      <c r="E59" s="1988">
        <v>135431000</v>
      </c>
      <c r="F59" s="1989">
        <v>63921337</v>
      </c>
      <c r="G59" s="1989">
        <v>-2362657</v>
      </c>
      <c r="H59" s="1989">
        <v>1541722</v>
      </c>
      <c r="I59" s="1989">
        <v>-820935</v>
      </c>
      <c r="J59" s="1989">
        <v>-4089071</v>
      </c>
      <c r="K59" s="1989">
        <v>-29939</v>
      </c>
      <c r="L59" s="1989">
        <v>0</v>
      </c>
      <c r="M59" s="1989">
        <v>-40000</v>
      </c>
      <c r="N59" s="1989">
        <v>-1487131</v>
      </c>
      <c r="O59" s="1989">
        <v>-13928</v>
      </c>
      <c r="P59" s="1989">
        <v>-13164</v>
      </c>
      <c r="Q59" s="1989">
        <v>0</v>
      </c>
      <c r="R59" s="1989">
        <v>0</v>
      </c>
      <c r="S59" s="1989">
        <v>0</v>
      </c>
      <c r="T59" s="1989">
        <v>0</v>
      </c>
      <c r="U59" s="1989">
        <v>0</v>
      </c>
      <c r="V59" s="1989">
        <v>0</v>
      </c>
      <c r="W59" s="1989">
        <v>0</v>
      </c>
      <c r="X59" s="1989">
        <v>-15000</v>
      </c>
      <c r="Y59" s="1989">
        <v>-811</v>
      </c>
      <c r="Z59" s="1989">
        <v>57236358</v>
      </c>
      <c r="AA59" s="1989">
        <v>-765000</v>
      </c>
      <c r="AB59" s="1990"/>
      <c r="AC59" s="1989">
        <v>197</v>
      </c>
      <c r="AD59" s="1989">
        <v>8</v>
      </c>
      <c r="AE59" s="1989">
        <v>0</v>
      </c>
      <c r="AF59" s="1989">
        <v>0</v>
      </c>
      <c r="AG59" s="1989">
        <v>306</v>
      </c>
      <c r="AH59" s="1989">
        <v>15</v>
      </c>
      <c r="AI59" s="1989">
        <v>2</v>
      </c>
      <c r="AJ59" s="1989">
        <v>0</v>
      </c>
      <c r="AK59" s="1989">
        <v>0</v>
      </c>
      <c r="AL59" s="1989">
        <v>0</v>
      </c>
      <c r="AM59" s="1989">
        <v>0</v>
      </c>
      <c r="AN59" s="1989">
        <v>0</v>
      </c>
      <c r="AO59" s="1989">
        <v>1670</v>
      </c>
      <c r="AP59" s="1989">
        <v>1248</v>
      </c>
      <c r="AQ59" s="1989">
        <v>814</v>
      </c>
      <c r="AR59" s="1989">
        <v>434</v>
      </c>
      <c r="AS59" s="1989">
        <v>1107</v>
      </c>
      <c r="AT59" s="1988">
        <v>3970</v>
      </c>
      <c r="AU59" s="1991"/>
      <c r="AV59" s="1991"/>
      <c r="AX59" s="1992"/>
      <c r="AY59" s="1992"/>
      <c r="AZ59" s="1992"/>
      <c r="BA59" s="1992"/>
      <c r="BB59" s="1992"/>
      <c r="BD59" s="1992"/>
      <c r="BE59" s="1992"/>
      <c r="BG59" s="1992"/>
      <c r="BI59" s="1992"/>
      <c r="BJ59" s="1992"/>
      <c r="BK59" s="1992"/>
    </row>
    <row r="60" spans="1:63" ht="12.75" x14ac:dyDescent="0.2">
      <c r="A60" s="1984">
        <v>53</v>
      </c>
      <c r="B60" s="1995" t="s">
        <v>946</v>
      </c>
      <c r="C60" s="1994" t="s">
        <v>947</v>
      </c>
      <c r="D60" s="1987">
        <v>227866</v>
      </c>
      <c r="E60" s="1988">
        <v>208968000</v>
      </c>
      <c r="F60" s="1989">
        <v>85084364</v>
      </c>
      <c r="G60" s="1989">
        <v>-2267549</v>
      </c>
      <c r="H60" s="1989">
        <v>2000681</v>
      </c>
      <c r="I60" s="1989">
        <v>-266868</v>
      </c>
      <c r="J60" s="1989">
        <v>-3059916</v>
      </c>
      <c r="K60" s="1989">
        <v>-65604</v>
      </c>
      <c r="L60" s="1989">
        <v>-46525</v>
      </c>
      <c r="M60" s="1989">
        <v>0</v>
      </c>
      <c r="N60" s="1989">
        <v>-1539003</v>
      </c>
      <c r="O60" s="1989">
        <v>-29714</v>
      </c>
      <c r="P60" s="1989">
        <v>-57903</v>
      </c>
      <c r="Q60" s="1989">
        <v>0</v>
      </c>
      <c r="R60" s="1989">
        <v>-4249</v>
      </c>
      <c r="S60" s="1989">
        <v>-5395</v>
      </c>
      <c r="T60" s="1989">
        <v>0</v>
      </c>
      <c r="U60" s="1989">
        <v>0</v>
      </c>
      <c r="V60" s="1989">
        <v>0</v>
      </c>
      <c r="W60" s="1989">
        <v>0</v>
      </c>
      <c r="X60" s="1989">
        <v>-29847</v>
      </c>
      <c r="Y60" s="1989">
        <v>-2707</v>
      </c>
      <c r="Z60" s="1989">
        <v>79119517</v>
      </c>
      <c r="AA60" s="1989">
        <v>-163920</v>
      </c>
      <c r="AB60" s="1990"/>
      <c r="AC60" s="1989">
        <v>236</v>
      </c>
      <c r="AD60" s="1989">
        <v>7</v>
      </c>
      <c r="AE60" s="1989">
        <v>31</v>
      </c>
      <c r="AF60" s="1989">
        <v>0</v>
      </c>
      <c r="AG60" s="1989">
        <v>407</v>
      </c>
      <c r="AH60" s="1989">
        <v>70</v>
      </c>
      <c r="AI60" s="1989">
        <v>16</v>
      </c>
      <c r="AJ60" s="1989">
        <v>0</v>
      </c>
      <c r="AK60" s="1989">
        <v>0</v>
      </c>
      <c r="AL60" s="1989">
        <v>4</v>
      </c>
      <c r="AM60" s="1989">
        <v>0</v>
      </c>
      <c r="AN60" s="1989">
        <v>0</v>
      </c>
      <c r="AO60" s="1989">
        <v>1343</v>
      </c>
      <c r="AP60" s="1989">
        <v>1243</v>
      </c>
      <c r="AQ60" s="1989">
        <v>757</v>
      </c>
      <c r="AR60" s="1989">
        <v>486</v>
      </c>
      <c r="AS60" s="1989">
        <v>100</v>
      </c>
      <c r="AT60" s="1988">
        <v>4690</v>
      </c>
      <c r="AU60" s="1991"/>
      <c r="AV60" s="1991"/>
      <c r="AX60" s="1992"/>
      <c r="AY60" s="1992"/>
      <c r="AZ60" s="1992"/>
      <c r="BA60" s="1992"/>
      <c r="BB60" s="1992"/>
      <c r="BD60" s="1992"/>
      <c r="BE60" s="1992"/>
      <c r="BG60" s="1992"/>
      <c r="BI60" s="1992"/>
      <c r="BJ60" s="1992"/>
      <c r="BK60" s="1992"/>
    </row>
    <row r="61" spans="1:63" ht="12.75" x14ac:dyDescent="0.2">
      <c r="A61" s="1984">
        <v>54</v>
      </c>
      <c r="B61" s="1995" t="s">
        <v>948</v>
      </c>
      <c r="C61" s="1994" t="s">
        <v>949</v>
      </c>
      <c r="D61" s="1987">
        <v>563725</v>
      </c>
      <c r="E61" s="1988">
        <v>349031000</v>
      </c>
      <c r="F61" s="1989">
        <v>166879291</v>
      </c>
      <c r="G61" s="1989">
        <v>-8992373</v>
      </c>
      <c r="H61" s="1989">
        <v>3756131</v>
      </c>
      <c r="I61" s="1989">
        <v>-5236242</v>
      </c>
      <c r="J61" s="1989">
        <v>-6789258</v>
      </c>
      <c r="K61" s="1989">
        <v>-103903</v>
      </c>
      <c r="L61" s="1989">
        <v>-24940</v>
      </c>
      <c r="M61" s="1989">
        <v>-185041</v>
      </c>
      <c r="N61" s="1989">
        <v>-3752531</v>
      </c>
      <c r="O61" s="1989">
        <v>-233757</v>
      </c>
      <c r="P61" s="1989">
        <v>-69392</v>
      </c>
      <c r="Q61" s="1989">
        <v>-7316</v>
      </c>
      <c r="R61" s="1989">
        <v>-24940</v>
      </c>
      <c r="S61" s="1989">
        <v>-12210</v>
      </c>
      <c r="T61" s="1989">
        <v>-1250198</v>
      </c>
      <c r="U61" s="1989">
        <v>-1250198</v>
      </c>
      <c r="V61" s="1989">
        <v>0</v>
      </c>
      <c r="W61" s="1989">
        <v>0</v>
      </c>
      <c r="X61" s="1989">
        <v>-98085</v>
      </c>
      <c r="Y61" s="1989">
        <v>-7100</v>
      </c>
      <c r="Z61" s="1989">
        <v>147136730</v>
      </c>
      <c r="AA61" s="1989">
        <v>-4497528</v>
      </c>
      <c r="AB61" s="1990"/>
      <c r="AC61" s="1989">
        <v>551</v>
      </c>
      <c r="AD61" s="1989">
        <v>33</v>
      </c>
      <c r="AE61" s="1989">
        <v>20</v>
      </c>
      <c r="AF61" s="1989">
        <v>7</v>
      </c>
      <c r="AG61" s="1989">
        <v>1404</v>
      </c>
      <c r="AH61" s="1989">
        <v>277</v>
      </c>
      <c r="AI61" s="1989">
        <v>29</v>
      </c>
      <c r="AJ61" s="1989">
        <v>29</v>
      </c>
      <c r="AK61" s="1989">
        <v>20</v>
      </c>
      <c r="AL61" s="1989">
        <v>9</v>
      </c>
      <c r="AM61" s="1989">
        <v>0</v>
      </c>
      <c r="AN61" s="1989">
        <v>0</v>
      </c>
      <c r="AO61" s="1989">
        <v>4715</v>
      </c>
      <c r="AP61" s="1989">
        <v>4806</v>
      </c>
      <c r="AQ61" s="1989">
        <v>3198</v>
      </c>
      <c r="AR61" s="1989">
        <v>1608</v>
      </c>
      <c r="AS61" s="1989">
        <v>3778</v>
      </c>
      <c r="AT61" s="1988">
        <v>13750</v>
      </c>
      <c r="AU61" s="1991"/>
      <c r="AV61" s="1991"/>
      <c r="AX61" s="1992"/>
      <c r="AY61" s="1992"/>
      <c r="AZ61" s="1992"/>
      <c r="BA61" s="1992"/>
      <c r="BB61" s="1992"/>
      <c r="BD61" s="1992"/>
      <c r="BE61" s="1992"/>
      <c r="BG61" s="1992"/>
      <c r="BI61" s="1992"/>
      <c r="BJ61" s="1992"/>
      <c r="BK61" s="1992"/>
    </row>
    <row r="62" spans="1:63" ht="12.75" x14ac:dyDescent="0.2">
      <c r="A62" s="1984">
        <v>55</v>
      </c>
      <c r="B62" s="1996" t="s">
        <v>632</v>
      </c>
      <c r="C62" s="1994" t="s">
        <v>951</v>
      </c>
      <c r="D62" s="1987">
        <v>480131</v>
      </c>
      <c r="E62" s="1988">
        <v>386939000</v>
      </c>
      <c r="F62" s="1989">
        <v>185612546</v>
      </c>
      <c r="G62" s="1989">
        <v>-6472000</v>
      </c>
      <c r="H62" s="1989">
        <v>4487000</v>
      </c>
      <c r="I62" s="1989">
        <v>-1985000</v>
      </c>
      <c r="J62" s="1989">
        <v>-8640000</v>
      </c>
      <c r="K62" s="1989">
        <v>-63000</v>
      </c>
      <c r="L62" s="1989">
        <v>-62000</v>
      </c>
      <c r="M62" s="1989">
        <v>-500000</v>
      </c>
      <c r="N62" s="1989">
        <v>-6340000</v>
      </c>
      <c r="O62" s="1989">
        <v>-836000</v>
      </c>
      <c r="P62" s="1989">
        <v>-1239000</v>
      </c>
      <c r="Q62" s="1989">
        <v>-14000</v>
      </c>
      <c r="R62" s="1989">
        <v>-62000</v>
      </c>
      <c r="S62" s="1989">
        <v>-25000</v>
      </c>
      <c r="T62" s="1989">
        <v>0</v>
      </c>
      <c r="U62" s="1989">
        <v>0</v>
      </c>
      <c r="V62" s="1989">
        <v>0</v>
      </c>
      <c r="W62" s="1989">
        <v>-11000</v>
      </c>
      <c r="X62" s="1989">
        <v>-84000</v>
      </c>
      <c r="Y62" s="1989">
        <v>-10000</v>
      </c>
      <c r="Z62" s="1989">
        <v>165741546</v>
      </c>
      <c r="AA62" s="1989">
        <v>-6500000</v>
      </c>
      <c r="AB62" s="1990"/>
      <c r="AC62" s="1989">
        <v>531</v>
      </c>
      <c r="AD62" s="1989">
        <v>15</v>
      </c>
      <c r="AE62" s="1989">
        <v>44</v>
      </c>
      <c r="AF62" s="1989">
        <v>0</v>
      </c>
      <c r="AG62" s="1989">
        <v>827</v>
      </c>
      <c r="AH62" s="1989">
        <v>416</v>
      </c>
      <c r="AI62" s="1989">
        <v>57</v>
      </c>
      <c r="AJ62" s="1989">
        <v>15</v>
      </c>
      <c r="AK62" s="1989">
        <v>44</v>
      </c>
      <c r="AL62" s="1989">
        <v>13</v>
      </c>
      <c r="AM62" s="1989">
        <v>0</v>
      </c>
      <c r="AN62" s="1989">
        <v>1</v>
      </c>
      <c r="AO62" s="1989">
        <v>4482</v>
      </c>
      <c r="AP62" s="1989">
        <v>3510</v>
      </c>
      <c r="AQ62" s="1989">
        <v>2394</v>
      </c>
      <c r="AR62" s="1989">
        <v>1116</v>
      </c>
      <c r="AS62" s="1989">
        <v>2891</v>
      </c>
      <c r="AT62" s="1988">
        <v>10910</v>
      </c>
      <c r="AU62" s="1991"/>
      <c r="AV62" s="1991"/>
      <c r="AX62" s="1992"/>
      <c r="AY62" s="1992"/>
      <c r="AZ62" s="1992"/>
      <c r="BA62" s="1992"/>
      <c r="BB62" s="1992"/>
      <c r="BD62" s="1992"/>
      <c r="BE62" s="1992"/>
      <c r="BG62" s="1992"/>
      <c r="BI62" s="1992"/>
      <c r="BJ62" s="1992"/>
      <c r="BK62" s="1992"/>
    </row>
    <row r="63" spans="1:63" ht="12.75" x14ac:dyDescent="0.2">
      <c r="A63" s="1984">
        <v>56</v>
      </c>
      <c r="B63" s="1995" t="s">
        <v>952</v>
      </c>
      <c r="C63" s="1994" t="s">
        <v>953</v>
      </c>
      <c r="D63" s="1987">
        <v>163817</v>
      </c>
      <c r="E63" s="1988">
        <v>98008000</v>
      </c>
      <c r="F63" s="1989">
        <v>44899217</v>
      </c>
      <c r="G63" s="1989">
        <v>-2853317</v>
      </c>
      <c r="H63" s="1989">
        <v>945500</v>
      </c>
      <c r="I63" s="1989">
        <v>-1907817</v>
      </c>
      <c r="J63" s="1989">
        <v>-1651891</v>
      </c>
      <c r="K63" s="1989">
        <v>-31202</v>
      </c>
      <c r="L63" s="1989">
        <v>-3330</v>
      </c>
      <c r="M63" s="1989">
        <v>0</v>
      </c>
      <c r="N63" s="1989">
        <v>-1579707</v>
      </c>
      <c r="O63" s="1989">
        <v>-37630</v>
      </c>
      <c r="P63" s="1989">
        <v>-36681</v>
      </c>
      <c r="Q63" s="1989">
        <v>-1267</v>
      </c>
      <c r="R63" s="1989">
        <v>0</v>
      </c>
      <c r="S63" s="1989">
        <v>0</v>
      </c>
      <c r="T63" s="1989">
        <v>0</v>
      </c>
      <c r="U63" s="1989">
        <v>0</v>
      </c>
      <c r="V63" s="1989">
        <v>0</v>
      </c>
      <c r="W63" s="1989">
        <v>0</v>
      </c>
      <c r="X63" s="1989">
        <v>-42245</v>
      </c>
      <c r="Y63" s="1989">
        <v>-6399</v>
      </c>
      <c r="Z63" s="1989">
        <v>39599596</v>
      </c>
      <c r="AA63" s="1989">
        <v>-855125</v>
      </c>
      <c r="AB63" s="1990"/>
      <c r="AC63" s="1989">
        <v>153</v>
      </c>
      <c r="AD63" s="1989">
        <v>5</v>
      </c>
      <c r="AE63" s="1989">
        <v>4</v>
      </c>
      <c r="AF63" s="1989">
        <v>0</v>
      </c>
      <c r="AG63" s="1989">
        <v>429</v>
      </c>
      <c r="AH63" s="1989">
        <v>34</v>
      </c>
      <c r="AI63" s="1989">
        <v>6</v>
      </c>
      <c r="AJ63" s="1989">
        <v>3</v>
      </c>
      <c r="AK63" s="1989">
        <v>0</v>
      </c>
      <c r="AL63" s="1989">
        <v>0</v>
      </c>
      <c r="AM63" s="1989">
        <v>0</v>
      </c>
      <c r="AN63" s="1989">
        <v>0</v>
      </c>
      <c r="AO63" s="1989">
        <v>1378</v>
      </c>
      <c r="AP63" s="1989">
        <v>1589</v>
      </c>
      <c r="AQ63" s="1989">
        <v>1147</v>
      </c>
      <c r="AR63" s="1989">
        <v>442</v>
      </c>
      <c r="AS63" s="1989">
        <v>1053</v>
      </c>
      <c r="AT63" s="1988">
        <v>4090</v>
      </c>
      <c r="AU63" s="1991"/>
      <c r="AV63" s="1991"/>
      <c r="AX63" s="1992"/>
      <c r="AY63" s="1992"/>
      <c r="AZ63" s="1992"/>
      <c r="BA63" s="1992"/>
      <c r="BB63" s="1992"/>
      <c r="BD63" s="1992"/>
      <c r="BE63" s="1992"/>
      <c r="BG63" s="1992"/>
      <c r="BI63" s="1992"/>
      <c r="BJ63" s="1992"/>
      <c r="BK63" s="1992"/>
    </row>
    <row r="64" spans="1:63" ht="12.75" x14ac:dyDescent="0.2">
      <c r="A64" s="1984">
        <v>57</v>
      </c>
      <c r="B64" s="1995" t="s">
        <v>954</v>
      </c>
      <c r="C64" s="1994" t="s">
        <v>955</v>
      </c>
      <c r="D64" s="1987">
        <v>197628</v>
      </c>
      <c r="E64" s="1988">
        <v>125417000</v>
      </c>
      <c r="F64" s="1989">
        <v>54021175</v>
      </c>
      <c r="G64" s="1989">
        <v>-3274213</v>
      </c>
      <c r="H64" s="1989">
        <v>1208198</v>
      </c>
      <c r="I64" s="1989">
        <v>-2066015</v>
      </c>
      <c r="J64" s="1989">
        <v>-3750557</v>
      </c>
      <c r="K64" s="1989">
        <v>-38354</v>
      </c>
      <c r="L64" s="1989">
        <v>-43331</v>
      </c>
      <c r="M64" s="1989">
        <v>-90000</v>
      </c>
      <c r="N64" s="1989">
        <v>-582497</v>
      </c>
      <c r="O64" s="1989">
        <v>-9000</v>
      </c>
      <c r="P64" s="1989">
        <v>-15000</v>
      </c>
      <c r="Q64" s="1989">
        <v>-1000</v>
      </c>
      <c r="R64" s="1989">
        <v>-46399</v>
      </c>
      <c r="S64" s="1989">
        <v>-8500</v>
      </c>
      <c r="T64" s="1989">
        <v>-5000</v>
      </c>
      <c r="U64" s="1989">
        <v>0</v>
      </c>
      <c r="V64" s="1989">
        <v>0</v>
      </c>
      <c r="W64" s="1989">
        <v>-10000</v>
      </c>
      <c r="X64" s="1989">
        <v>-10000</v>
      </c>
      <c r="Y64" s="1989">
        <v>-3000</v>
      </c>
      <c r="Z64" s="1989">
        <v>47017522</v>
      </c>
      <c r="AA64" s="1989">
        <v>-130000</v>
      </c>
      <c r="AB64" s="1990"/>
      <c r="AC64" s="1989">
        <v>240</v>
      </c>
      <c r="AD64" s="1989">
        <v>21</v>
      </c>
      <c r="AE64" s="1989">
        <v>29</v>
      </c>
      <c r="AF64" s="1989">
        <v>0</v>
      </c>
      <c r="AG64" s="1989">
        <v>138</v>
      </c>
      <c r="AH64" s="1989">
        <v>0</v>
      </c>
      <c r="AI64" s="1989">
        <v>1</v>
      </c>
      <c r="AJ64" s="1989">
        <v>0</v>
      </c>
      <c r="AK64" s="1989">
        <v>28</v>
      </c>
      <c r="AL64" s="1989">
        <v>3</v>
      </c>
      <c r="AM64" s="1989">
        <v>0</v>
      </c>
      <c r="AN64" s="1989">
        <v>0</v>
      </c>
      <c r="AO64" s="1989">
        <v>1579</v>
      </c>
      <c r="AP64" s="1989">
        <v>2013</v>
      </c>
      <c r="AQ64" s="1989">
        <v>1415</v>
      </c>
      <c r="AR64" s="1989">
        <v>598</v>
      </c>
      <c r="AS64" s="1989">
        <v>1214</v>
      </c>
      <c r="AT64" s="1988">
        <v>4870</v>
      </c>
      <c r="AU64" s="1991"/>
      <c r="AV64" s="1991"/>
      <c r="AX64" s="1992"/>
      <c r="AY64" s="1992"/>
      <c r="AZ64" s="1992"/>
      <c r="BA64" s="1992"/>
      <c r="BB64" s="1992"/>
      <c r="BD64" s="1992"/>
      <c r="BE64" s="1992"/>
      <c r="BG64" s="1992"/>
      <c r="BI64" s="1992"/>
      <c r="BJ64" s="1992"/>
      <c r="BK64" s="1992"/>
    </row>
    <row r="65" spans="1:63" ht="12.75" x14ac:dyDescent="0.2">
      <c r="A65" s="1984">
        <v>58</v>
      </c>
      <c r="B65" s="1995" t="s">
        <v>956</v>
      </c>
      <c r="C65" s="1994" t="s">
        <v>957</v>
      </c>
      <c r="D65" s="1987">
        <v>112028</v>
      </c>
      <c r="E65" s="1988">
        <v>59276000</v>
      </c>
      <c r="F65" s="1989">
        <v>26191442</v>
      </c>
      <c r="G65" s="1989">
        <v>-1515340</v>
      </c>
      <c r="H65" s="1989">
        <v>547519</v>
      </c>
      <c r="I65" s="1989">
        <v>-967821</v>
      </c>
      <c r="J65" s="1989">
        <v>-2357485</v>
      </c>
      <c r="K65" s="1989">
        <v>-37802</v>
      </c>
      <c r="L65" s="1989">
        <v>-14251</v>
      </c>
      <c r="M65" s="1989">
        <v>0</v>
      </c>
      <c r="N65" s="1989">
        <v>-335284</v>
      </c>
      <c r="O65" s="1989">
        <v>-118507</v>
      </c>
      <c r="P65" s="1989">
        <v>-30156</v>
      </c>
      <c r="Q65" s="1989">
        <v>-1439</v>
      </c>
      <c r="R65" s="1989">
        <v>-3969.79</v>
      </c>
      <c r="S65" s="1989">
        <v>0</v>
      </c>
      <c r="T65" s="1989">
        <v>0</v>
      </c>
      <c r="U65" s="1989">
        <v>0</v>
      </c>
      <c r="V65" s="1989">
        <v>0</v>
      </c>
      <c r="W65" s="1989">
        <v>0</v>
      </c>
      <c r="X65" s="1989">
        <v>-4260</v>
      </c>
      <c r="Y65" s="1989">
        <v>0</v>
      </c>
      <c r="Z65" s="1989">
        <v>22320467.210000001</v>
      </c>
      <c r="AA65" s="1989">
        <v>-228885</v>
      </c>
      <c r="AB65" s="1990"/>
      <c r="AC65" s="1989">
        <v>182</v>
      </c>
      <c r="AD65" s="1989">
        <v>8</v>
      </c>
      <c r="AE65" s="1989">
        <v>11</v>
      </c>
      <c r="AF65" s="1989">
        <v>0</v>
      </c>
      <c r="AG65" s="1989">
        <v>163</v>
      </c>
      <c r="AH65" s="1989">
        <v>39</v>
      </c>
      <c r="AI65" s="1989">
        <v>17</v>
      </c>
      <c r="AJ65" s="1989">
        <v>3</v>
      </c>
      <c r="AK65" s="1989">
        <v>4</v>
      </c>
      <c r="AL65" s="1989">
        <v>0</v>
      </c>
      <c r="AM65" s="1989">
        <v>0</v>
      </c>
      <c r="AN65" s="1989">
        <v>0</v>
      </c>
      <c r="AO65" s="1989">
        <v>984</v>
      </c>
      <c r="AP65" s="1989">
        <v>788</v>
      </c>
      <c r="AQ65" s="1989">
        <v>454</v>
      </c>
      <c r="AR65" s="1989">
        <v>334</v>
      </c>
      <c r="AS65" s="1989">
        <v>856</v>
      </c>
      <c r="AT65" s="1988">
        <v>2610</v>
      </c>
      <c r="AU65" s="1991"/>
      <c r="AV65" s="1991"/>
      <c r="AX65" s="1992"/>
      <c r="AY65" s="1992"/>
      <c r="AZ65" s="1992"/>
      <c r="BA65" s="1992"/>
      <c r="BB65" s="1992"/>
      <c r="BD65" s="1992"/>
      <c r="BE65" s="1992"/>
      <c r="BG65" s="1992"/>
      <c r="BI65" s="1992"/>
      <c r="BJ65" s="1992"/>
      <c r="BK65" s="1992"/>
    </row>
    <row r="66" spans="1:63" ht="12.75" x14ac:dyDescent="0.2">
      <c r="A66" s="1984">
        <v>59</v>
      </c>
      <c r="B66" s="1995" t="s">
        <v>958</v>
      </c>
      <c r="C66" s="1994" t="s">
        <v>959</v>
      </c>
      <c r="D66" s="1987">
        <v>132804</v>
      </c>
      <c r="E66" s="1988">
        <v>66659000</v>
      </c>
      <c r="F66" s="1989">
        <v>34259127</v>
      </c>
      <c r="G66" s="1989">
        <v>-2550859</v>
      </c>
      <c r="H66" s="1989">
        <v>754448</v>
      </c>
      <c r="I66" s="1989">
        <v>-1796411</v>
      </c>
      <c r="J66" s="1989">
        <v>-1983032</v>
      </c>
      <c r="K66" s="1989">
        <v>-32080</v>
      </c>
      <c r="L66" s="1989">
        <v>-5560</v>
      </c>
      <c r="M66" s="1989">
        <v>-5000</v>
      </c>
      <c r="N66" s="1989">
        <v>-335382</v>
      </c>
      <c r="O66" s="1989">
        <v>-11794</v>
      </c>
      <c r="P66" s="1989">
        <v>0</v>
      </c>
      <c r="Q66" s="1989">
        <v>0</v>
      </c>
      <c r="R66" s="1989">
        <v>0</v>
      </c>
      <c r="S66" s="1989">
        <v>0</v>
      </c>
      <c r="T66" s="1989">
        <v>0</v>
      </c>
      <c r="U66" s="1989">
        <v>0</v>
      </c>
      <c r="V66" s="1989">
        <v>0</v>
      </c>
      <c r="W66" s="1989">
        <v>0</v>
      </c>
      <c r="X66" s="1989">
        <v>-10377</v>
      </c>
      <c r="Y66" s="1989">
        <v>-16496</v>
      </c>
      <c r="Z66" s="1989">
        <v>30047995</v>
      </c>
      <c r="AA66" s="1989">
        <v>-360576</v>
      </c>
      <c r="AB66" s="1990"/>
      <c r="AC66" s="1989">
        <v>161</v>
      </c>
      <c r="AD66" s="1989">
        <v>20</v>
      </c>
      <c r="AE66" s="1989">
        <v>6</v>
      </c>
      <c r="AF66" s="1989">
        <v>0</v>
      </c>
      <c r="AG66" s="1989">
        <v>236</v>
      </c>
      <c r="AH66" s="1989">
        <v>13</v>
      </c>
      <c r="AI66" s="1989">
        <v>0</v>
      </c>
      <c r="AJ66" s="1989">
        <v>0</v>
      </c>
      <c r="AK66" s="1989">
        <v>0</v>
      </c>
      <c r="AL66" s="1989">
        <v>0</v>
      </c>
      <c r="AM66" s="1989">
        <v>0</v>
      </c>
      <c r="AN66" s="1989">
        <v>0</v>
      </c>
      <c r="AO66" s="1989">
        <v>1123</v>
      </c>
      <c r="AP66" s="1989">
        <v>1449</v>
      </c>
      <c r="AQ66" s="1989">
        <v>1067</v>
      </c>
      <c r="AR66" s="1989">
        <v>382</v>
      </c>
      <c r="AS66" s="1989">
        <v>834</v>
      </c>
      <c r="AT66" s="1988">
        <v>3430</v>
      </c>
      <c r="AU66" s="1991"/>
      <c r="AV66" s="1991"/>
      <c r="AX66" s="1992"/>
      <c r="AY66" s="1992"/>
      <c r="AZ66" s="1992"/>
      <c r="BA66" s="1992"/>
      <c r="BB66" s="1992"/>
      <c r="BD66" s="1992"/>
      <c r="BE66" s="1992"/>
      <c r="BG66" s="1992"/>
      <c r="BI66" s="1992"/>
      <c r="BJ66" s="1992"/>
      <c r="BK66" s="1992"/>
    </row>
    <row r="67" spans="1:63" ht="12.75" x14ac:dyDescent="0.2">
      <c r="A67" s="1984">
        <v>60</v>
      </c>
      <c r="B67" s="1995" t="s">
        <v>960</v>
      </c>
      <c r="C67" s="1994" t="s">
        <v>961</v>
      </c>
      <c r="D67" s="1987">
        <v>74395</v>
      </c>
      <c r="E67" s="1988">
        <v>48696000</v>
      </c>
      <c r="F67" s="1989">
        <v>21546665</v>
      </c>
      <c r="G67" s="1989">
        <v>-1258152</v>
      </c>
      <c r="H67" s="1989">
        <v>491906</v>
      </c>
      <c r="I67" s="1989">
        <v>-766246</v>
      </c>
      <c r="J67" s="1989">
        <v>-762920</v>
      </c>
      <c r="K67" s="1989">
        <v>-37598</v>
      </c>
      <c r="L67" s="1989">
        <v>-1764</v>
      </c>
      <c r="M67" s="1989">
        <v>0</v>
      </c>
      <c r="N67" s="1989">
        <v>-211026</v>
      </c>
      <c r="O67" s="1989">
        <v>-6313</v>
      </c>
      <c r="P67" s="1989">
        <v>-4295</v>
      </c>
      <c r="Q67" s="1989">
        <v>0</v>
      </c>
      <c r="R67" s="1989">
        <v>0</v>
      </c>
      <c r="S67" s="1989">
        <v>0</v>
      </c>
      <c r="T67" s="1989">
        <v>0</v>
      </c>
      <c r="U67" s="1989">
        <v>0</v>
      </c>
      <c r="V67" s="1989">
        <v>0</v>
      </c>
      <c r="W67" s="1989">
        <v>0</v>
      </c>
      <c r="X67" s="1989">
        <v>-20750</v>
      </c>
      <c r="Y67" s="1989">
        <v>-6982</v>
      </c>
      <c r="Z67" s="1989">
        <v>19728771</v>
      </c>
      <c r="AA67" s="1989">
        <v>-355504</v>
      </c>
      <c r="AB67" s="1990"/>
      <c r="AC67" s="1989">
        <v>73</v>
      </c>
      <c r="AD67" s="1989">
        <v>8</v>
      </c>
      <c r="AE67" s="1989">
        <v>1</v>
      </c>
      <c r="AF67" s="1989">
        <v>0</v>
      </c>
      <c r="AG67" s="1989">
        <v>31</v>
      </c>
      <c r="AH67" s="1989">
        <v>19</v>
      </c>
      <c r="AI67" s="1989">
        <v>1</v>
      </c>
      <c r="AJ67" s="1989">
        <v>1</v>
      </c>
      <c r="AK67" s="1989">
        <v>0</v>
      </c>
      <c r="AL67" s="1989">
        <v>0</v>
      </c>
      <c r="AM67" s="1989">
        <v>0</v>
      </c>
      <c r="AN67" s="1989">
        <v>0</v>
      </c>
      <c r="AO67" s="1989">
        <v>596</v>
      </c>
      <c r="AP67" s="1989">
        <v>767</v>
      </c>
      <c r="AQ67" s="1989">
        <v>526</v>
      </c>
      <c r="AR67" s="1989">
        <v>241</v>
      </c>
      <c r="AS67" s="1989">
        <v>461</v>
      </c>
      <c r="AT67" s="1988">
        <v>1820</v>
      </c>
      <c r="AU67" s="1991"/>
      <c r="AV67" s="1991"/>
      <c r="AX67" s="1992"/>
      <c r="AY67" s="1992"/>
      <c r="AZ67" s="1992"/>
      <c r="BA67" s="1992"/>
      <c r="BB67" s="1992"/>
      <c r="BD67" s="1992"/>
      <c r="BE67" s="1992"/>
      <c r="BG67" s="1992"/>
      <c r="BI67" s="1992"/>
      <c r="BJ67" s="1992"/>
      <c r="BK67" s="1992"/>
    </row>
    <row r="68" spans="1:63" ht="12.75" x14ac:dyDescent="0.2">
      <c r="A68" s="1984">
        <v>61</v>
      </c>
      <c r="B68" s="1995" t="s">
        <v>962</v>
      </c>
      <c r="C68" s="1994" t="s">
        <v>0</v>
      </c>
      <c r="D68" s="1987">
        <v>1959373</v>
      </c>
      <c r="E68" s="1988">
        <v>2563868000</v>
      </c>
      <c r="F68" s="1989">
        <v>872305810</v>
      </c>
      <c r="G68" s="1989">
        <v>-439807</v>
      </c>
      <c r="H68" s="1989">
        <v>24153971</v>
      </c>
      <c r="I68" s="1989">
        <v>23714164</v>
      </c>
      <c r="J68" s="1989">
        <v>-11975487</v>
      </c>
      <c r="K68" s="1989">
        <v>0</v>
      </c>
      <c r="L68" s="1989">
        <v>0</v>
      </c>
      <c r="M68" s="1989">
        <v>-2777854</v>
      </c>
      <c r="N68" s="1989">
        <v>-37115956</v>
      </c>
      <c r="O68" s="1989">
        <v>-138928</v>
      </c>
      <c r="P68" s="1989">
        <v>-206478</v>
      </c>
      <c r="Q68" s="1989">
        <v>0</v>
      </c>
      <c r="R68" s="1989">
        <v>0</v>
      </c>
      <c r="S68" s="1989">
        <v>0</v>
      </c>
      <c r="T68" s="1989">
        <v>0</v>
      </c>
      <c r="U68" s="1989">
        <v>0</v>
      </c>
      <c r="V68" s="1989">
        <v>0</v>
      </c>
      <c r="W68" s="1989">
        <v>-140403</v>
      </c>
      <c r="X68" s="1989">
        <v>-87657</v>
      </c>
      <c r="Y68" s="1989">
        <v>-10053</v>
      </c>
      <c r="Z68" s="1989">
        <v>842341280</v>
      </c>
      <c r="AA68" s="1989">
        <v>-32439670</v>
      </c>
      <c r="AB68" s="1990"/>
      <c r="AC68" s="1989">
        <v>218</v>
      </c>
      <c r="AD68" s="1989">
        <v>0</v>
      </c>
      <c r="AE68" s="1989">
        <v>0</v>
      </c>
      <c r="AF68" s="1989">
        <v>197</v>
      </c>
      <c r="AG68" s="1989">
        <v>3043</v>
      </c>
      <c r="AH68" s="1989">
        <v>24</v>
      </c>
      <c r="AI68" s="1989">
        <v>4</v>
      </c>
      <c r="AJ68" s="1989">
        <v>0</v>
      </c>
      <c r="AK68" s="1989">
        <v>0</v>
      </c>
      <c r="AL68" s="1989">
        <v>0</v>
      </c>
      <c r="AM68" s="1989">
        <v>0</v>
      </c>
      <c r="AN68" s="1989">
        <v>9</v>
      </c>
      <c r="AO68" s="1989">
        <v>9009</v>
      </c>
      <c r="AP68" s="1989">
        <v>222</v>
      </c>
      <c r="AQ68" s="1989">
        <v>93</v>
      </c>
      <c r="AR68" s="1989">
        <v>129</v>
      </c>
      <c r="AS68" s="1989">
        <v>8458</v>
      </c>
      <c r="AT68" s="1988">
        <v>19340</v>
      </c>
      <c r="AU68" s="1991"/>
      <c r="AV68" s="1991"/>
      <c r="AX68" s="1992"/>
      <c r="AY68" s="1992"/>
      <c r="AZ68" s="1992"/>
      <c r="BA68" s="1992"/>
      <c r="BB68" s="1992"/>
      <c r="BD68" s="1992"/>
      <c r="BE68" s="1992"/>
      <c r="BG68" s="1992"/>
      <c r="BI68" s="1992"/>
      <c r="BJ68" s="1992"/>
      <c r="BK68" s="1992"/>
    </row>
    <row r="69" spans="1:63" ht="12.75" x14ac:dyDescent="0.2">
      <c r="A69" s="1984">
        <v>62</v>
      </c>
      <c r="B69" s="1995" t="s">
        <v>1</v>
      </c>
      <c r="C69" s="1994" t="s">
        <v>2</v>
      </c>
      <c r="D69" s="1987">
        <v>239982</v>
      </c>
      <c r="E69" s="1988">
        <v>162407000</v>
      </c>
      <c r="F69" s="1989">
        <v>74966326</v>
      </c>
      <c r="G69" s="1989">
        <v>-3170972</v>
      </c>
      <c r="H69" s="1989">
        <v>1750073</v>
      </c>
      <c r="I69" s="1989">
        <v>-1420899</v>
      </c>
      <c r="J69" s="1989">
        <v>-4769299</v>
      </c>
      <c r="K69" s="1989">
        <v>-54769</v>
      </c>
      <c r="L69" s="1989">
        <v>-13630</v>
      </c>
      <c r="M69" s="1989">
        <v>-25613</v>
      </c>
      <c r="N69" s="1989">
        <v>-2353257</v>
      </c>
      <c r="O69" s="1989">
        <v>-148202</v>
      </c>
      <c r="P69" s="1989">
        <v>0</v>
      </c>
      <c r="Q69" s="1989">
        <v>-13185</v>
      </c>
      <c r="R69" s="1989">
        <v>0</v>
      </c>
      <c r="S69" s="1989">
        <v>0</v>
      </c>
      <c r="T69" s="1989">
        <v>0</v>
      </c>
      <c r="U69" s="1989">
        <v>0</v>
      </c>
      <c r="V69" s="1989">
        <v>0</v>
      </c>
      <c r="W69" s="1989">
        <v>-143111</v>
      </c>
      <c r="X69" s="1989">
        <v>-1000</v>
      </c>
      <c r="Y69" s="1989">
        <v>-13851</v>
      </c>
      <c r="Z69" s="1989">
        <v>66009510</v>
      </c>
      <c r="AA69" s="1989">
        <v>-1463857</v>
      </c>
      <c r="AB69" s="1990"/>
      <c r="AC69" s="1989">
        <v>422</v>
      </c>
      <c r="AD69" s="1989">
        <v>16</v>
      </c>
      <c r="AE69" s="1989">
        <v>11</v>
      </c>
      <c r="AF69" s="1989">
        <v>4</v>
      </c>
      <c r="AG69" s="1989">
        <v>347</v>
      </c>
      <c r="AH69" s="1989">
        <v>227</v>
      </c>
      <c r="AI69" s="1989">
        <v>0</v>
      </c>
      <c r="AJ69" s="1989">
        <v>14</v>
      </c>
      <c r="AK69" s="1989">
        <v>0</v>
      </c>
      <c r="AL69" s="1989">
        <v>0</v>
      </c>
      <c r="AM69" s="1989">
        <v>0</v>
      </c>
      <c r="AN69" s="1989">
        <v>0</v>
      </c>
      <c r="AO69" s="1989">
        <v>2164</v>
      </c>
      <c r="AP69" s="1989">
        <v>2059</v>
      </c>
      <c r="AQ69" s="1989">
        <v>1421</v>
      </c>
      <c r="AR69" s="1989">
        <v>638</v>
      </c>
      <c r="AS69" s="1989">
        <v>1366</v>
      </c>
      <c r="AT69" s="1988">
        <v>5730</v>
      </c>
      <c r="AU69" s="1991"/>
      <c r="AV69" s="1991"/>
      <c r="AX69" s="1992"/>
      <c r="AY69" s="1992"/>
      <c r="AZ69" s="1992"/>
      <c r="BA69" s="1992"/>
      <c r="BB69" s="1992"/>
      <c r="BD69" s="1992"/>
      <c r="BE69" s="1992"/>
      <c r="BG69" s="1992"/>
      <c r="BI69" s="1992"/>
      <c r="BJ69" s="1992"/>
      <c r="BK69" s="1992"/>
    </row>
    <row r="70" spans="1:63" ht="12.75" x14ac:dyDescent="0.2">
      <c r="A70" s="1984">
        <v>63</v>
      </c>
      <c r="B70" s="1995" t="s">
        <v>3</v>
      </c>
      <c r="C70" s="1994" t="s">
        <v>4</v>
      </c>
      <c r="D70" s="1987">
        <v>101141</v>
      </c>
      <c r="E70" s="1988">
        <v>77881000</v>
      </c>
      <c r="F70" s="1989">
        <v>47746827</v>
      </c>
      <c r="G70" s="1989">
        <v>-1511690</v>
      </c>
      <c r="H70" s="1989">
        <v>1175820</v>
      </c>
      <c r="I70" s="1989">
        <v>-335870</v>
      </c>
      <c r="J70" s="1989">
        <v>-1248950</v>
      </c>
      <c r="K70" s="1989">
        <v>-65279</v>
      </c>
      <c r="L70" s="1989">
        <v>-22390</v>
      </c>
      <c r="M70" s="1989">
        <v>0</v>
      </c>
      <c r="N70" s="1989">
        <v>-332312</v>
      </c>
      <c r="O70" s="1989">
        <v>0</v>
      </c>
      <c r="P70" s="1989">
        <v>0</v>
      </c>
      <c r="Q70" s="1989">
        <v>0</v>
      </c>
      <c r="R70" s="1989">
        <v>0</v>
      </c>
      <c r="S70" s="1989">
        <v>0</v>
      </c>
      <c r="T70" s="1989">
        <v>0</v>
      </c>
      <c r="U70" s="1989">
        <v>0</v>
      </c>
      <c r="V70" s="1989">
        <v>0</v>
      </c>
      <c r="W70" s="1989">
        <v>0</v>
      </c>
      <c r="X70" s="1989">
        <v>-7407</v>
      </c>
      <c r="Y70" s="1989">
        <v>-10000</v>
      </c>
      <c r="Z70" s="1989">
        <v>45724619</v>
      </c>
      <c r="AA70" s="1989">
        <v>-6000831</v>
      </c>
      <c r="AB70" s="1990"/>
      <c r="AC70" s="1989">
        <v>165</v>
      </c>
      <c r="AD70" s="1989">
        <v>17</v>
      </c>
      <c r="AE70" s="1989">
        <v>23</v>
      </c>
      <c r="AF70" s="1989">
        <v>0</v>
      </c>
      <c r="AG70" s="1989">
        <v>122</v>
      </c>
      <c r="AH70" s="1989">
        <v>0</v>
      </c>
      <c r="AI70" s="1989">
        <v>0</v>
      </c>
      <c r="AJ70" s="1989">
        <v>0</v>
      </c>
      <c r="AK70" s="1989">
        <v>0</v>
      </c>
      <c r="AL70" s="1989">
        <v>0</v>
      </c>
      <c r="AM70" s="1989">
        <v>0</v>
      </c>
      <c r="AN70" s="1989">
        <v>0</v>
      </c>
      <c r="AO70" s="1989">
        <v>699</v>
      </c>
      <c r="AP70" s="1989">
        <v>903</v>
      </c>
      <c r="AQ70" s="1989">
        <v>748</v>
      </c>
      <c r="AR70" s="1989">
        <v>155</v>
      </c>
      <c r="AS70" s="1989">
        <v>760</v>
      </c>
      <c r="AT70" s="1988">
        <v>2370</v>
      </c>
      <c r="AU70" s="1991"/>
      <c r="AV70" s="1991"/>
      <c r="AX70" s="1992"/>
      <c r="AY70" s="1992"/>
      <c r="AZ70" s="1992"/>
      <c r="BA70" s="1992"/>
      <c r="BB70" s="1992"/>
      <c r="BD70" s="1992"/>
      <c r="BE70" s="1992"/>
      <c r="BG70" s="1992"/>
      <c r="BI70" s="1992"/>
      <c r="BJ70" s="1992"/>
      <c r="BK70" s="1992"/>
    </row>
    <row r="71" spans="1:63" ht="12.75" x14ac:dyDescent="0.2">
      <c r="A71" s="1984">
        <v>64</v>
      </c>
      <c r="B71" s="1995" t="s">
        <v>5</v>
      </c>
      <c r="C71" s="1994" t="s">
        <v>6</v>
      </c>
      <c r="D71" s="1987">
        <v>87948</v>
      </c>
      <c r="E71" s="1988">
        <v>84076000</v>
      </c>
      <c r="F71" s="1989">
        <v>38406171</v>
      </c>
      <c r="G71" s="1989">
        <v>-1173002</v>
      </c>
      <c r="H71" s="1989">
        <v>983936</v>
      </c>
      <c r="I71" s="1989">
        <v>-189066</v>
      </c>
      <c r="J71" s="1989">
        <v>-1848217</v>
      </c>
      <c r="K71" s="1989">
        <v>0</v>
      </c>
      <c r="L71" s="1989">
        <v>-542</v>
      </c>
      <c r="M71" s="1989">
        <v>-250000</v>
      </c>
      <c r="N71" s="1989">
        <v>-1380050</v>
      </c>
      <c r="O71" s="1989">
        <v>-30000</v>
      </c>
      <c r="P71" s="1989">
        <v>-30000</v>
      </c>
      <c r="Q71" s="1989">
        <v>0</v>
      </c>
      <c r="R71" s="1989">
        <v>0</v>
      </c>
      <c r="S71" s="1989">
        <v>0</v>
      </c>
      <c r="T71" s="1989">
        <v>0</v>
      </c>
      <c r="U71" s="1989">
        <v>0</v>
      </c>
      <c r="V71" s="1989">
        <v>0</v>
      </c>
      <c r="W71" s="1989">
        <v>0</v>
      </c>
      <c r="X71" s="1989">
        <v>-50000</v>
      </c>
      <c r="Y71" s="1989">
        <v>0</v>
      </c>
      <c r="Z71" s="1989">
        <v>34628296</v>
      </c>
      <c r="AA71" s="1989">
        <v>-250000</v>
      </c>
      <c r="AB71" s="1990"/>
      <c r="AC71" s="1989">
        <v>90</v>
      </c>
      <c r="AD71" s="1989">
        <v>0</v>
      </c>
      <c r="AE71" s="1989">
        <v>1</v>
      </c>
      <c r="AF71" s="1989">
        <v>0</v>
      </c>
      <c r="AG71" s="1989">
        <v>79</v>
      </c>
      <c r="AH71" s="1989">
        <v>1</v>
      </c>
      <c r="AI71" s="1989">
        <v>0</v>
      </c>
      <c r="AJ71" s="1989">
        <v>0</v>
      </c>
      <c r="AK71" s="1989">
        <v>1</v>
      </c>
      <c r="AL71" s="1989">
        <v>1</v>
      </c>
      <c r="AM71" s="1989">
        <v>0</v>
      </c>
      <c r="AN71" s="1989">
        <v>0</v>
      </c>
      <c r="AO71" s="1989">
        <v>796</v>
      </c>
      <c r="AP71" s="1989">
        <v>632</v>
      </c>
      <c r="AQ71" s="1989">
        <v>446</v>
      </c>
      <c r="AR71" s="1989">
        <v>186</v>
      </c>
      <c r="AS71" s="1989">
        <v>415</v>
      </c>
      <c r="AT71" s="1988">
        <v>1880</v>
      </c>
      <c r="AU71" s="1991"/>
      <c r="AV71" s="1991"/>
      <c r="AX71" s="1992"/>
      <c r="AY71" s="1992"/>
      <c r="AZ71" s="1992"/>
      <c r="BA71" s="1992"/>
      <c r="BB71" s="1992"/>
      <c r="BD71" s="1992"/>
      <c r="BE71" s="1992"/>
      <c r="BG71" s="1992"/>
      <c r="BI71" s="1992"/>
      <c r="BJ71" s="1992"/>
      <c r="BK71" s="1992"/>
    </row>
    <row r="72" spans="1:63" ht="12.75" x14ac:dyDescent="0.2">
      <c r="A72" s="1984">
        <v>65</v>
      </c>
      <c r="B72" s="1995" t="s">
        <v>7</v>
      </c>
      <c r="C72" s="1994" t="s">
        <v>8</v>
      </c>
      <c r="D72" s="1987">
        <v>1124892</v>
      </c>
      <c r="E72" s="1988">
        <v>455276000</v>
      </c>
      <c r="F72" s="1989">
        <v>208896900</v>
      </c>
      <c r="G72" s="1989">
        <v>-24104501</v>
      </c>
      <c r="H72" s="1989">
        <v>4070650</v>
      </c>
      <c r="I72" s="1989">
        <v>-20033851</v>
      </c>
      <c r="J72" s="1989">
        <v>-16053876</v>
      </c>
      <c r="K72" s="1989">
        <v>-240397</v>
      </c>
      <c r="L72" s="1989">
        <v>-232655</v>
      </c>
      <c r="M72" s="1989">
        <v>-47684</v>
      </c>
      <c r="N72" s="1989">
        <v>-3372305</v>
      </c>
      <c r="O72" s="1989">
        <v>-676151</v>
      </c>
      <c r="P72" s="1989">
        <v>-309737</v>
      </c>
      <c r="Q72" s="1989">
        <v>-5595</v>
      </c>
      <c r="R72" s="1989">
        <v>-105057</v>
      </c>
      <c r="S72" s="1989">
        <v>-16922</v>
      </c>
      <c r="T72" s="1989">
        <v>-293073</v>
      </c>
      <c r="U72" s="1989">
        <v>-293073</v>
      </c>
      <c r="V72" s="1989">
        <v>0</v>
      </c>
      <c r="W72" s="1989">
        <v>-15000</v>
      </c>
      <c r="X72" s="1989">
        <v>-34163</v>
      </c>
      <c r="Y72" s="1989">
        <v>-163886</v>
      </c>
      <c r="Z72" s="1989">
        <v>165846548</v>
      </c>
      <c r="AA72" s="1989">
        <v>-9260000</v>
      </c>
      <c r="AB72" s="1990"/>
      <c r="AC72" s="1989">
        <v>1868</v>
      </c>
      <c r="AD72" s="1989">
        <v>54</v>
      </c>
      <c r="AE72" s="1989">
        <v>194</v>
      </c>
      <c r="AF72" s="1989">
        <v>3</v>
      </c>
      <c r="AG72" s="1989">
        <v>959</v>
      </c>
      <c r="AH72" s="1989">
        <v>714</v>
      </c>
      <c r="AI72" s="1989">
        <v>118</v>
      </c>
      <c r="AJ72" s="1989">
        <v>15</v>
      </c>
      <c r="AK72" s="1989">
        <v>94</v>
      </c>
      <c r="AL72" s="1989">
        <v>7</v>
      </c>
      <c r="AM72" s="1989">
        <v>8</v>
      </c>
      <c r="AN72" s="1989">
        <v>248</v>
      </c>
      <c r="AO72" s="1989">
        <v>7304</v>
      </c>
      <c r="AP72" s="1989">
        <v>14163</v>
      </c>
      <c r="AQ72" s="1989">
        <v>11176</v>
      </c>
      <c r="AR72" s="1989">
        <v>2987</v>
      </c>
      <c r="AS72" s="1989">
        <v>8065</v>
      </c>
      <c r="AT72" s="1988">
        <v>30030</v>
      </c>
      <c r="AU72" s="1991"/>
      <c r="AV72" s="1991"/>
      <c r="AX72" s="1992"/>
      <c r="AY72" s="1992"/>
      <c r="AZ72" s="1992"/>
      <c r="BA72" s="1992"/>
      <c r="BB72" s="1992"/>
      <c r="BD72" s="1992"/>
      <c r="BE72" s="1992"/>
      <c r="BG72" s="1992"/>
      <c r="BI72" s="1992"/>
      <c r="BJ72" s="1992"/>
      <c r="BK72" s="1992"/>
    </row>
    <row r="73" spans="1:63" ht="12.75" x14ac:dyDescent="0.2">
      <c r="A73" s="1984">
        <v>66</v>
      </c>
      <c r="B73" s="1995" t="s">
        <v>9</v>
      </c>
      <c r="C73" s="1994" t="s">
        <v>10</v>
      </c>
      <c r="D73" s="1987">
        <v>179930</v>
      </c>
      <c r="E73" s="1988">
        <v>87154000</v>
      </c>
      <c r="F73" s="1989">
        <v>37140533</v>
      </c>
      <c r="G73" s="1989">
        <v>-3035945</v>
      </c>
      <c r="H73" s="1989">
        <v>753190</v>
      </c>
      <c r="I73" s="1989">
        <v>-2282755</v>
      </c>
      <c r="J73" s="1989">
        <v>-2100761</v>
      </c>
      <c r="K73" s="1989">
        <v>-115851</v>
      </c>
      <c r="L73" s="1989">
        <v>-33423</v>
      </c>
      <c r="M73" s="1989">
        <v>0</v>
      </c>
      <c r="N73" s="1989">
        <v>-747456</v>
      </c>
      <c r="O73" s="1989">
        <v>-92355</v>
      </c>
      <c r="P73" s="1989">
        <v>-8623</v>
      </c>
      <c r="Q73" s="1989">
        <v>-79</v>
      </c>
      <c r="R73" s="1989">
        <v>-6318</v>
      </c>
      <c r="S73" s="1989">
        <v>0</v>
      </c>
      <c r="T73" s="1989">
        <v>0</v>
      </c>
      <c r="U73" s="1989">
        <v>0</v>
      </c>
      <c r="V73" s="1989">
        <v>0</v>
      </c>
      <c r="W73" s="1989">
        <v>-7082</v>
      </c>
      <c r="X73" s="1989">
        <v>-3013</v>
      </c>
      <c r="Y73" s="1989">
        <v>-15207</v>
      </c>
      <c r="Z73" s="1989">
        <v>31727610</v>
      </c>
      <c r="AA73" s="1989">
        <v>-494056</v>
      </c>
      <c r="AB73" s="1990"/>
      <c r="AC73" s="1989">
        <v>278</v>
      </c>
      <c r="AD73" s="1989">
        <v>21</v>
      </c>
      <c r="AE73" s="1989">
        <v>27</v>
      </c>
      <c r="AF73" s="1989">
        <v>0</v>
      </c>
      <c r="AG73" s="1989">
        <v>231</v>
      </c>
      <c r="AH73" s="1989">
        <v>99</v>
      </c>
      <c r="AI73" s="1989">
        <v>27</v>
      </c>
      <c r="AJ73" s="1989">
        <v>1</v>
      </c>
      <c r="AK73" s="1989">
        <v>8</v>
      </c>
      <c r="AL73" s="1989">
        <v>0</v>
      </c>
      <c r="AM73" s="1989">
        <v>0</v>
      </c>
      <c r="AN73" s="1989">
        <v>0</v>
      </c>
      <c r="AO73" s="1989">
        <v>1551</v>
      </c>
      <c r="AP73" s="1989">
        <v>1656</v>
      </c>
      <c r="AQ73" s="1989">
        <v>1122</v>
      </c>
      <c r="AR73" s="1989">
        <v>534</v>
      </c>
      <c r="AS73" s="1989">
        <v>1590</v>
      </c>
      <c r="AT73" s="1988">
        <v>4570</v>
      </c>
      <c r="AU73" s="1991"/>
      <c r="AV73" s="1991"/>
      <c r="AX73" s="1992"/>
      <c r="AY73" s="1992"/>
      <c r="AZ73" s="1992"/>
      <c r="BA73" s="1992"/>
      <c r="BB73" s="1992"/>
      <c r="BD73" s="1992"/>
      <c r="BE73" s="1992"/>
      <c r="BG73" s="1992"/>
      <c r="BI73" s="1992"/>
      <c r="BJ73" s="1992"/>
      <c r="BK73" s="1992"/>
    </row>
    <row r="74" spans="1:63" ht="12.75" x14ac:dyDescent="0.2">
      <c r="A74" s="1984">
        <v>67</v>
      </c>
      <c r="B74" s="1995" t="s">
        <v>11</v>
      </c>
      <c r="C74" s="1994" t="s">
        <v>12</v>
      </c>
      <c r="D74" s="1987">
        <v>373014</v>
      </c>
      <c r="E74" s="1988">
        <v>310865000</v>
      </c>
      <c r="F74" s="1989">
        <v>144007979</v>
      </c>
      <c r="G74" s="1989">
        <v>-5599510</v>
      </c>
      <c r="H74" s="1989">
        <v>3496469</v>
      </c>
      <c r="I74" s="1989">
        <v>-2103041</v>
      </c>
      <c r="J74" s="1989">
        <v>-12563289</v>
      </c>
      <c r="K74" s="1989">
        <v>-87710</v>
      </c>
      <c r="L74" s="1989">
        <v>0</v>
      </c>
      <c r="M74" s="1989">
        <v>-58820</v>
      </c>
      <c r="N74" s="1989">
        <v>-2301512</v>
      </c>
      <c r="O74" s="1989">
        <v>-248597</v>
      </c>
      <c r="P74" s="1989">
        <v>-19167</v>
      </c>
      <c r="Q74" s="1989">
        <v>-10439</v>
      </c>
      <c r="R74" s="1989">
        <v>0</v>
      </c>
      <c r="S74" s="1989">
        <v>0</v>
      </c>
      <c r="T74" s="1989">
        <v>0</v>
      </c>
      <c r="U74" s="1989">
        <v>0</v>
      </c>
      <c r="V74" s="1989">
        <v>0</v>
      </c>
      <c r="W74" s="1989">
        <v>-9144</v>
      </c>
      <c r="X74" s="1989">
        <v>-93617</v>
      </c>
      <c r="Y74" s="1989">
        <v>-6675</v>
      </c>
      <c r="Z74" s="1989">
        <v>126505968</v>
      </c>
      <c r="AA74" s="1989">
        <v>-5582000</v>
      </c>
      <c r="AB74" s="1990"/>
      <c r="AC74" s="1989">
        <v>408</v>
      </c>
      <c r="AD74" s="1989">
        <v>6</v>
      </c>
      <c r="AE74" s="1989">
        <v>0</v>
      </c>
      <c r="AF74" s="1989">
        <v>0</v>
      </c>
      <c r="AG74" s="1989">
        <v>406</v>
      </c>
      <c r="AH74" s="1989">
        <v>8</v>
      </c>
      <c r="AI74" s="1989">
        <v>3</v>
      </c>
      <c r="AJ74" s="1989">
        <v>0</v>
      </c>
      <c r="AK74" s="1989">
        <v>0</v>
      </c>
      <c r="AL74" s="1989">
        <v>0</v>
      </c>
      <c r="AM74" s="1989">
        <v>0</v>
      </c>
      <c r="AN74" s="1989">
        <v>0</v>
      </c>
      <c r="AO74" s="1989">
        <v>3102</v>
      </c>
      <c r="AP74" s="1989">
        <v>3027</v>
      </c>
      <c r="AQ74" s="1989">
        <v>2153</v>
      </c>
      <c r="AR74" s="1989">
        <v>874</v>
      </c>
      <c r="AS74" s="1989">
        <v>2131</v>
      </c>
      <c r="AT74" s="1988">
        <v>8380</v>
      </c>
      <c r="AU74" s="1991"/>
      <c r="AV74" s="1991"/>
      <c r="AX74" s="1992"/>
      <c r="AY74" s="1992"/>
      <c r="AZ74" s="1992"/>
      <c r="BA74" s="1992"/>
      <c r="BB74" s="1992"/>
      <c r="BD74" s="1992"/>
      <c r="BE74" s="1992"/>
      <c r="BG74" s="1992"/>
      <c r="BI74" s="1992"/>
      <c r="BJ74" s="1992"/>
      <c r="BK74" s="1992"/>
    </row>
    <row r="75" spans="1:63" ht="12.75" x14ac:dyDescent="0.2">
      <c r="A75" s="1984">
        <v>68</v>
      </c>
      <c r="B75" s="1995" t="s">
        <v>13</v>
      </c>
      <c r="C75" s="1994" t="s">
        <v>14</v>
      </c>
      <c r="D75" s="1987">
        <v>118120</v>
      </c>
      <c r="E75" s="1988">
        <v>50417000</v>
      </c>
      <c r="F75" s="1989">
        <v>22902005</v>
      </c>
      <c r="G75" s="1989">
        <v>-2331953</v>
      </c>
      <c r="H75" s="1989">
        <v>456415</v>
      </c>
      <c r="I75" s="1989">
        <v>-1875538</v>
      </c>
      <c r="J75" s="1989">
        <v>-1070926</v>
      </c>
      <c r="K75" s="1989">
        <v>-28597</v>
      </c>
      <c r="L75" s="1989">
        <v>-28136</v>
      </c>
      <c r="M75" s="1989">
        <v>-3815</v>
      </c>
      <c r="N75" s="1989">
        <v>-630306</v>
      </c>
      <c r="O75" s="1989">
        <v>-21659</v>
      </c>
      <c r="P75" s="1989">
        <v>-3627</v>
      </c>
      <c r="Q75" s="1989">
        <v>0</v>
      </c>
      <c r="R75" s="1989">
        <v>-30342</v>
      </c>
      <c r="S75" s="1989">
        <v>0</v>
      </c>
      <c r="T75" s="1989">
        <v>0</v>
      </c>
      <c r="U75" s="1989">
        <v>0</v>
      </c>
      <c r="V75" s="1989">
        <v>0</v>
      </c>
      <c r="W75" s="1989">
        <v>-3529</v>
      </c>
      <c r="X75" s="1989">
        <v>-24297</v>
      </c>
      <c r="Y75" s="1989">
        <v>0</v>
      </c>
      <c r="Z75" s="1989">
        <v>19181233</v>
      </c>
      <c r="AA75" s="1989">
        <v>-466800</v>
      </c>
      <c r="AB75" s="1990"/>
      <c r="AC75" s="1989">
        <v>178</v>
      </c>
      <c r="AD75" s="1989">
        <v>7</v>
      </c>
      <c r="AE75" s="1989">
        <v>22</v>
      </c>
      <c r="AF75" s="1989">
        <v>0</v>
      </c>
      <c r="AG75" s="1989">
        <v>214</v>
      </c>
      <c r="AH75" s="1989">
        <v>54</v>
      </c>
      <c r="AI75" s="1989">
        <v>5</v>
      </c>
      <c r="AJ75" s="1989">
        <v>0</v>
      </c>
      <c r="AK75" s="1989">
        <v>5</v>
      </c>
      <c r="AL75" s="1989">
        <v>0</v>
      </c>
      <c r="AM75" s="1989">
        <v>0</v>
      </c>
      <c r="AN75" s="1989">
        <v>0</v>
      </c>
      <c r="AO75" s="1989">
        <v>956</v>
      </c>
      <c r="AP75" s="1989">
        <v>1331</v>
      </c>
      <c r="AQ75" s="1989">
        <v>977</v>
      </c>
      <c r="AR75" s="1989">
        <v>354</v>
      </c>
      <c r="AS75" s="1989">
        <v>816</v>
      </c>
      <c r="AT75" s="1988">
        <v>3130</v>
      </c>
      <c r="AU75" s="1991"/>
      <c r="AV75" s="1991"/>
      <c r="AX75" s="1992"/>
      <c r="AY75" s="1992"/>
      <c r="AZ75" s="1992"/>
      <c r="BA75" s="1992"/>
      <c r="BB75" s="1992"/>
      <c r="BD75" s="1992"/>
      <c r="BE75" s="1992"/>
      <c r="BG75" s="1992"/>
      <c r="BI75" s="1992"/>
      <c r="BJ75" s="1992"/>
      <c r="BK75" s="1992"/>
    </row>
    <row r="76" spans="1:63" ht="12.75" x14ac:dyDescent="0.2">
      <c r="A76" s="1984">
        <v>69</v>
      </c>
      <c r="B76" s="1995" t="s">
        <v>15</v>
      </c>
      <c r="C76" s="1994" t="s">
        <v>16</v>
      </c>
      <c r="D76" s="1987">
        <v>201502</v>
      </c>
      <c r="E76" s="1988">
        <v>268980000</v>
      </c>
      <c r="F76" s="1989">
        <v>127385893</v>
      </c>
      <c r="G76" s="1989">
        <v>-797614</v>
      </c>
      <c r="H76" s="1989">
        <v>3268228</v>
      </c>
      <c r="I76" s="1989">
        <v>2470614</v>
      </c>
      <c r="J76" s="1989">
        <v>-2750112</v>
      </c>
      <c r="K76" s="1989">
        <v>-29259</v>
      </c>
      <c r="L76" s="1989">
        <v>0</v>
      </c>
      <c r="M76" s="1989">
        <v>-85000</v>
      </c>
      <c r="N76" s="1989">
        <v>-4260027</v>
      </c>
      <c r="O76" s="1989">
        <v>-295944</v>
      </c>
      <c r="P76" s="1989">
        <v>-108266</v>
      </c>
      <c r="Q76" s="1989">
        <v>-1696</v>
      </c>
      <c r="R76" s="1989">
        <v>0</v>
      </c>
      <c r="S76" s="1989">
        <v>0</v>
      </c>
      <c r="T76" s="1989">
        <v>0</v>
      </c>
      <c r="U76" s="1989">
        <v>0</v>
      </c>
      <c r="V76" s="1989">
        <v>0</v>
      </c>
      <c r="W76" s="1989">
        <v>-110885</v>
      </c>
      <c r="X76" s="1989">
        <v>-71304</v>
      </c>
      <c r="Y76" s="1989">
        <v>-3548</v>
      </c>
      <c r="Z76" s="1989">
        <v>122321466</v>
      </c>
      <c r="AA76" s="1989">
        <v>-1621061</v>
      </c>
      <c r="AB76" s="1990"/>
      <c r="AC76" s="1989">
        <v>113</v>
      </c>
      <c r="AD76" s="1989">
        <v>14</v>
      </c>
      <c r="AE76" s="1989">
        <v>0</v>
      </c>
      <c r="AF76" s="1989">
        <v>0</v>
      </c>
      <c r="AG76" s="1989">
        <v>332</v>
      </c>
      <c r="AH76" s="1989">
        <v>71</v>
      </c>
      <c r="AI76" s="1989">
        <v>11</v>
      </c>
      <c r="AJ76" s="1989">
        <v>9</v>
      </c>
      <c r="AK76" s="1989">
        <v>0</v>
      </c>
      <c r="AL76" s="1989">
        <v>0</v>
      </c>
      <c r="AM76" s="1989">
        <v>0</v>
      </c>
      <c r="AN76" s="1989">
        <v>0</v>
      </c>
      <c r="AO76" s="1989">
        <v>1690</v>
      </c>
      <c r="AP76" s="1989">
        <v>409</v>
      </c>
      <c r="AQ76" s="1989">
        <v>188</v>
      </c>
      <c r="AR76" s="1989">
        <v>221</v>
      </c>
      <c r="AS76" s="1989">
        <v>1029</v>
      </c>
      <c r="AT76" s="1988">
        <v>3130</v>
      </c>
      <c r="AU76" s="1991"/>
      <c r="AV76" s="1991"/>
      <c r="AX76" s="1992"/>
      <c r="AY76" s="1992"/>
      <c r="AZ76" s="1992"/>
      <c r="BA76" s="1992"/>
      <c r="BB76" s="1992"/>
      <c r="BD76" s="1992"/>
      <c r="BE76" s="1992"/>
      <c r="BG76" s="1992"/>
      <c r="BI76" s="1992"/>
      <c r="BJ76" s="1992"/>
      <c r="BK76" s="1992"/>
    </row>
    <row r="77" spans="1:63" ht="12.75" x14ac:dyDescent="0.2">
      <c r="A77" s="1984">
        <v>70</v>
      </c>
      <c r="B77" s="1995" t="s">
        <v>17</v>
      </c>
      <c r="C77" s="1994" t="s">
        <v>18</v>
      </c>
      <c r="D77" s="1987">
        <v>429856</v>
      </c>
      <c r="E77" s="1988">
        <v>334615000</v>
      </c>
      <c r="F77" s="1989">
        <v>134776739</v>
      </c>
      <c r="G77" s="1989">
        <v>-6143027</v>
      </c>
      <c r="H77" s="1989">
        <v>3144840</v>
      </c>
      <c r="I77" s="1989">
        <v>-2998187</v>
      </c>
      <c r="J77" s="1989">
        <v>-9388165</v>
      </c>
      <c r="K77" s="1989">
        <v>-170270</v>
      </c>
      <c r="L77" s="1989">
        <v>0</v>
      </c>
      <c r="M77" s="1989">
        <v>-659521</v>
      </c>
      <c r="N77" s="1989">
        <v>-7287195</v>
      </c>
      <c r="O77" s="1989">
        <v>-37115</v>
      </c>
      <c r="P77" s="1989">
        <v>-55131</v>
      </c>
      <c r="Q77" s="1989">
        <v>0</v>
      </c>
      <c r="R77" s="1989">
        <v>0</v>
      </c>
      <c r="S77" s="1989">
        <v>0</v>
      </c>
      <c r="T77" s="1989">
        <v>0</v>
      </c>
      <c r="U77" s="1989">
        <v>0</v>
      </c>
      <c r="V77" s="1989">
        <v>0</v>
      </c>
      <c r="W77" s="1989">
        <v>0</v>
      </c>
      <c r="X77" s="1989">
        <v>-786</v>
      </c>
      <c r="Y77" s="1989">
        <v>-1322768</v>
      </c>
      <c r="Z77" s="1989">
        <v>112064701</v>
      </c>
      <c r="AA77" s="1989">
        <v>-2000000</v>
      </c>
      <c r="AB77" s="1990"/>
      <c r="AC77" s="1989">
        <v>405</v>
      </c>
      <c r="AD77" s="1989">
        <v>28</v>
      </c>
      <c r="AE77" s="1989">
        <v>0</v>
      </c>
      <c r="AF77" s="1989">
        <v>1</v>
      </c>
      <c r="AG77" s="1989">
        <v>1254</v>
      </c>
      <c r="AH77" s="1989">
        <v>9</v>
      </c>
      <c r="AI77" s="1989">
        <v>69</v>
      </c>
      <c r="AJ77" s="1989">
        <v>28</v>
      </c>
      <c r="AK77" s="1989">
        <v>0</v>
      </c>
      <c r="AL77" s="1989">
        <v>0</v>
      </c>
      <c r="AM77" s="1989">
        <v>0</v>
      </c>
      <c r="AN77" s="1989">
        <v>0</v>
      </c>
      <c r="AO77" s="1989">
        <v>1721</v>
      </c>
      <c r="AP77" s="1989">
        <v>3013</v>
      </c>
      <c r="AQ77" s="1989">
        <v>1717</v>
      </c>
      <c r="AR77" s="1989">
        <v>1296</v>
      </c>
      <c r="AS77" s="1989">
        <v>4294</v>
      </c>
      <c r="AT77" s="1988">
        <v>9120</v>
      </c>
      <c r="AU77" s="1991"/>
      <c r="AV77" s="1991"/>
      <c r="AX77" s="1992"/>
      <c r="AY77" s="1992"/>
      <c r="AZ77" s="1992"/>
      <c r="BA77" s="1992"/>
      <c r="BB77" s="1992"/>
      <c r="BD77" s="1992"/>
      <c r="BE77" s="1992"/>
      <c r="BG77" s="1992"/>
      <c r="BI77" s="1992"/>
      <c r="BJ77" s="1992"/>
      <c r="BK77" s="1992"/>
    </row>
    <row r="78" spans="1:63" ht="12.75" x14ac:dyDescent="0.2">
      <c r="A78" s="1984">
        <v>71</v>
      </c>
      <c r="B78" s="1995" t="s">
        <v>19</v>
      </c>
      <c r="C78" s="1994" t="s">
        <v>21</v>
      </c>
      <c r="D78" s="1987">
        <v>207475</v>
      </c>
      <c r="E78" s="1988">
        <v>158329000</v>
      </c>
      <c r="F78" s="1989">
        <v>72113027</v>
      </c>
      <c r="G78" s="1989">
        <v>-2238067</v>
      </c>
      <c r="H78" s="1989">
        <v>1747882</v>
      </c>
      <c r="I78" s="1989">
        <v>-490185</v>
      </c>
      <c r="J78" s="1989">
        <v>-4008164</v>
      </c>
      <c r="K78" s="1989">
        <v>-81041</v>
      </c>
      <c r="L78" s="1989">
        <v>-4125</v>
      </c>
      <c r="M78" s="1989">
        <v>-90000</v>
      </c>
      <c r="N78" s="1989">
        <v>-786372</v>
      </c>
      <c r="O78" s="1989">
        <v>-255953</v>
      </c>
      <c r="P78" s="1989">
        <v>-1851</v>
      </c>
      <c r="Q78" s="1989">
        <v>0</v>
      </c>
      <c r="R78" s="1989">
        <v>0</v>
      </c>
      <c r="S78" s="1989">
        <v>-2013</v>
      </c>
      <c r="T78" s="1989">
        <v>0</v>
      </c>
      <c r="U78" s="1989">
        <v>0</v>
      </c>
      <c r="V78" s="1989">
        <v>0</v>
      </c>
      <c r="W78" s="1989">
        <v>0</v>
      </c>
      <c r="X78" s="1989">
        <v>-2601</v>
      </c>
      <c r="Y78" s="1989">
        <v>0</v>
      </c>
      <c r="Z78" s="1989">
        <v>65790722</v>
      </c>
      <c r="AA78" s="1989">
        <v>-3250000</v>
      </c>
      <c r="AB78" s="1990"/>
      <c r="AC78" s="1989">
        <v>242</v>
      </c>
      <c r="AD78" s="1989">
        <v>20</v>
      </c>
      <c r="AE78" s="1989">
        <v>2</v>
      </c>
      <c r="AF78" s="1989">
        <v>0</v>
      </c>
      <c r="AG78" s="1989">
        <v>494</v>
      </c>
      <c r="AH78" s="1989">
        <v>107</v>
      </c>
      <c r="AI78" s="1989">
        <v>2</v>
      </c>
      <c r="AJ78" s="1989">
        <v>0</v>
      </c>
      <c r="AK78" s="1989">
        <v>0</v>
      </c>
      <c r="AL78" s="1989">
        <v>1</v>
      </c>
      <c r="AM78" s="1989">
        <v>0</v>
      </c>
      <c r="AN78" s="1989">
        <v>0</v>
      </c>
      <c r="AO78" s="1989">
        <v>2050</v>
      </c>
      <c r="AP78" s="1989">
        <v>1245</v>
      </c>
      <c r="AQ78" s="1989">
        <v>693</v>
      </c>
      <c r="AR78" s="1989">
        <v>552</v>
      </c>
      <c r="AS78" s="1989">
        <v>1236</v>
      </c>
      <c r="AT78" s="1988">
        <v>4400</v>
      </c>
      <c r="AU78" s="1991"/>
      <c r="AV78" s="1991"/>
      <c r="AX78" s="1992"/>
      <c r="AY78" s="1992"/>
      <c r="AZ78" s="1992"/>
      <c r="BA78" s="1992"/>
      <c r="BB78" s="1992"/>
      <c r="BD78" s="1992"/>
      <c r="BE78" s="1992"/>
      <c r="BG78" s="1992"/>
      <c r="BI78" s="1992"/>
      <c r="BJ78" s="1992"/>
      <c r="BK78" s="1992"/>
    </row>
    <row r="79" spans="1:63" ht="12.75" x14ac:dyDescent="0.2">
      <c r="A79" s="1984">
        <v>72</v>
      </c>
      <c r="B79" s="1996" t="s">
        <v>661</v>
      </c>
      <c r="C79" s="1994" t="s">
        <v>23</v>
      </c>
      <c r="D79" s="1987">
        <v>143297</v>
      </c>
      <c r="E79" s="1988">
        <v>80992000</v>
      </c>
      <c r="F79" s="1989">
        <v>41924867</v>
      </c>
      <c r="G79" s="1989">
        <v>-2429360</v>
      </c>
      <c r="H79" s="1989">
        <v>944593</v>
      </c>
      <c r="I79" s="1989">
        <v>-1484767</v>
      </c>
      <c r="J79" s="1989">
        <v>-2605369</v>
      </c>
      <c r="K79" s="1989">
        <v>-54276</v>
      </c>
      <c r="L79" s="1989">
        <v>-4249</v>
      </c>
      <c r="M79" s="1989">
        <v>0</v>
      </c>
      <c r="N79" s="1989">
        <v>-1026201</v>
      </c>
      <c r="O79" s="1989">
        <v>-45572</v>
      </c>
      <c r="P79" s="1989">
        <v>0</v>
      </c>
      <c r="Q79" s="1989">
        <v>0</v>
      </c>
      <c r="R79" s="1989">
        <v>0</v>
      </c>
      <c r="S79" s="1989">
        <v>0</v>
      </c>
      <c r="T79" s="1989">
        <v>0</v>
      </c>
      <c r="U79" s="1989">
        <v>0</v>
      </c>
      <c r="V79" s="1989">
        <v>0</v>
      </c>
      <c r="W79" s="1989">
        <v>-124300</v>
      </c>
      <c r="X79" s="1989">
        <v>-47726</v>
      </c>
      <c r="Y79" s="1989">
        <v>0</v>
      </c>
      <c r="Z79" s="1989">
        <v>36532407</v>
      </c>
      <c r="AA79" s="1989">
        <v>-300000</v>
      </c>
      <c r="AB79" s="1990"/>
      <c r="AC79" s="1989">
        <v>153</v>
      </c>
      <c r="AD79" s="1989">
        <v>8</v>
      </c>
      <c r="AE79" s="1989">
        <v>4</v>
      </c>
      <c r="AF79" s="1989">
        <v>0</v>
      </c>
      <c r="AG79" s="1989">
        <v>489</v>
      </c>
      <c r="AH79" s="1989">
        <v>42</v>
      </c>
      <c r="AI79" s="1989">
        <v>0</v>
      </c>
      <c r="AJ79" s="1989">
        <v>0</v>
      </c>
      <c r="AK79" s="1989">
        <v>0</v>
      </c>
      <c r="AL79" s="1989">
        <v>0</v>
      </c>
      <c r="AM79" s="1989">
        <v>1</v>
      </c>
      <c r="AN79" s="1989">
        <v>0</v>
      </c>
      <c r="AO79" s="1989">
        <v>2282</v>
      </c>
      <c r="AP79" s="1989">
        <v>1298</v>
      </c>
      <c r="AQ79" s="1989">
        <v>932</v>
      </c>
      <c r="AR79" s="1989">
        <v>366</v>
      </c>
      <c r="AS79" s="1989">
        <v>43</v>
      </c>
      <c r="AT79" s="1988">
        <v>3620</v>
      </c>
      <c r="AU79" s="1991"/>
      <c r="AV79" s="1991"/>
      <c r="AX79" s="1992"/>
      <c r="AY79" s="1992"/>
      <c r="AZ79" s="1992"/>
      <c r="BA79" s="1992"/>
      <c r="BB79" s="1992"/>
      <c r="BD79" s="1992"/>
      <c r="BE79" s="1992"/>
      <c r="BG79" s="1992"/>
      <c r="BI79" s="1992"/>
      <c r="BJ79" s="1992"/>
      <c r="BK79" s="1992"/>
    </row>
    <row r="80" spans="1:63" ht="12.75" x14ac:dyDescent="0.2">
      <c r="A80" s="1984">
        <v>73</v>
      </c>
      <c r="B80" s="1995" t="s">
        <v>24</v>
      </c>
      <c r="C80" s="1994" t="s">
        <v>25</v>
      </c>
      <c r="D80" s="1987">
        <v>168218</v>
      </c>
      <c r="E80" s="1988">
        <v>198372000</v>
      </c>
      <c r="F80" s="1989">
        <v>93535415</v>
      </c>
      <c r="G80" s="1989">
        <v>-1377486</v>
      </c>
      <c r="H80" s="1989">
        <v>2426346</v>
      </c>
      <c r="I80" s="1989">
        <v>1048860</v>
      </c>
      <c r="J80" s="1989">
        <v>-2622121</v>
      </c>
      <c r="K80" s="1989">
        <v>-52257</v>
      </c>
      <c r="L80" s="1989">
        <v>0</v>
      </c>
      <c r="M80" s="1989">
        <v>0</v>
      </c>
      <c r="N80" s="1989">
        <v>-1455259</v>
      </c>
      <c r="O80" s="1989">
        <v>-41724</v>
      </c>
      <c r="P80" s="1989">
        <v>-203</v>
      </c>
      <c r="Q80" s="1989">
        <v>-8051</v>
      </c>
      <c r="R80" s="1989">
        <v>0</v>
      </c>
      <c r="S80" s="1989">
        <v>-2530</v>
      </c>
      <c r="T80" s="1989">
        <v>-2500</v>
      </c>
      <c r="U80" s="1989">
        <v>0</v>
      </c>
      <c r="V80" s="1989">
        <v>0</v>
      </c>
      <c r="W80" s="1989">
        <v>0</v>
      </c>
      <c r="X80" s="1989">
        <v>-1955</v>
      </c>
      <c r="Y80" s="1989">
        <v>-6</v>
      </c>
      <c r="Z80" s="1989">
        <v>89960815</v>
      </c>
      <c r="AA80" s="1989">
        <v>-2500000</v>
      </c>
      <c r="AB80" s="1990"/>
      <c r="AC80" s="1989">
        <v>108</v>
      </c>
      <c r="AD80" s="1989">
        <v>6</v>
      </c>
      <c r="AE80" s="1989">
        <v>0</v>
      </c>
      <c r="AF80" s="1989">
        <v>0</v>
      </c>
      <c r="AG80" s="1989">
        <v>341</v>
      </c>
      <c r="AH80" s="1989">
        <v>48</v>
      </c>
      <c r="AI80" s="1989">
        <v>1</v>
      </c>
      <c r="AJ80" s="1989">
        <v>1</v>
      </c>
      <c r="AK80" s="1989">
        <v>0</v>
      </c>
      <c r="AL80" s="1989">
        <v>1</v>
      </c>
      <c r="AM80" s="1989">
        <v>0</v>
      </c>
      <c r="AN80" s="1989">
        <v>1</v>
      </c>
      <c r="AO80" s="1989">
        <v>1447</v>
      </c>
      <c r="AP80" s="1989">
        <v>685</v>
      </c>
      <c r="AQ80" s="1989">
        <v>418</v>
      </c>
      <c r="AR80" s="1989">
        <v>267</v>
      </c>
      <c r="AS80" s="1989">
        <v>894</v>
      </c>
      <c r="AT80" s="1988">
        <v>3030</v>
      </c>
      <c r="AU80" s="1991"/>
      <c r="AV80" s="1991"/>
      <c r="AX80" s="1992"/>
      <c r="AY80" s="1992"/>
      <c r="AZ80" s="1992"/>
      <c r="BA80" s="1992"/>
      <c r="BB80" s="1992"/>
      <c r="BD80" s="1992"/>
      <c r="BE80" s="1992"/>
      <c r="BG80" s="1992"/>
      <c r="BI80" s="1992"/>
      <c r="BJ80" s="1992"/>
      <c r="BK80" s="1992"/>
    </row>
    <row r="81" spans="1:63" ht="12.75" x14ac:dyDescent="0.2">
      <c r="A81" s="1984">
        <v>74</v>
      </c>
      <c r="B81" s="1995" t="s">
        <v>26</v>
      </c>
      <c r="C81" s="1994" t="s">
        <v>27</v>
      </c>
      <c r="D81" s="1987">
        <v>119376</v>
      </c>
      <c r="E81" s="1988">
        <v>106490000</v>
      </c>
      <c r="F81" s="1989">
        <v>48565139</v>
      </c>
      <c r="G81" s="1989">
        <v>-1709104</v>
      </c>
      <c r="H81" s="1989">
        <v>1099537</v>
      </c>
      <c r="I81" s="1989">
        <v>-609567</v>
      </c>
      <c r="J81" s="1989">
        <v>-1772640</v>
      </c>
      <c r="K81" s="1989">
        <v>-24065</v>
      </c>
      <c r="L81" s="1989">
        <v>-42879</v>
      </c>
      <c r="M81" s="1989">
        <v>0</v>
      </c>
      <c r="N81" s="1989">
        <v>-933817</v>
      </c>
      <c r="O81" s="1989">
        <v>-38426</v>
      </c>
      <c r="P81" s="1989">
        <v>-15869</v>
      </c>
      <c r="Q81" s="1989">
        <v>-392</v>
      </c>
      <c r="R81" s="1989">
        <v>0</v>
      </c>
      <c r="S81" s="1989">
        <v>0</v>
      </c>
      <c r="T81" s="1989">
        <v>0</v>
      </c>
      <c r="U81" s="1989">
        <v>0</v>
      </c>
      <c r="V81" s="1989">
        <v>0</v>
      </c>
      <c r="W81" s="1989">
        <v>0</v>
      </c>
      <c r="X81" s="1989">
        <v>0</v>
      </c>
      <c r="Y81" s="1989">
        <v>0</v>
      </c>
      <c r="Z81" s="1989">
        <v>45127484</v>
      </c>
      <c r="AA81" s="1989">
        <v>-839805</v>
      </c>
      <c r="AB81" s="1990"/>
      <c r="AC81" s="1989">
        <v>155</v>
      </c>
      <c r="AD81" s="1989">
        <v>4</v>
      </c>
      <c r="AE81" s="1989">
        <v>31</v>
      </c>
      <c r="AF81" s="1989">
        <v>0</v>
      </c>
      <c r="AG81" s="1989">
        <v>277</v>
      </c>
      <c r="AH81" s="1989">
        <v>89</v>
      </c>
      <c r="AI81" s="1989">
        <v>11</v>
      </c>
      <c r="AJ81" s="1989">
        <v>2</v>
      </c>
      <c r="AK81" s="1989">
        <v>0</v>
      </c>
      <c r="AL81" s="1989">
        <v>0</v>
      </c>
      <c r="AM81" s="1989">
        <v>0</v>
      </c>
      <c r="AN81" s="1989">
        <v>0</v>
      </c>
      <c r="AO81" s="1989">
        <v>1036</v>
      </c>
      <c r="AP81" s="1989">
        <v>874</v>
      </c>
      <c r="AQ81" s="1989">
        <v>545</v>
      </c>
      <c r="AR81" s="1989">
        <v>329</v>
      </c>
      <c r="AS81" s="1989">
        <v>659</v>
      </c>
      <c r="AT81" s="1988">
        <v>2620</v>
      </c>
      <c r="AU81" s="1991"/>
      <c r="AV81" s="1991"/>
      <c r="AX81" s="1992"/>
      <c r="AY81" s="1992"/>
      <c r="AZ81" s="1992"/>
      <c r="BA81" s="1992"/>
      <c r="BB81" s="1992"/>
      <c r="BD81" s="1992"/>
      <c r="BE81" s="1992"/>
      <c r="BG81" s="1992"/>
      <c r="BI81" s="1992"/>
      <c r="BJ81" s="1992"/>
      <c r="BK81" s="1992"/>
    </row>
    <row r="82" spans="1:63" ht="12.75" x14ac:dyDescent="0.2">
      <c r="A82" s="1984">
        <v>75</v>
      </c>
      <c r="B82" s="1996" t="s">
        <v>642</v>
      </c>
      <c r="C82" s="1994" t="s">
        <v>29</v>
      </c>
      <c r="D82" s="1987">
        <v>314953</v>
      </c>
      <c r="E82" s="1988">
        <v>230224000</v>
      </c>
      <c r="F82" s="1989">
        <v>105036615</v>
      </c>
      <c r="G82" s="1989">
        <v>-4257230</v>
      </c>
      <c r="H82" s="1989">
        <v>2468285</v>
      </c>
      <c r="I82" s="1989">
        <v>-1788945</v>
      </c>
      <c r="J82" s="1989">
        <v>-5550822</v>
      </c>
      <c r="K82" s="1989">
        <v>-34790</v>
      </c>
      <c r="L82" s="1989">
        <v>0</v>
      </c>
      <c r="M82" s="1989">
        <v>0</v>
      </c>
      <c r="N82" s="1989">
        <v>-1801241</v>
      </c>
      <c r="O82" s="1989">
        <v>-59506</v>
      </c>
      <c r="P82" s="1989">
        <v>-162235</v>
      </c>
      <c r="Q82" s="1989">
        <v>-7206</v>
      </c>
      <c r="R82" s="1989">
        <v>0</v>
      </c>
      <c r="S82" s="1989">
        <v>0</v>
      </c>
      <c r="T82" s="1989">
        <v>-25000</v>
      </c>
      <c r="U82" s="1989">
        <v>-25000</v>
      </c>
      <c r="V82" s="1989">
        <v>0</v>
      </c>
      <c r="W82" s="1989">
        <v>-50000</v>
      </c>
      <c r="X82" s="1989">
        <v>-5788</v>
      </c>
      <c r="Y82" s="1989">
        <v>0</v>
      </c>
      <c r="Z82" s="1989">
        <v>95536082</v>
      </c>
      <c r="AA82" s="1989">
        <v>-1724163</v>
      </c>
      <c r="AB82" s="1990"/>
      <c r="AC82" s="1989">
        <v>348</v>
      </c>
      <c r="AD82" s="1989">
        <v>3</v>
      </c>
      <c r="AE82" s="1989">
        <v>0</v>
      </c>
      <c r="AF82" s="1989">
        <v>0</v>
      </c>
      <c r="AG82" s="1989">
        <v>680</v>
      </c>
      <c r="AH82" s="1989">
        <v>66</v>
      </c>
      <c r="AI82" s="1989">
        <v>33</v>
      </c>
      <c r="AJ82" s="1989">
        <v>2</v>
      </c>
      <c r="AK82" s="1989">
        <v>0</v>
      </c>
      <c r="AL82" s="1989">
        <v>0</v>
      </c>
      <c r="AM82" s="1989">
        <v>0</v>
      </c>
      <c r="AN82" s="1989">
        <v>2</v>
      </c>
      <c r="AO82" s="1989">
        <v>3215</v>
      </c>
      <c r="AP82" s="1989">
        <v>2393</v>
      </c>
      <c r="AQ82" s="1989">
        <v>1742</v>
      </c>
      <c r="AR82" s="1989">
        <v>651</v>
      </c>
      <c r="AS82" s="1989">
        <v>1805</v>
      </c>
      <c r="AT82" s="1988">
        <v>7490</v>
      </c>
      <c r="AU82" s="1991"/>
      <c r="AV82" s="1991"/>
      <c r="AX82" s="1992"/>
      <c r="AY82" s="1992"/>
      <c r="AZ82" s="1992"/>
      <c r="BA82" s="1992"/>
      <c r="BB82" s="1992"/>
      <c r="BD82" s="1992"/>
      <c r="BE82" s="1992"/>
      <c r="BG82" s="1992"/>
      <c r="BI82" s="1992"/>
      <c r="BJ82" s="1992"/>
      <c r="BK82" s="1992"/>
    </row>
    <row r="83" spans="1:63" ht="12.75" x14ac:dyDescent="0.2">
      <c r="A83" s="1984">
        <v>76</v>
      </c>
      <c r="B83" s="1995" t="s">
        <v>30</v>
      </c>
      <c r="C83" s="1994" t="s">
        <v>31</v>
      </c>
      <c r="D83" s="1987">
        <v>147507</v>
      </c>
      <c r="E83" s="1988">
        <v>56100000</v>
      </c>
      <c r="F83" s="1989">
        <v>22801476</v>
      </c>
      <c r="G83" s="1989">
        <v>-2703351</v>
      </c>
      <c r="H83" s="1989">
        <v>411220</v>
      </c>
      <c r="I83" s="1989">
        <v>-2292131</v>
      </c>
      <c r="J83" s="1989">
        <v>-1077288</v>
      </c>
      <c r="K83" s="1989">
        <v>-45088</v>
      </c>
      <c r="L83" s="1989">
        <v>-60951</v>
      </c>
      <c r="M83" s="1989">
        <v>0</v>
      </c>
      <c r="N83" s="1989">
        <v>-461421</v>
      </c>
      <c r="O83" s="1989">
        <v>-117120</v>
      </c>
      <c r="P83" s="1989">
        <v>-128307</v>
      </c>
      <c r="Q83" s="1989">
        <v>-4065</v>
      </c>
      <c r="R83" s="1989">
        <v>-60951</v>
      </c>
      <c r="S83" s="1989">
        <v>-9414</v>
      </c>
      <c r="T83" s="1989">
        <v>0</v>
      </c>
      <c r="U83" s="1989">
        <v>0</v>
      </c>
      <c r="V83" s="1989">
        <v>0</v>
      </c>
      <c r="W83" s="1989">
        <v>0</v>
      </c>
      <c r="X83" s="1989">
        <v>0</v>
      </c>
      <c r="Y83" s="1989">
        <v>-10130</v>
      </c>
      <c r="Z83" s="1989">
        <v>18523264</v>
      </c>
      <c r="AA83" s="1989">
        <v>-122114</v>
      </c>
      <c r="AB83" s="1990"/>
      <c r="AC83" s="1989">
        <v>206</v>
      </c>
      <c r="AD83" s="1989">
        <v>5</v>
      </c>
      <c r="AE83" s="1989">
        <v>56</v>
      </c>
      <c r="AF83" s="1989">
        <v>0</v>
      </c>
      <c r="AG83" s="1989">
        <v>209</v>
      </c>
      <c r="AH83" s="1989">
        <v>149</v>
      </c>
      <c r="AI83" s="1989">
        <v>62</v>
      </c>
      <c r="AJ83" s="1989">
        <v>3</v>
      </c>
      <c r="AK83" s="1989">
        <v>56</v>
      </c>
      <c r="AL83" s="1989">
        <v>3</v>
      </c>
      <c r="AM83" s="1989">
        <v>0</v>
      </c>
      <c r="AN83" s="1989">
        <v>0</v>
      </c>
      <c r="AO83" s="1989">
        <v>1026</v>
      </c>
      <c r="AP83" s="1989">
        <v>1715</v>
      </c>
      <c r="AQ83" s="1989">
        <v>1330</v>
      </c>
      <c r="AR83" s="1989">
        <v>385</v>
      </c>
      <c r="AS83" s="1989">
        <v>1175</v>
      </c>
      <c r="AT83" s="1988">
        <v>3970</v>
      </c>
      <c r="AU83" s="1991"/>
      <c r="AV83" s="1991"/>
      <c r="AX83" s="1992"/>
      <c r="AY83" s="1992"/>
      <c r="AZ83" s="1992"/>
      <c r="BA83" s="1992"/>
      <c r="BB83" s="1992"/>
      <c r="BD83" s="1992"/>
      <c r="BE83" s="1992"/>
      <c r="BG83" s="1992"/>
      <c r="BI83" s="1992"/>
      <c r="BJ83" s="1992"/>
      <c r="BK83" s="1992"/>
    </row>
    <row r="84" spans="1:63" ht="12.75" x14ac:dyDescent="0.2">
      <c r="A84" s="1984">
        <v>77</v>
      </c>
      <c r="B84" s="1995" t="s">
        <v>32</v>
      </c>
      <c r="C84" s="1994" t="s">
        <v>33</v>
      </c>
      <c r="D84" s="1987">
        <v>371344</v>
      </c>
      <c r="E84" s="1988">
        <v>233504000</v>
      </c>
      <c r="F84" s="1989">
        <v>115137110</v>
      </c>
      <c r="G84" s="1989">
        <v>-6157672</v>
      </c>
      <c r="H84" s="1989">
        <v>2578168</v>
      </c>
      <c r="I84" s="1989">
        <v>-3579504</v>
      </c>
      <c r="J84" s="1989">
        <v>-5863525</v>
      </c>
      <c r="K84" s="1989">
        <v>-29403</v>
      </c>
      <c r="L84" s="1989">
        <v>-9281</v>
      </c>
      <c r="M84" s="1989">
        <v>-100000</v>
      </c>
      <c r="N84" s="1989">
        <v>-2898144</v>
      </c>
      <c r="O84" s="1989">
        <v>-282826</v>
      </c>
      <c r="P84" s="1989">
        <v>-112340</v>
      </c>
      <c r="Q84" s="1989">
        <v>0</v>
      </c>
      <c r="R84" s="1989">
        <v>0</v>
      </c>
      <c r="S84" s="1989">
        <v>0</v>
      </c>
      <c r="T84" s="1989">
        <v>0</v>
      </c>
      <c r="U84" s="1989">
        <v>0</v>
      </c>
      <c r="V84" s="1989">
        <v>0</v>
      </c>
      <c r="W84" s="1989">
        <v>-40829</v>
      </c>
      <c r="X84" s="1989">
        <v>-41850</v>
      </c>
      <c r="Y84" s="1989">
        <v>-19878</v>
      </c>
      <c r="Z84" s="1989">
        <v>101469520</v>
      </c>
      <c r="AA84" s="1989">
        <v>-2054683</v>
      </c>
      <c r="AB84" s="1990"/>
      <c r="AC84" s="1989">
        <v>365</v>
      </c>
      <c r="AD84" s="1989">
        <v>10</v>
      </c>
      <c r="AE84" s="1989">
        <v>8</v>
      </c>
      <c r="AF84" s="1989">
        <v>0</v>
      </c>
      <c r="AG84" s="1989">
        <v>1233</v>
      </c>
      <c r="AH84" s="1989">
        <v>93</v>
      </c>
      <c r="AI84" s="1989">
        <v>26</v>
      </c>
      <c r="AJ84" s="1989">
        <v>0</v>
      </c>
      <c r="AK84" s="1989">
        <v>0</v>
      </c>
      <c r="AL84" s="1989">
        <v>0</v>
      </c>
      <c r="AM84" s="1989">
        <v>0</v>
      </c>
      <c r="AN84" s="1989">
        <v>0</v>
      </c>
      <c r="AO84" s="1989">
        <v>3223</v>
      </c>
      <c r="AP84" s="1989">
        <v>3601</v>
      </c>
      <c r="AQ84" s="1989">
        <v>2741</v>
      </c>
      <c r="AR84" s="1989">
        <v>860</v>
      </c>
      <c r="AS84" s="1989">
        <v>2179</v>
      </c>
      <c r="AT84" s="1988">
        <v>9170</v>
      </c>
      <c r="AU84" s="1991"/>
      <c r="AV84" s="1991"/>
      <c r="AX84" s="1992"/>
      <c r="AY84" s="1992"/>
      <c r="AZ84" s="1992"/>
      <c r="BA84" s="1992"/>
      <c r="BB84" s="1992"/>
      <c r="BD84" s="1992"/>
      <c r="BE84" s="1992"/>
      <c r="BG84" s="1992"/>
      <c r="BI84" s="1992"/>
      <c r="BJ84" s="1992"/>
      <c r="BK84" s="1992"/>
    </row>
    <row r="85" spans="1:63" ht="12.75" x14ac:dyDescent="0.2">
      <c r="A85" s="1984">
        <v>78</v>
      </c>
      <c r="B85" s="1995" t="s">
        <v>46</v>
      </c>
      <c r="C85" s="1994" t="s">
        <v>47</v>
      </c>
      <c r="D85" s="1987">
        <v>164215</v>
      </c>
      <c r="E85" s="1988">
        <v>111264000</v>
      </c>
      <c r="F85" s="1989">
        <v>43585000</v>
      </c>
      <c r="G85" s="1989">
        <v>-2594000</v>
      </c>
      <c r="H85" s="1989">
        <v>924000</v>
      </c>
      <c r="I85" s="1989">
        <v>-1670000</v>
      </c>
      <c r="J85" s="1989">
        <v>-2404277</v>
      </c>
      <c r="K85" s="1989">
        <v>-58825</v>
      </c>
      <c r="L85" s="1989">
        <v>-25950</v>
      </c>
      <c r="M85" s="1989">
        <v>0</v>
      </c>
      <c r="N85" s="1989">
        <v>-679819</v>
      </c>
      <c r="O85" s="1989">
        <v>-147078</v>
      </c>
      <c r="P85" s="1989">
        <v>-45047</v>
      </c>
      <c r="Q85" s="1989">
        <v>0</v>
      </c>
      <c r="R85" s="1989">
        <v>0</v>
      </c>
      <c r="S85" s="1989">
        <v>0</v>
      </c>
      <c r="T85" s="1989">
        <v>-2560000</v>
      </c>
      <c r="U85" s="1989">
        <v>0</v>
      </c>
      <c r="V85" s="1989">
        <v>-2560000</v>
      </c>
      <c r="W85" s="1989">
        <v>0</v>
      </c>
      <c r="X85" s="1989">
        <v>-21000</v>
      </c>
      <c r="Y85" s="1989">
        <v>-11000</v>
      </c>
      <c r="Z85" s="1989">
        <v>35622000</v>
      </c>
      <c r="AA85" s="1989">
        <v>-600000</v>
      </c>
      <c r="AB85" s="1990"/>
      <c r="AC85" s="1989">
        <v>224</v>
      </c>
      <c r="AD85" s="1989">
        <v>10</v>
      </c>
      <c r="AE85" s="1989">
        <v>16</v>
      </c>
      <c r="AF85" s="1989">
        <v>0</v>
      </c>
      <c r="AG85" s="1989">
        <v>267</v>
      </c>
      <c r="AH85" s="1989">
        <v>97</v>
      </c>
      <c r="AI85" s="1989">
        <v>21</v>
      </c>
      <c r="AJ85" s="1989">
        <v>0</v>
      </c>
      <c r="AK85" s="1989">
        <v>0</v>
      </c>
      <c r="AL85" s="1989">
        <v>0</v>
      </c>
      <c r="AM85" s="1989">
        <v>163</v>
      </c>
      <c r="AN85" s="1989">
        <v>0</v>
      </c>
      <c r="AO85" s="1989">
        <v>1190</v>
      </c>
      <c r="AP85" s="1989">
        <v>1474</v>
      </c>
      <c r="AQ85" s="1989">
        <v>1086</v>
      </c>
      <c r="AR85" s="1989">
        <v>388</v>
      </c>
      <c r="AS85" s="1989">
        <v>1223</v>
      </c>
      <c r="AT85" s="1988">
        <v>3950</v>
      </c>
      <c r="AU85" s="1991"/>
      <c r="AV85" s="1991"/>
      <c r="AX85" s="1992"/>
      <c r="AY85" s="1992"/>
      <c r="AZ85" s="1992"/>
      <c r="BA85" s="1992"/>
      <c r="BB85" s="1992"/>
      <c r="BD85" s="1992"/>
      <c r="BE85" s="1992"/>
      <c r="BG85" s="1992"/>
      <c r="BI85" s="1992"/>
      <c r="BJ85" s="1992"/>
      <c r="BK85" s="1992"/>
    </row>
    <row r="86" spans="1:63" ht="12.75" x14ac:dyDescent="0.2">
      <c r="A86" s="1984">
        <v>79</v>
      </c>
      <c r="B86" s="1995" t="s">
        <v>48</v>
      </c>
      <c r="C86" s="1994" t="s">
        <v>49</v>
      </c>
      <c r="D86" s="1987">
        <v>417732</v>
      </c>
      <c r="E86" s="1988">
        <v>235592000</v>
      </c>
      <c r="F86" s="1989">
        <v>116275505</v>
      </c>
      <c r="G86" s="1989">
        <v>-7420291</v>
      </c>
      <c r="H86" s="1989">
        <v>2654748</v>
      </c>
      <c r="I86" s="1989">
        <v>-4765543</v>
      </c>
      <c r="J86" s="1989">
        <v>-5339503</v>
      </c>
      <c r="K86" s="1989">
        <v>-36161</v>
      </c>
      <c r="L86" s="1989">
        <v>0</v>
      </c>
      <c r="M86" s="1989">
        <v>-200000</v>
      </c>
      <c r="N86" s="1989">
        <v>-6300000</v>
      </c>
      <c r="O86" s="1989">
        <v>-540605</v>
      </c>
      <c r="P86" s="1989">
        <v>-79862</v>
      </c>
      <c r="Q86" s="1989">
        <v>-9040</v>
      </c>
      <c r="R86" s="1989">
        <v>0</v>
      </c>
      <c r="S86" s="1989">
        <v>0</v>
      </c>
      <c r="T86" s="1989">
        <v>-24910</v>
      </c>
      <c r="U86" s="1989">
        <v>0</v>
      </c>
      <c r="V86" s="1989">
        <v>0</v>
      </c>
      <c r="W86" s="1989">
        <v>-100000</v>
      </c>
      <c r="X86" s="1989">
        <v>-67474</v>
      </c>
      <c r="Y86" s="1989">
        <v>-6766</v>
      </c>
      <c r="Z86" s="1989">
        <v>98305641</v>
      </c>
      <c r="AA86" s="1989">
        <v>-3000000</v>
      </c>
      <c r="AB86" s="1990"/>
      <c r="AC86" s="1989">
        <v>374</v>
      </c>
      <c r="AD86" s="1989">
        <v>12</v>
      </c>
      <c r="AE86" s="1989">
        <v>0</v>
      </c>
      <c r="AF86" s="1989">
        <v>11</v>
      </c>
      <c r="AG86" s="1989">
        <v>1899</v>
      </c>
      <c r="AH86" s="1989">
        <v>309</v>
      </c>
      <c r="AI86" s="1989">
        <v>23</v>
      </c>
      <c r="AJ86" s="1989">
        <v>12</v>
      </c>
      <c r="AK86" s="1989">
        <v>0</v>
      </c>
      <c r="AL86" s="1989">
        <v>0</v>
      </c>
      <c r="AM86" s="1989">
        <v>0</v>
      </c>
      <c r="AN86" s="1989">
        <v>3</v>
      </c>
      <c r="AO86" s="1989">
        <v>4092</v>
      </c>
      <c r="AP86" s="1989">
        <v>3719</v>
      </c>
      <c r="AQ86" s="1989">
        <v>2500</v>
      </c>
      <c r="AR86" s="1989">
        <v>1219</v>
      </c>
      <c r="AS86" s="1989">
        <v>2431</v>
      </c>
      <c r="AT86" s="1988">
        <v>10390</v>
      </c>
      <c r="AU86" s="1991"/>
      <c r="AV86" s="1991"/>
      <c r="AX86" s="1992"/>
      <c r="AY86" s="1992"/>
      <c r="AZ86" s="1992"/>
      <c r="BA86" s="1992"/>
      <c r="BB86" s="1992"/>
      <c r="BD86" s="1992"/>
      <c r="BE86" s="1992"/>
      <c r="BG86" s="1992"/>
      <c r="BI86" s="1992"/>
      <c r="BJ86" s="1992"/>
      <c r="BK86" s="1992"/>
    </row>
    <row r="87" spans="1:63" ht="12.75" x14ac:dyDescent="0.2">
      <c r="A87" s="1984">
        <v>80</v>
      </c>
      <c r="B87" s="1995" t="s">
        <v>50</v>
      </c>
      <c r="C87" s="1994" t="s">
        <v>51</v>
      </c>
      <c r="D87" s="1987">
        <v>589560</v>
      </c>
      <c r="E87" s="1988">
        <v>310122000</v>
      </c>
      <c r="F87" s="1989">
        <v>144864614</v>
      </c>
      <c r="G87" s="1989">
        <v>-9799911</v>
      </c>
      <c r="H87" s="1989">
        <v>3265475</v>
      </c>
      <c r="I87" s="1989">
        <v>-6534436</v>
      </c>
      <c r="J87" s="1989">
        <v>-10617964</v>
      </c>
      <c r="K87" s="1989">
        <v>-248303</v>
      </c>
      <c r="L87" s="1989">
        <v>-91806</v>
      </c>
      <c r="M87" s="1989">
        <v>-245014</v>
      </c>
      <c r="N87" s="1989">
        <v>-2991471</v>
      </c>
      <c r="O87" s="1989">
        <v>-518997</v>
      </c>
      <c r="P87" s="1989">
        <v>-138187</v>
      </c>
      <c r="Q87" s="1989">
        <v>0</v>
      </c>
      <c r="R87" s="1989">
        <v>-67235</v>
      </c>
      <c r="S87" s="1989">
        <v>-2118</v>
      </c>
      <c r="T87" s="1989">
        <v>0</v>
      </c>
      <c r="U87" s="1989">
        <v>0</v>
      </c>
      <c r="V87" s="1989">
        <v>0</v>
      </c>
      <c r="W87" s="1989">
        <v>0</v>
      </c>
      <c r="X87" s="1989">
        <v>-33623</v>
      </c>
      <c r="Y87" s="1989">
        <v>-10170</v>
      </c>
      <c r="Z87" s="1989">
        <v>119296819</v>
      </c>
      <c r="AA87" s="1989">
        <v>-5049010</v>
      </c>
      <c r="AB87" s="1990"/>
      <c r="AC87" s="1989">
        <v>813</v>
      </c>
      <c r="AD87" s="1989">
        <v>55</v>
      </c>
      <c r="AE87" s="1989">
        <v>87</v>
      </c>
      <c r="AF87" s="1989">
        <v>7</v>
      </c>
      <c r="AG87" s="1989">
        <v>1079</v>
      </c>
      <c r="AH87" s="1989">
        <v>443</v>
      </c>
      <c r="AI87" s="1989">
        <v>28</v>
      </c>
      <c r="AJ87" s="1989">
        <v>0</v>
      </c>
      <c r="AK87" s="1989">
        <v>64</v>
      </c>
      <c r="AL87" s="1989">
        <v>3</v>
      </c>
      <c r="AM87" s="1989">
        <v>0</v>
      </c>
      <c r="AN87" s="1989">
        <v>0</v>
      </c>
      <c r="AO87" s="1989">
        <v>4758</v>
      </c>
      <c r="AP87" s="1989">
        <v>6040</v>
      </c>
      <c r="AQ87" s="1989">
        <v>4733</v>
      </c>
      <c r="AR87" s="1989">
        <v>1307</v>
      </c>
      <c r="AS87" s="1989">
        <v>4207</v>
      </c>
      <c r="AT87" s="1988">
        <v>15100</v>
      </c>
      <c r="AU87" s="1991"/>
      <c r="AV87" s="1991"/>
      <c r="AX87" s="1992"/>
      <c r="AY87" s="1992"/>
      <c r="AZ87" s="1992"/>
      <c r="BA87" s="1992"/>
      <c r="BB87" s="1992"/>
      <c r="BD87" s="1992"/>
      <c r="BE87" s="1992"/>
      <c r="BG87" s="1992"/>
      <c r="BI87" s="1992"/>
      <c r="BJ87" s="1992"/>
      <c r="BK87" s="1992"/>
    </row>
    <row r="88" spans="1:63" ht="12.75" x14ac:dyDescent="0.2">
      <c r="A88" s="1984">
        <v>81</v>
      </c>
      <c r="B88" s="1995" t="s">
        <v>52</v>
      </c>
      <c r="C88" s="1994" t="s">
        <v>53</v>
      </c>
      <c r="D88" s="1987">
        <v>495725</v>
      </c>
      <c r="E88" s="1988">
        <v>396400000</v>
      </c>
      <c r="F88" s="1989">
        <v>171525389</v>
      </c>
      <c r="G88" s="1989">
        <v>-4718356</v>
      </c>
      <c r="H88" s="1989">
        <v>2621917</v>
      </c>
      <c r="I88" s="1989">
        <v>-2096439</v>
      </c>
      <c r="J88" s="1989">
        <v>-7106370</v>
      </c>
      <c r="K88" s="1989">
        <v>-76133</v>
      </c>
      <c r="L88" s="1989">
        <v>0</v>
      </c>
      <c r="M88" s="1989">
        <v>-350000</v>
      </c>
      <c r="N88" s="1989">
        <v>-2630106</v>
      </c>
      <c r="O88" s="1989">
        <v>-91000</v>
      </c>
      <c r="P88" s="1989">
        <v>-301132</v>
      </c>
      <c r="Q88" s="1989">
        <v>0</v>
      </c>
      <c r="R88" s="1989">
        <v>0</v>
      </c>
      <c r="S88" s="1989">
        <v>0</v>
      </c>
      <c r="T88" s="1989">
        <v>-200000</v>
      </c>
      <c r="U88" s="1989">
        <v>0</v>
      </c>
      <c r="V88" s="1989">
        <v>0</v>
      </c>
      <c r="W88" s="1989">
        <v>-525267</v>
      </c>
      <c r="X88" s="1989">
        <v>-71511</v>
      </c>
      <c r="Y88" s="1989">
        <v>0</v>
      </c>
      <c r="Z88" s="1989">
        <v>155577431</v>
      </c>
      <c r="AA88" s="1989">
        <v>-6892095</v>
      </c>
      <c r="AB88" s="1990"/>
      <c r="AC88" s="1989">
        <v>313</v>
      </c>
      <c r="AD88" s="1989">
        <v>9</v>
      </c>
      <c r="AE88" s="1989">
        <v>0</v>
      </c>
      <c r="AF88" s="1989">
        <v>0</v>
      </c>
      <c r="AG88" s="1989">
        <v>647</v>
      </c>
      <c r="AH88" s="1989">
        <v>90</v>
      </c>
      <c r="AI88" s="1989">
        <v>20</v>
      </c>
      <c r="AJ88" s="1989">
        <v>0</v>
      </c>
      <c r="AK88" s="1989">
        <v>0</v>
      </c>
      <c r="AL88" s="1989">
        <v>0</v>
      </c>
      <c r="AM88" s="1989">
        <v>0</v>
      </c>
      <c r="AN88" s="1989">
        <v>0</v>
      </c>
      <c r="AO88" s="1989">
        <v>3476</v>
      </c>
      <c r="AP88" s="1989">
        <v>2509</v>
      </c>
      <c r="AQ88" s="1989">
        <v>1181</v>
      </c>
      <c r="AR88" s="1989">
        <v>1328</v>
      </c>
      <c r="AS88" s="1989">
        <v>3859</v>
      </c>
      <c r="AT88" s="1988">
        <v>9980</v>
      </c>
      <c r="AU88" s="1991"/>
      <c r="AV88" s="1991"/>
      <c r="AX88" s="1992"/>
      <c r="AY88" s="1992"/>
      <c r="AZ88" s="1992"/>
      <c r="BA88" s="1992"/>
      <c r="BB88" s="1992"/>
      <c r="BD88" s="1992"/>
      <c r="BE88" s="1992"/>
      <c r="BG88" s="1992"/>
      <c r="BI88" s="1992"/>
      <c r="BJ88" s="1992"/>
      <c r="BK88" s="1992"/>
    </row>
    <row r="89" spans="1:63" ht="12.75" x14ac:dyDescent="0.2">
      <c r="A89" s="1984">
        <v>82</v>
      </c>
      <c r="B89" s="1995" t="s">
        <v>54</v>
      </c>
      <c r="C89" s="1994" t="s">
        <v>55</v>
      </c>
      <c r="D89" s="1987">
        <v>94945</v>
      </c>
      <c r="E89" s="1988">
        <v>54129000</v>
      </c>
      <c r="F89" s="1989">
        <v>22899709</v>
      </c>
      <c r="G89" s="1989">
        <v>-1617285</v>
      </c>
      <c r="H89" s="1989">
        <v>481830</v>
      </c>
      <c r="I89" s="1989">
        <v>-1135455</v>
      </c>
      <c r="J89" s="1989">
        <v>-1573136</v>
      </c>
      <c r="K89" s="1989">
        <v>-50237</v>
      </c>
      <c r="L89" s="1989">
        <v>-37486</v>
      </c>
      <c r="M89" s="1989">
        <v>-2000</v>
      </c>
      <c r="N89" s="1989">
        <v>-469942</v>
      </c>
      <c r="O89" s="1989">
        <v>-39142</v>
      </c>
      <c r="P89" s="1989">
        <v>-9812</v>
      </c>
      <c r="Q89" s="1989">
        <v>-4893</v>
      </c>
      <c r="R89" s="1989">
        <v>-7206</v>
      </c>
      <c r="S89" s="1989">
        <v>0</v>
      </c>
      <c r="T89" s="1989">
        <v>0</v>
      </c>
      <c r="U89" s="1989">
        <v>0</v>
      </c>
      <c r="V89" s="1989">
        <v>0</v>
      </c>
      <c r="W89" s="1989">
        <v>-5527</v>
      </c>
      <c r="X89" s="1989">
        <v>0</v>
      </c>
      <c r="Y89" s="1989">
        <v>0</v>
      </c>
      <c r="Z89" s="1989">
        <v>19564873</v>
      </c>
      <c r="AA89" s="1989">
        <v>-201634</v>
      </c>
      <c r="AB89" s="1990"/>
      <c r="AC89" s="1989">
        <v>136</v>
      </c>
      <c r="AD89" s="1989">
        <v>8</v>
      </c>
      <c r="AE89" s="1989">
        <v>21</v>
      </c>
      <c r="AF89" s="1989">
        <v>0</v>
      </c>
      <c r="AG89" s="1989">
        <v>165</v>
      </c>
      <c r="AH89" s="1989">
        <v>53</v>
      </c>
      <c r="AI89" s="1989">
        <v>7</v>
      </c>
      <c r="AJ89" s="1989">
        <v>7</v>
      </c>
      <c r="AK89" s="1989">
        <v>6</v>
      </c>
      <c r="AL89" s="1989">
        <v>0</v>
      </c>
      <c r="AM89" s="1989">
        <v>0</v>
      </c>
      <c r="AN89" s="1989">
        <v>0</v>
      </c>
      <c r="AO89" s="1989">
        <v>746</v>
      </c>
      <c r="AP89" s="1989">
        <v>892</v>
      </c>
      <c r="AQ89" s="1989">
        <v>598</v>
      </c>
      <c r="AR89" s="1989">
        <v>294</v>
      </c>
      <c r="AS89" s="1989">
        <v>618</v>
      </c>
      <c r="AT89" s="1988">
        <v>2300</v>
      </c>
      <c r="AU89" s="1991"/>
      <c r="AV89" s="1991"/>
      <c r="AX89" s="1992"/>
      <c r="AY89" s="1992"/>
      <c r="AZ89" s="1992"/>
      <c r="BA89" s="1992"/>
      <c r="BB89" s="1992"/>
      <c r="BD89" s="1992"/>
      <c r="BE89" s="1992"/>
      <c r="BG89" s="1992"/>
      <c r="BI89" s="1992"/>
      <c r="BJ89" s="1992"/>
      <c r="BK89" s="1992"/>
    </row>
    <row r="90" spans="1:63" ht="12.75" x14ac:dyDescent="0.2">
      <c r="A90" s="1984">
        <v>83</v>
      </c>
      <c r="B90" s="1995" t="s">
        <v>56</v>
      </c>
      <c r="C90" s="1994" t="s">
        <v>57</v>
      </c>
      <c r="D90" s="1987">
        <v>228268</v>
      </c>
      <c r="E90" s="1988">
        <v>92815000</v>
      </c>
      <c r="F90" s="1989">
        <v>42351372</v>
      </c>
      <c r="G90" s="1989">
        <v>-4362698</v>
      </c>
      <c r="H90" s="1989">
        <v>831513</v>
      </c>
      <c r="I90" s="1989">
        <v>-3531185</v>
      </c>
      <c r="J90" s="1989">
        <v>-2242844</v>
      </c>
      <c r="K90" s="1989">
        <v>-416023</v>
      </c>
      <c r="L90" s="1989">
        <v>-39915</v>
      </c>
      <c r="M90" s="1989">
        <v>0</v>
      </c>
      <c r="N90" s="1989">
        <v>-1283785</v>
      </c>
      <c r="O90" s="1989">
        <v>-113346</v>
      </c>
      <c r="P90" s="1989">
        <v>-339</v>
      </c>
      <c r="Q90" s="1989">
        <v>-82404</v>
      </c>
      <c r="R90" s="1989">
        <v>-12326</v>
      </c>
      <c r="S90" s="1989">
        <v>0</v>
      </c>
      <c r="T90" s="1989">
        <v>-20000</v>
      </c>
      <c r="U90" s="1989">
        <v>0</v>
      </c>
      <c r="V90" s="1989">
        <v>0</v>
      </c>
      <c r="W90" s="1989">
        <v>0</v>
      </c>
      <c r="X90" s="1989">
        <v>-3207</v>
      </c>
      <c r="Y90" s="1989">
        <v>-34496</v>
      </c>
      <c r="Z90" s="1989">
        <v>34421502</v>
      </c>
      <c r="AA90" s="1989">
        <v>-574882</v>
      </c>
      <c r="AB90" s="1990"/>
      <c r="AC90" s="1989">
        <v>406</v>
      </c>
      <c r="AD90" s="1989">
        <v>67</v>
      </c>
      <c r="AE90" s="1989">
        <v>34</v>
      </c>
      <c r="AF90" s="1989">
        <v>0</v>
      </c>
      <c r="AG90" s="1989">
        <v>296</v>
      </c>
      <c r="AH90" s="1989">
        <v>240</v>
      </c>
      <c r="AI90" s="1989">
        <v>1</v>
      </c>
      <c r="AJ90" s="1989">
        <v>65</v>
      </c>
      <c r="AK90" s="1989">
        <v>15</v>
      </c>
      <c r="AL90" s="1989">
        <v>0</v>
      </c>
      <c r="AM90" s="1989">
        <v>0</v>
      </c>
      <c r="AN90" s="1989">
        <v>0</v>
      </c>
      <c r="AO90" s="1989">
        <v>1765</v>
      </c>
      <c r="AP90" s="1989">
        <v>2534</v>
      </c>
      <c r="AQ90" s="1989">
        <v>1828</v>
      </c>
      <c r="AR90" s="1989">
        <v>706</v>
      </c>
      <c r="AS90" s="1989">
        <v>1654</v>
      </c>
      <c r="AT90" s="1988">
        <v>6090</v>
      </c>
      <c r="AU90" s="1991"/>
      <c r="AV90" s="1991"/>
      <c r="AX90" s="1992"/>
      <c r="AY90" s="1992"/>
      <c r="AZ90" s="1992"/>
      <c r="BA90" s="1992"/>
      <c r="BB90" s="1992"/>
      <c r="BD90" s="1992"/>
      <c r="BE90" s="1992"/>
      <c r="BG90" s="1992"/>
      <c r="BI90" s="1992"/>
      <c r="BJ90" s="1992"/>
      <c r="BK90" s="1992"/>
    </row>
    <row r="91" spans="1:63" ht="12.75" x14ac:dyDescent="0.2">
      <c r="A91" s="1984">
        <v>84</v>
      </c>
      <c r="B91" s="1995" t="s">
        <v>58</v>
      </c>
      <c r="C91" s="1994" t="s">
        <v>59</v>
      </c>
      <c r="D91" s="1987">
        <v>108647</v>
      </c>
      <c r="E91" s="1988">
        <v>59691000</v>
      </c>
      <c r="F91" s="1989">
        <v>25956686</v>
      </c>
      <c r="G91" s="1989">
        <v>-2086259</v>
      </c>
      <c r="H91" s="1989">
        <v>541467</v>
      </c>
      <c r="I91" s="1989">
        <v>-1544792</v>
      </c>
      <c r="J91" s="1989">
        <v>-1279664</v>
      </c>
      <c r="K91" s="1989">
        <v>-40887</v>
      </c>
      <c r="L91" s="1989">
        <v>-14867</v>
      </c>
      <c r="M91" s="1989">
        <v>0</v>
      </c>
      <c r="N91" s="1989">
        <v>-242695</v>
      </c>
      <c r="O91" s="1989">
        <v>-27986</v>
      </c>
      <c r="P91" s="1989">
        <v>-2366</v>
      </c>
      <c r="Q91" s="1989">
        <v>0</v>
      </c>
      <c r="R91" s="1989">
        <v>-7771</v>
      </c>
      <c r="S91" s="1989">
        <v>0</v>
      </c>
      <c r="T91" s="1989">
        <v>0</v>
      </c>
      <c r="U91" s="1989">
        <v>0</v>
      </c>
      <c r="V91" s="1989">
        <v>0</v>
      </c>
      <c r="W91" s="1989">
        <v>0</v>
      </c>
      <c r="X91" s="1989">
        <v>0</v>
      </c>
      <c r="Y91" s="1989">
        <v>-4511</v>
      </c>
      <c r="Z91" s="1989">
        <v>22791147</v>
      </c>
      <c r="AA91" s="1989">
        <v>-379718</v>
      </c>
      <c r="AB91" s="1990"/>
      <c r="AC91" s="1989">
        <v>156</v>
      </c>
      <c r="AD91" s="1989">
        <v>14</v>
      </c>
      <c r="AE91" s="1989">
        <v>12</v>
      </c>
      <c r="AF91" s="1989">
        <v>0</v>
      </c>
      <c r="AG91" s="1989">
        <v>71</v>
      </c>
      <c r="AH91" s="1989">
        <v>62</v>
      </c>
      <c r="AI91" s="1989">
        <v>2</v>
      </c>
      <c r="AJ91" s="1989">
        <v>0</v>
      </c>
      <c r="AK91" s="1989">
        <v>7</v>
      </c>
      <c r="AL91" s="1989">
        <v>0</v>
      </c>
      <c r="AM91" s="1989">
        <v>0</v>
      </c>
      <c r="AN91" s="1989">
        <v>0</v>
      </c>
      <c r="AO91" s="1989">
        <v>879</v>
      </c>
      <c r="AP91" s="1989">
        <v>1105</v>
      </c>
      <c r="AQ91" s="1989">
        <v>676</v>
      </c>
      <c r="AR91" s="1989">
        <v>429</v>
      </c>
      <c r="AS91" s="1989">
        <v>745</v>
      </c>
      <c r="AT91" s="1988">
        <v>2760</v>
      </c>
      <c r="AU91" s="1991"/>
      <c r="AV91" s="1991"/>
      <c r="AX91" s="1992"/>
      <c r="AY91" s="1992"/>
      <c r="AZ91" s="1992"/>
      <c r="BA91" s="1992"/>
      <c r="BB91" s="1992"/>
      <c r="BD91" s="1992"/>
      <c r="BE91" s="1992"/>
      <c r="BG91" s="1992"/>
      <c r="BI91" s="1992"/>
      <c r="BJ91" s="1992"/>
      <c r="BK91" s="1992"/>
    </row>
    <row r="92" spans="1:63" ht="12.75" x14ac:dyDescent="0.2">
      <c r="A92" s="1984">
        <v>85</v>
      </c>
      <c r="B92" s="1995" t="s">
        <v>60</v>
      </c>
      <c r="C92" s="1994" t="s">
        <v>61</v>
      </c>
      <c r="D92" s="1987">
        <v>155157</v>
      </c>
      <c r="E92" s="1988">
        <v>86150000</v>
      </c>
      <c r="F92" s="1989">
        <v>35650383</v>
      </c>
      <c r="G92" s="1989">
        <v>-2576968.2400000002</v>
      </c>
      <c r="H92" s="1989">
        <v>772833.37</v>
      </c>
      <c r="I92" s="1989">
        <v>-1804134.87</v>
      </c>
      <c r="J92" s="1989">
        <v>-2372964.27</v>
      </c>
      <c r="K92" s="1989">
        <v>-69868.259999999995</v>
      </c>
      <c r="L92" s="1989">
        <v>-32106.25</v>
      </c>
      <c r="M92" s="1989">
        <v>-240000</v>
      </c>
      <c r="N92" s="1989">
        <v>-736537.7</v>
      </c>
      <c r="O92" s="1989">
        <v>-124927.81</v>
      </c>
      <c r="P92" s="1989">
        <v>-9365</v>
      </c>
      <c r="Q92" s="1989">
        <v>-8300</v>
      </c>
      <c r="R92" s="1989">
        <v>-32106.16</v>
      </c>
      <c r="S92" s="1989">
        <v>0</v>
      </c>
      <c r="T92" s="1989">
        <v>0</v>
      </c>
      <c r="U92" s="1989">
        <v>0</v>
      </c>
      <c r="V92" s="1989">
        <v>0</v>
      </c>
      <c r="W92" s="1989">
        <v>0</v>
      </c>
      <c r="X92" s="1989">
        <v>-15000</v>
      </c>
      <c r="Y92" s="1989">
        <v>-7373.24</v>
      </c>
      <c r="Z92" s="1989">
        <v>30197699.440000005</v>
      </c>
      <c r="AA92" s="1989">
        <v>-250000</v>
      </c>
      <c r="AB92" s="1990"/>
      <c r="AC92" s="1989">
        <v>236</v>
      </c>
      <c r="AD92" s="1989">
        <v>12</v>
      </c>
      <c r="AE92" s="1989">
        <v>20</v>
      </c>
      <c r="AF92" s="1989">
        <v>5</v>
      </c>
      <c r="AG92" s="1989">
        <v>210</v>
      </c>
      <c r="AH92" s="1989">
        <v>117</v>
      </c>
      <c r="AI92" s="1989">
        <v>13</v>
      </c>
      <c r="AJ92" s="1989">
        <v>0</v>
      </c>
      <c r="AK92" s="1989">
        <v>20</v>
      </c>
      <c r="AL92" s="1989">
        <v>0</v>
      </c>
      <c r="AM92" s="1989">
        <v>0</v>
      </c>
      <c r="AN92" s="1989">
        <v>0</v>
      </c>
      <c r="AO92" s="1989">
        <v>1387</v>
      </c>
      <c r="AP92" s="1989">
        <v>1383</v>
      </c>
      <c r="AQ92" s="1989">
        <v>890</v>
      </c>
      <c r="AR92" s="1989">
        <v>493</v>
      </c>
      <c r="AS92" s="1989">
        <v>930</v>
      </c>
      <c r="AT92" s="1988">
        <v>3770</v>
      </c>
      <c r="AU92" s="1991"/>
      <c r="AV92" s="1991"/>
      <c r="AX92" s="1992"/>
      <c r="AY92" s="1992"/>
      <c r="AZ92" s="1992"/>
      <c r="BA92" s="1992"/>
      <c r="BB92" s="1992"/>
      <c r="BD92" s="1992"/>
      <c r="BE92" s="1992"/>
      <c r="BG92" s="1992"/>
      <c r="BI92" s="1992"/>
      <c r="BJ92" s="1992"/>
      <c r="BK92" s="1992"/>
    </row>
    <row r="93" spans="1:63" ht="12.75" x14ac:dyDescent="0.2">
      <c r="A93" s="1984">
        <v>86</v>
      </c>
      <c r="B93" s="1995" t="s">
        <v>62</v>
      </c>
      <c r="C93" s="1994" t="s">
        <v>63</v>
      </c>
      <c r="D93" s="1987">
        <v>193979</v>
      </c>
      <c r="E93" s="1988">
        <v>118231000</v>
      </c>
      <c r="F93" s="1989">
        <v>54299647</v>
      </c>
      <c r="G93" s="1989">
        <v>-2662490</v>
      </c>
      <c r="H93" s="1989">
        <v>1225715</v>
      </c>
      <c r="I93" s="1989">
        <v>-1436775</v>
      </c>
      <c r="J93" s="1989">
        <v>-4149356</v>
      </c>
      <c r="K93" s="1989">
        <v>-108276</v>
      </c>
      <c r="L93" s="1989">
        <v>-48284</v>
      </c>
      <c r="M93" s="1989">
        <v>-19136</v>
      </c>
      <c r="N93" s="1989">
        <v>-1493712</v>
      </c>
      <c r="O93" s="1989">
        <v>-177680</v>
      </c>
      <c r="P93" s="1989">
        <v>-41401</v>
      </c>
      <c r="Q93" s="1989">
        <v>0</v>
      </c>
      <c r="R93" s="1989">
        <v>-21247</v>
      </c>
      <c r="S93" s="1989">
        <v>-1447</v>
      </c>
      <c r="T93" s="1989">
        <v>0</v>
      </c>
      <c r="U93" s="1989">
        <v>0</v>
      </c>
      <c r="V93" s="1989">
        <v>0</v>
      </c>
      <c r="W93" s="1989">
        <v>-34293</v>
      </c>
      <c r="X93" s="1989">
        <v>-13803</v>
      </c>
      <c r="Y93" s="1989">
        <v>-51917</v>
      </c>
      <c r="Z93" s="1989">
        <v>45352328</v>
      </c>
      <c r="AA93" s="1989">
        <v>-373947</v>
      </c>
      <c r="AB93" s="1990"/>
      <c r="AC93" s="1989">
        <v>274</v>
      </c>
      <c r="AD93" s="1989">
        <v>17</v>
      </c>
      <c r="AE93" s="1989">
        <v>37</v>
      </c>
      <c r="AF93" s="1989">
        <v>3</v>
      </c>
      <c r="AG93" s="1989">
        <v>430</v>
      </c>
      <c r="AH93" s="1989">
        <v>139</v>
      </c>
      <c r="AI93" s="1989">
        <v>10</v>
      </c>
      <c r="AJ93" s="1989">
        <v>0</v>
      </c>
      <c r="AK93" s="1989">
        <v>21</v>
      </c>
      <c r="AL93" s="1989">
        <v>0</v>
      </c>
      <c r="AM93" s="1989">
        <v>0</v>
      </c>
      <c r="AN93" s="1989">
        <v>546</v>
      </c>
      <c r="AO93" s="1989">
        <v>1772</v>
      </c>
      <c r="AP93" s="1989">
        <v>1271</v>
      </c>
      <c r="AQ93" s="1989">
        <v>639</v>
      </c>
      <c r="AR93" s="1989">
        <v>632</v>
      </c>
      <c r="AS93" s="1989">
        <v>1159</v>
      </c>
      <c r="AT93" s="1988">
        <v>4380</v>
      </c>
      <c r="AU93" s="1991"/>
      <c r="AV93" s="1991"/>
      <c r="AX93" s="1992"/>
      <c r="AY93" s="1992"/>
      <c r="AZ93" s="1992"/>
      <c r="BA93" s="1992"/>
      <c r="BB93" s="1992"/>
      <c r="BD93" s="1992"/>
      <c r="BE93" s="1992"/>
      <c r="BG93" s="1992"/>
      <c r="BI93" s="1992"/>
      <c r="BJ93" s="1992"/>
      <c r="BK93" s="1992"/>
    </row>
    <row r="94" spans="1:63" ht="12.75" x14ac:dyDescent="0.2">
      <c r="A94" s="1984">
        <v>87</v>
      </c>
      <c r="B94" s="1995" t="s">
        <v>64</v>
      </c>
      <c r="C94" s="1994" t="s">
        <v>65</v>
      </c>
      <c r="D94" s="1987">
        <v>267225</v>
      </c>
      <c r="E94" s="1988">
        <v>98505000</v>
      </c>
      <c r="F94" s="1989">
        <v>42566948</v>
      </c>
      <c r="G94" s="1989">
        <v>-4776521</v>
      </c>
      <c r="H94" s="1989">
        <v>839821</v>
      </c>
      <c r="I94" s="1989">
        <v>-3936700</v>
      </c>
      <c r="J94" s="1989">
        <v>-2557389</v>
      </c>
      <c r="K94" s="1989">
        <v>-78099</v>
      </c>
      <c r="L94" s="1989">
        <v>-114259</v>
      </c>
      <c r="M94" s="1989">
        <v>0</v>
      </c>
      <c r="N94" s="1989">
        <v>-597712</v>
      </c>
      <c r="O94" s="1989">
        <v>-81019</v>
      </c>
      <c r="P94" s="1989">
        <v>-6202</v>
      </c>
      <c r="Q94" s="1989">
        <v>-8909</v>
      </c>
      <c r="R94" s="1989">
        <v>-23071</v>
      </c>
      <c r="S94" s="1989">
        <v>0</v>
      </c>
      <c r="T94" s="1989">
        <v>0</v>
      </c>
      <c r="U94" s="1989">
        <v>0</v>
      </c>
      <c r="V94" s="1989">
        <v>0</v>
      </c>
      <c r="W94" s="1989">
        <v>0</v>
      </c>
      <c r="X94" s="1989">
        <v>-2541</v>
      </c>
      <c r="Y94" s="1989">
        <v>-7494</v>
      </c>
      <c r="Z94" s="1989">
        <v>35153553</v>
      </c>
      <c r="AA94" s="1989">
        <v>-620307</v>
      </c>
      <c r="AB94" s="1990"/>
      <c r="AC94" s="1989">
        <v>361</v>
      </c>
      <c r="AD94" s="1989">
        <v>31</v>
      </c>
      <c r="AE94" s="1989">
        <v>86</v>
      </c>
      <c r="AF94" s="1989">
        <v>0</v>
      </c>
      <c r="AG94" s="1989">
        <v>333</v>
      </c>
      <c r="AH94" s="1989">
        <v>137</v>
      </c>
      <c r="AI94" s="1989">
        <v>4</v>
      </c>
      <c r="AJ94" s="1989">
        <v>15</v>
      </c>
      <c r="AK94" s="1989">
        <v>24</v>
      </c>
      <c r="AL94" s="1989">
        <v>0</v>
      </c>
      <c r="AM94" s="1989">
        <v>0</v>
      </c>
      <c r="AN94" s="1989">
        <v>0</v>
      </c>
      <c r="AO94" s="1989">
        <v>1794</v>
      </c>
      <c r="AP94" s="1989">
        <v>3528</v>
      </c>
      <c r="AQ94" s="1989">
        <v>2906</v>
      </c>
      <c r="AR94" s="1989">
        <v>622</v>
      </c>
      <c r="AS94" s="1989">
        <v>1859</v>
      </c>
      <c r="AT94" s="1988">
        <v>7220</v>
      </c>
      <c r="AU94" s="1991"/>
      <c r="AV94" s="1991"/>
      <c r="AX94" s="1992"/>
      <c r="AY94" s="1992"/>
      <c r="AZ94" s="1992"/>
      <c r="BA94" s="1992"/>
      <c r="BB94" s="1992"/>
      <c r="BD94" s="1992"/>
      <c r="BE94" s="1992"/>
      <c r="BG94" s="1992"/>
      <c r="BI94" s="1992"/>
      <c r="BJ94" s="1992"/>
      <c r="BK94" s="1992"/>
    </row>
    <row r="95" spans="1:63" ht="12.75" x14ac:dyDescent="0.2">
      <c r="A95" s="1984">
        <v>88</v>
      </c>
      <c r="B95" s="1995" t="s">
        <v>66</v>
      </c>
      <c r="C95" s="1994" t="s">
        <v>67</v>
      </c>
      <c r="D95" s="1987">
        <v>99517</v>
      </c>
      <c r="E95" s="1988">
        <v>60134000</v>
      </c>
      <c r="F95" s="1989">
        <v>29738505</v>
      </c>
      <c r="G95" s="1989">
        <v>-1935940</v>
      </c>
      <c r="H95" s="1989">
        <v>641783</v>
      </c>
      <c r="I95" s="1989">
        <v>-1294157</v>
      </c>
      <c r="J95" s="1989">
        <v>-1815548</v>
      </c>
      <c r="K95" s="1989">
        <v>-15397</v>
      </c>
      <c r="L95" s="1989">
        <v>-35094</v>
      </c>
      <c r="M95" s="1989">
        <v>-1025626</v>
      </c>
      <c r="N95" s="1989">
        <v>-511380</v>
      </c>
      <c r="O95" s="1989">
        <v>-96472</v>
      </c>
      <c r="P95" s="1989">
        <v>-68790</v>
      </c>
      <c r="Q95" s="1989">
        <v>-3849</v>
      </c>
      <c r="R95" s="1989">
        <v>-21930</v>
      </c>
      <c r="S95" s="1989">
        <v>-57644</v>
      </c>
      <c r="T95" s="1989">
        <v>0</v>
      </c>
      <c r="U95" s="1989">
        <v>0</v>
      </c>
      <c r="V95" s="1989">
        <v>0</v>
      </c>
      <c r="W95" s="1989">
        <v>-4473</v>
      </c>
      <c r="X95" s="1989">
        <v>0</v>
      </c>
      <c r="Y95" s="1989">
        <v>0</v>
      </c>
      <c r="Z95" s="1989">
        <v>24476468</v>
      </c>
      <c r="AA95" s="1989">
        <v>-595000</v>
      </c>
      <c r="AB95" s="1990"/>
      <c r="AC95" s="1989">
        <v>153</v>
      </c>
      <c r="AD95" s="1989">
        <v>8</v>
      </c>
      <c r="AE95" s="1989">
        <v>23</v>
      </c>
      <c r="AF95" s="1989">
        <v>5</v>
      </c>
      <c r="AG95" s="1989">
        <v>129</v>
      </c>
      <c r="AH95" s="1989">
        <v>101</v>
      </c>
      <c r="AI95" s="1989">
        <v>32</v>
      </c>
      <c r="AJ95" s="1989">
        <v>8</v>
      </c>
      <c r="AK95" s="1989">
        <v>23</v>
      </c>
      <c r="AL95" s="1989">
        <v>20</v>
      </c>
      <c r="AM95" s="1989">
        <v>0</v>
      </c>
      <c r="AN95" s="1989">
        <v>0</v>
      </c>
      <c r="AO95" s="1989">
        <v>754</v>
      </c>
      <c r="AP95" s="1989">
        <v>1036</v>
      </c>
      <c r="AQ95" s="1989">
        <v>741</v>
      </c>
      <c r="AR95" s="1989">
        <v>295</v>
      </c>
      <c r="AS95" s="1989">
        <v>610</v>
      </c>
      <c r="AT95" s="1988">
        <v>2440</v>
      </c>
      <c r="AU95" s="1991"/>
      <c r="AV95" s="1991"/>
      <c r="AX95" s="1992"/>
      <c r="AY95" s="1992"/>
      <c r="AZ95" s="1992"/>
      <c r="BA95" s="1992"/>
      <c r="BB95" s="1992"/>
      <c r="BD95" s="1992"/>
      <c r="BE95" s="1992"/>
      <c r="BG95" s="1992"/>
      <c r="BI95" s="1992"/>
      <c r="BJ95" s="1992"/>
      <c r="BK95" s="1992"/>
    </row>
    <row r="96" spans="1:63" ht="12.75" x14ac:dyDescent="0.2">
      <c r="A96" s="1984">
        <v>89</v>
      </c>
      <c r="B96" s="1996" t="s">
        <v>694</v>
      </c>
      <c r="C96" s="1994" t="s">
        <v>69</v>
      </c>
      <c r="D96" s="1987">
        <v>431637</v>
      </c>
      <c r="E96" s="1988">
        <v>242186000</v>
      </c>
      <c r="F96" s="1989">
        <v>123583832</v>
      </c>
      <c r="G96" s="1989">
        <v>-8028224</v>
      </c>
      <c r="H96" s="1989">
        <v>2729329</v>
      </c>
      <c r="I96" s="1989">
        <v>-5298895</v>
      </c>
      <c r="J96" s="1989">
        <v>-3251421</v>
      </c>
      <c r="K96" s="1989">
        <v>-45493</v>
      </c>
      <c r="L96" s="1989">
        <v>-116714</v>
      </c>
      <c r="M96" s="1989">
        <v>-109615</v>
      </c>
      <c r="N96" s="1989">
        <v>-2197034</v>
      </c>
      <c r="O96" s="1989">
        <v>-124385</v>
      </c>
      <c r="P96" s="1989">
        <v>-455562</v>
      </c>
      <c r="Q96" s="1989">
        <v>-9898</v>
      </c>
      <c r="R96" s="1989">
        <v>-41155</v>
      </c>
      <c r="S96" s="1989">
        <v>-168444</v>
      </c>
      <c r="T96" s="1989">
        <v>-200000</v>
      </c>
      <c r="U96" s="1989">
        <v>0</v>
      </c>
      <c r="V96" s="1989">
        <v>-200000</v>
      </c>
      <c r="W96" s="1989">
        <v>0</v>
      </c>
      <c r="X96" s="1989">
        <v>0</v>
      </c>
      <c r="Y96" s="1989">
        <v>-14415</v>
      </c>
      <c r="Z96" s="1989">
        <v>111302509</v>
      </c>
      <c r="AA96" s="1989">
        <v>-1226895</v>
      </c>
      <c r="AB96" s="1990"/>
      <c r="AC96" s="1989">
        <v>501</v>
      </c>
      <c r="AD96" s="1989">
        <v>7</v>
      </c>
      <c r="AE96" s="1989">
        <v>94</v>
      </c>
      <c r="AF96" s="1989">
        <v>1</v>
      </c>
      <c r="AG96" s="1989">
        <v>913</v>
      </c>
      <c r="AH96" s="1989">
        <v>249</v>
      </c>
      <c r="AI96" s="1989">
        <v>144</v>
      </c>
      <c r="AJ96" s="1989">
        <v>6</v>
      </c>
      <c r="AK96" s="1989">
        <v>59</v>
      </c>
      <c r="AL96" s="1989">
        <v>120</v>
      </c>
      <c r="AM96" s="1989">
        <v>6</v>
      </c>
      <c r="AN96" s="1989">
        <v>0</v>
      </c>
      <c r="AO96" s="1989">
        <v>3343</v>
      </c>
      <c r="AP96" s="1989">
        <v>4599</v>
      </c>
      <c r="AQ96" s="1989">
        <v>3298</v>
      </c>
      <c r="AR96" s="1989">
        <v>1301</v>
      </c>
      <c r="AS96" s="1989">
        <v>2904</v>
      </c>
      <c r="AT96" s="1988">
        <v>10920</v>
      </c>
      <c r="AU96" s="1991"/>
      <c r="AV96" s="1991"/>
      <c r="AX96" s="1992"/>
      <c r="AY96" s="1992"/>
      <c r="AZ96" s="1992"/>
      <c r="BA96" s="1992"/>
      <c r="BB96" s="1992"/>
      <c r="BD96" s="1992"/>
      <c r="BE96" s="1992"/>
      <c r="BG96" s="1992"/>
      <c r="BI96" s="1992"/>
      <c r="BJ96" s="1992"/>
      <c r="BK96" s="1992"/>
    </row>
    <row r="97" spans="1:63" ht="12.75" x14ac:dyDescent="0.2">
      <c r="A97" s="1984">
        <v>90</v>
      </c>
      <c r="B97" s="1995" t="s">
        <v>74</v>
      </c>
      <c r="C97" s="1994" t="s">
        <v>75</v>
      </c>
      <c r="D97" s="1987">
        <v>175258</v>
      </c>
      <c r="E97" s="1988">
        <v>139064000</v>
      </c>
      <c r="F97" s="1989">
        <v>63098284</v>
      </c>
      <c r="G97" s="1989">
        <v>-2859719</v>
      </c>
      <c r="H97" s="1989">
        <v>1387371</v>
      </c>
      <c r="I97" s="1989">
        <v>-1472348</v>
      </c>
      <c r="J97" s="1989">
        <v>-2113092</v>
      </c>
      <c r="K97" s="1989">
        <v>-76042</v>
      </c>
      <c r="L97" s="1989">
        <v>-6311</v>
      </c>
      <c r="M97" s="1989">
        <v>0</v>
      </c>
      <c r="N97" s="1989">
        <v>-1821939</v>
      </c>
      <c r="O97" s="1989">
        <v>-114452</v>
      </c>
      <c r="P97" s="1989">
        <v>-146921</v>
      </c>
      <c r="Q97" s="1989">
        <v>-8885</v>
      </c>
      <c r="R97" s="1989">
        <v>-13097</v>
      </c>
      <c r="S97" s="1989">
        <v>-2109</v>
      </c>
      <c r="T97" s="1989">
        <v>0</v>
      </c>
      <c r="U97" s="1989">
        <v>0</v>
      </c>
      <c r="V97" s="1989">
        <v>0</v>
      </c>
      <c r="W97" s="1989">
        <v>-1168</v>
      </c>
      <c r="X97" s="1989">
        <v>-1520</v>
      </c>
      <c r="Y97" s="1989">
        <v>0</v>
      </c>
      <c r="Z97" s="1989">
        <v>56789490</v>
      </c>
      <c r="AA97" s="1989">
        <v>-1466404</v>
      </c>
      <c r="AB97" s="1990"/>
      <c r="AC97" s="1989">
        <v>143</v>
      </c>
      <c r="AD97" s="1989">
        <v>15</v>
      </c>
      <c r="AE97" s="1989">
        <v>11</v>
      </c>
      <c r="AF97" s="1989">
        <v>0</v>
      </c>
      <c r="AG97" s="1989">
        <v>400</v>
      </c>
      <c r="AH97" s="1989">
        <v>52</v>
      </c>
      <c r="AI97" s="1989">
        <v>39</v>
      </c>
      <c r="AJ97" s="1989">
        <v>6</v>
      </c>
      <c r="AK97" s="1989">
        <v>11</v>
      </c>
      <c r="AL97" s="1989">
        <v>1</v>
      </c>
      <c r="AM97" s="1989">
        <v>0</v>
      </c>
      <c r="AN97" s="1989">
        <v>0</v>
      </c>
      <c r="AO97" s="1989">
        <v>1545</v>
      </c>
      <c r="AP97" s="1989">
        <v>1457</v>
      </c>
      <c r="AQ97" s="1989">
        <v>961</v>
      </c>
      <c r="AR97" s="1989">
        <v>496</v>
      </c>
      <c r="AS97" s="1989">
        <v>931</v>
      </c>
      <c r="AT97" s="1988">
        <v>4070</v>
      </c>
      <c r="AU97" s="1991"/>
      <c r="AV97" s="1991"/>
      <c r="AX97" s="1992"/>
      <c r="AY97" s="1992"/>
      <c r="AZ97" s="1992"/>
      <c r="BA97" s="1992"/>
      <c r="BB97" s="1992"/>
      <c r="BD97" s="1992"/>
      <c r="BE97" s="1992"/>
      <c r="BG97" s="1992"/>
      <c r="BI97" s="1992"/>
      <c r="BJ97" s="1992"/>
      <c r="BK97" s="1992"/>
    </row>
    <row r="98" spans="1:63" ht="12.75" x14ac:dyDescent="0.2">
      <c r="A98" s="1984">
        <v>91</v>
      </c>
      <c r="B98" s="1995" t="s">
        <v>76</v>
      </c>
      <c r="C98" s="1994" t="s">
        <v>77</v>
      </c>
      <c r="D98" s="1987">
        <v>125525</v>
      </c>
      <c r="E98" s="1988">
        <v>91893000</v>
      </c>
      <c r="F98" s="1989">
        <v>39937294</v>
      </c>
      <c r="G98" s="1989">
        <v>-2080242.13</v>
      </c>
      <c r="H98" s="1989">
        <v>924360.36</v>
      </c>
      <c r="I98" s="1989">
        <v>-1155881.77</v>
      </c>
      <c r="J98" s="1989">
        <v>-2812264.56</v>
      </c>
      <c r="K98" s="1989">
        <v>-81478.179999999993</v>
      </c>
      <c r="L98" s="1989">
        <v>0</v>
      </c>
      <c r="M98" s="1989">
        <v>0</v>
      </c>
      <c r="N98" s="1989">
        <v>-534043.99</v>
      </c>
      <c r="O98" s="1989">
        <v>-42417.1</v>
      </c>
      <c r="P98" s="1989">
        <v>-7511.59</v>
      </c>
      <c r="Q98" s="1989">
        <v>0</v>
      </c>
      <c r="R98" s="1989">
        <v>0</v>
      </c>
      <c r="S98" s="1989">
        <v>0</v>
      </c>
      <c r="T98" s="1989">
        <v>0</v>
      </c>
      <c r="U98" s="1989">
        <v>0</v>
      </c>
      <c r="V98" s="1989">
        <v>0</v>
      </c>
      <c r="W98" s="1989">
        <v>0</v>
      </c>
      <c r="X98" s="1989">
        <v>-48425.63</v>
      </c>
      <c r="Y98" s="1989">
        <v>-9939</v>
      </c>
      <c r="Z98" s="1989">
        <v>35228842.18</v>
      </c>
      <c r="AA98" s="1989">
        <v>-133990</v>
      </c>
      <c r="AB98" s="1990"/>
      <c r="AC98" s="1989">
        <v>165</v>
      </c>
      <c r="AD98" s="1989">
        <v>11</v>
      </c>
      <c r="AE98" s="1989">
        <v>0</v>
      </c>
      <c r="AF98" s="1989">
        <v>0</v>
      </c>
      <c r="AG98" s="1989">
        <v>130</v>
      </c>
      <c r="AH98" s="1989">
        <v>53</v>
      </c>
      <c r="AI98" s="1989">
        <v>3</v>
      </c>
      <c r="AJ98" s="1989">
        <v>0</v>
      </c>
      <c r="AK98" s="1989">
        <v>0</v>
      </c>
      <c r="AL98" s="1989">
        <v>0</v>
      </c>
      <c r="AM98" s="1989">
        <v>0</v>
      </c>
      <c r="AN98" s="1989">
        <v>0</v>
      </c>
      <c r="AO98" s="1989">
        <v>1123</v>
      </c>
      <c r="AP98" s="1989">
        <v>1026</v>
      </c>
      <c r="AQ98" s="1989">
        <v>559</v>
      </c>
      <c r="AR98" s="1989">
        <v>467</v>
      </c>
      <c r="AS98" s="1989">
        <v>742</v>
      </c>
      <c r="AT98" s="1988">
        <v>2950</v>
      </c>
      <c r="AU98" s="1991"/>
      <c r="AV98" s="1991"/>
      <c r="AX98" s="1992"/>
      <c r="AY98" s="1992"/>
      <c r="AZ98" s="1992"/>
      <c r="BA98" s="1992"/>
      <c r="BB98" s="1992"/>
      <c r="BD98" s="1992"/>
      <c r="BE98" s="1992"/>
      <c r="BG98" s="1992"/>
      <c r="BI98" s="1992"/>
      <c r="BJ98" s="1992"/>
      <c r="BK98" s="1992"/>
    </row>
    <row r="99" spans="1:63" ht="12.75" x14ac:dyDescent="0.2">
      <c r="A99" s="1984">
        <v>92</v>
      </c>
      <c r="B99" s="1995" t="s">
        <v>78</v>
      </c>
      <c r="C99" s="1994" t="s">
        <v>79</v>
      </c>
      <c r="D99" s="1987">
        <v>145309</v>
      </c>
      <c r="E99" s="1988">
        <v>134492000</v>
      </c>
      <c r="F99" s="1989">
        <v>64634728</v>
      </c>
      <c r="G99" s="1989">
        <v>-1735549</v>
      </c>
      <c r="H99" s="1989">
        <v>1585694</v>
      </c>
      <c r="I99" s="1989">
        <v>-149855</v>
      </c>
      <c r="J99" s="1989">
        <v>-2162598</v>
      </c>
      <c r="K99" s="1989">
        <v>0</v>
      </c>
      <c r="L99" s="1989">
        <v>0</v>
      </c>
      <c r="M99" s="1989">
        <v>-20000</v>
      </c>
      <c r="N99" s="1989">
        <v>-1600000</v>
      </c>
      <c r="O99" s="1989">
        <v>-46664</v>
      </c>
      <c r="P99" s="1989">
        <v>-135184</v>
      </c>
      <c r="Q99" s="1989">
        <v>0</v>
      </c>
      <c r="R99" s="1989">
        <v>0</v>
      </c>
      <c r="S99" s="1989">
        <v>0</v>
      </c>
      <c r="T99" s="1989">
        <v>0</v>
      </c>
      <c r="U99" s="1989">
        <v>0</v>
      </c>
      <c r="V99" s="1989">
        <v>0</v>
      </c>
      <c r="W99" s="1989">
        <v>0</v>
      </c>
      <c r="X99" s="1989">
        <v>-3933</v>
      </c>
      <c r="Y99" s="1989">
        <v>-800</v>
      </c>
      <c r="Z99" s="1989">
        <v>60515694</v>
      </c>
      <c r="AA99" s="1989">
        <v>-500000</v>
      </c>
      <c r="AB99" s="1990"/>
      <c r="AC99" s="1989">
        <v>147</v>
      </c>
      <c r="AD99" s="1989">
        <v>0</v>
      </c>
      <c r="AE99" s="1989">
        <v>0</v>
      </c>
      <c r="AF99" s="1989">
        <v>0</v>
      </c>
      <c r="AG99" s="1989">
        <v>54</v>
      </c>
      <c r="AH99" s="1989">
        <v>56</v>
      </c>
      <c r="AI99" s="1989">
        <v>1</v>
      </c>
      <c r="AJ99" s="1989">
        <v>0</v>
      </c>
      <c r="AK99" s="1989">
        <v>0</v>
      </c>
      <c r="AL99" s="1989">
        <v>0</v>
      </c>
      <c r="AM99" s="1989">
        <v>0</v>
      </c>
      <c r="AN99" s="1989">
        <v>0</v>
      </c>
      <c r="AO99" s="1989">
        <v>1362</v>
      </c>
      <c r="AP99" s="1989">
        <v>930</v>
      </c>
      <c r="AQ99" s="1989">
        <v>572</v>
      </c>
      <c r="AR99" s="1989">
        <v>358</v>
      </c>
      <c r="AS99" s="1989">
        <v>727</v>
      </c>
      <c r="AT99" s="1988">
        <v>3050</v>
      </c>
      <c r="AU99" s="1991"/>
      <c r="AV99" s="1991"/>
      <c r="AX99" s="1992"/>
      <c r="AY99" s="1992"/>
      <c r="AZ99" s="1992"/>
      <c r="BA99" s="1992"/>
      <c r="BB99" s="1992"/>
      <c r="BD99" s="1992"/>
      <c r="BE99" s="1992"/>
      <c r="BG99" s="1992"/>
      <c r="BI99" s="1992"/>
      <c r="BJ99" s="1992"/>
      <c r="BK99" s="1992"/>
    </row>
    <row r="100" spans="1:63" ht="12.75" x14ac:dyDescent="0.2">
      <c r="A100" s="1984">
        <v>93</v>
      </c>
      <c r="B100" s="1995" t="s">
        <v>80</v>
      </c>
      <c r="C100" s="1994" t="s">
        <v>81</v>
      </c>
      <c r="D100" s="1987">
        <v>125987</v>
      </c>
      <c r="E100" s="1988">
        <v>56960000</v>
      </c>
      <c r="F100" s="1989">
        <v>25908207</v>
      </c>
      <c r="G100" s="1989">
        <v>-2219988</v>
      </c>
      <c r="H100" s="1989">
        <v>544082</v>
      </c>
      <c r="I100" s="1989">
        <v>-1675906</v>
      </c>
      <c r="J100" s="1989">
        <v>-1303681</v>
      </c>
      <c r="K100" s="1989">
        <v>-76548</v>
      </c>
      <c r="L100" s="1989">
        <v>-64076</v>
      </c>
      <c r="M100" s="1989">
        <v>0</v>
      </c>
      <c r="N100" s="1989">
        <v>-454480</v>
      </c>
      <c r="O100" s="1989">
        <v>-47864</v>
      </c>
      <c r="P100" s="1989">
        <v>-38432</v>
      </c>
      <c r="Q100" s="1989">
        <v>-2124</v>
      </c>
      <c r="R100" s="1989">
        <v>-33654</v>
      </c>
      <c r="S100" s="1989">
        <v>-3550</v>
      </c>
      <c r="T100" s="1989">
        <v>0</v>
      </c>
      <c r="U100" s="1989">
        <v>0</v>
      </c>
      <c r="V100" s="1989">
        <v>0</v>
      </c>
      <c r="W100" s="1989">
        <v>0</v>
      </c>
      <c r="X100" s="1989">
        <v>-7196</v>
      </c>
      <c r="Y100" s="1989">
        <v>-3556</v>
      </c>
      <c r="Z100" s="1989">
        <v>22197140</v>
      </c>
      <c r="AA100" s="1989">
        <v>-264737</v>
      </c>
      <c r="AB100" s="1990"/>
      <c r="AC100" s="1989">
        <v>249</v>
      </c>
      <c r="AD100" s="1989">
        <v>10</v>
      </c>
      <c r="AE100" s="1989">
        <v>52</v>
      </c>
      <c r="AF100" s="1989">
        <v>0</v>
      </c>
      <c r="AG100" s="1989">
        <v>233</v>
      </c>
      <c r="AH100" s="1989">
        <v>153</v>
      </c>
      <c r="AI100" s="1989">
        <v>25</v>
      </c>
      <c r="AJ100" s="1989">
        <v>5</v>
      </c>
      <c r="AK100" s="1989">
        <v>39</v>
      </c>
      <c r="AL100" s="1989">
        <v>4</v>
      </c>
      <c r="AM100" s="1989">
        <v>0</v>
      </c>
      <c r="AN100" s="1989">
        <v>0</v>
      </c>
      <c r="AO100" s="1989">
        <v>995</v>
      </c>
      <c r="AP100" s="1989">
        <v>1370</v>
      </c>
      <c r="AQ100" s="1989">
        <v>1076</v>
      </c>
      <c r="AR100" s="1989">
        <v>294</v>
      </c>
      <c r="AS100" s="1989">
        <v>931</v>
      </c>
      <c r="AT100" s="1988">
        <v>3310</v>
      </c>
      <c r="AU100" s="1991"/>
      <c r="AV100" s="1991"/>
      <c r="AX100" s="1992"/>
      <c r="AY100" s="1992"/>
      <c r="AZ100" s="1992"/>
      <c r="BA100" s="1992"/>
      <c r="BB100" s="1992"/>
      <c r="BD100" s="1992"/>
      <c r="BE100" s="1992"/>
      <c r="BG100" s="1992"/>
      <c r="BI100" s="1992"/>
      <c r="BJ100" s="1992"/>
      <c r="BK100" s="1992"/>
    </row>
    <row r="101" spans="1:63" ht="12.75" x14ac:dyDescent="0.2">
      <c r="A101" s="1984">
        <v>94</v>
      </c>
      <c r="B101" s="1995" t="s">
        <v>82</v>
      </c>
      <c r="C101" s="1994" t="s">
        <v>83</v>
      </c>
      <c r="D101" s="1987">
        <v>183674</v>
      </c>
      <c r="E101" s="1988">
        <v>164931000</v>
      </c>
      <c r="F101" s="1989">
        <v>63934245</v>
      </c>
      <c r="G101" s="1989">
        <v>-1896398</v>
      </c>
      <c r="H101" s="1989">
        <v>1525470</v>
      </c>
      <c r="I101" s="1989">
        <v>-370928</v>
      </c>
      <c r="J101" s="1989">
        <v>-3522494</v>
      </c>
      <c r="K101" s="1989">
        <v>-53358</v>
      </c>
      <c r="L101" s="1989">
        <v>0</v>
      </c>
      <c r="M101" s="1989">
        <v>0</v>
      </c>
      <c r="N101" s="1989">
        <v>-2409370</v>
      </c>
      <c r="O101" s="1989">
        <v>-106900</v>
      </c>
      <c r="P101" s="1989">
        <v>-327149</v>
      </c>
      <c r="Q101" s="1989">
        <v>0</v>
      </c>
      <c r="R101" s="1989">
        <v>0</v>
      </c>
      <c r="S101" s="1989">
        <v>0</v>
      </c>
      <c r="T101" s="1989">
        <v>0</v>
      </c>
      <c r="U101" s="1989">
        <v>0</v>
      </c>
      <c r="V101" s="1989">
        <v>0</v>
      </c>
      <c r="W101" s="1989">
        <v>0</v>
      </c>
      <c r="X101" s="1989">
        <v>-7854</v>
      </c>
      <c r="Y101" s="1989">
        <v>-1863</v>
      </c>
      <c r="Z101" s="1989">
        <v>57134329</v>
      </c>
      <c r="AA101" s="1989">
        <v>-163626</v>
      </c>
      <c r="AB101" s="1990"/>
      <c r="AC101" s="1989">
        <v>207</v>
      </c>
      <c r="AD101" s="1989">
        <v>16</v>
      </c>
      <c r="AE101" s="1989">
        <v>0</v>
      </c>
      <c r="AF101" s="1989">
        <v>2</v>
      </c>
      <c r="AG101" s="1989">
        <v>360</v>
      </c>
      <c r="AH101" s="1989">
        <v>90</v>
      </c>
      <c r="AI101" s="1989">
        <v>13</v>
      </c>
      <c r="AJ101" s="1989">
        <v>0</v>
      </c>
      <c r="AK101" s="1989">
        <v>0</v>
      </c>
      <c r="AL101" s="1989">
        <v>0</v>
      </c>
      <c r="AM101" s="1989">
        <v>0</v>
      </c>
      <c r="AN101" s="1989">
        <v>0</v>
      </c>
      <c r="AO101" s="1989">
        <v>1561</v>
      </c>
      <c r="AP101" s="1989">
        <v>971</v>
      </c>
      <c r="AQ101" s="1989">
        <v>501</v>
      </c>
      <c r="AR101" s="1989">
        <v>470</v>
      </c>
      <c r="AS101" s="1989">
        <v>1055</v>
      </c>
      <c r="AT101" s="1988">
        <v>3570</v>
      </c>
      <c r="AU101" s="1991"/>
      <c r="AV101" s="1991"/>
      <c r="AX101" s="1992"/>
      <c r="AY101" s="1992"/>
      <c r="AZ101" s="1992"/>
      <c r="BA101" s="1992"/>
      <c r="BB101" s="1992"/>
      <c r="BD101" s="1992"/>
      <c r="BE101" s="1992"/>
      <c r="BG101" s="1992"/>
      <c r="BI101" s="1992"/>
      <c r="BJ101" s="1992"/>
      <c r="BK101" s="1992"/>
    </row>
    <row r="102" spans="1:63" ht="12.75" x14ac:dyDescent="0.2">
      <c r="A102" s="1984">
        <v>95</v>
      </c>
      <c r="B102" s="1995" t="s">
        <v>84</v>
      </c>
      <c r="C102" s="1994" t="s">
        <v>85</v>
      </c>
      <c r="D102" s="1987">
        <v>339782</v>
      </c>
      <c r="E102" s="1988">
        <v>282290000</v>
      </c>
      <c r="F102" s="1989">
        <v>123730405</v>
      </c>
      <c r="G102" s="1989">
        <v>-4015836</v>
      </c>
      <c r="H102" s="1989">
        <v>2757345</v>
      </c>
      <c r="I102" s="1989">
        <v>-1258491</v>
      </c>
      <c r="J102" s="1989">
        <v>-5379241</v>
      </c>
      <c r="K102" s="1989">
        <v>-121964</v>
      </c>
      <c r="L102" s="1989">
        <v>0</v>
      </c>
      <c r="M102" s="1989">
        <v>0</v>
      </c>
      <c r="N102" s="1989">
        <v>-2360533</v>
      </c>
      <c r="O102" s="1989">
        <v>-215329</v>
      </c>
      <c r="P102" s="1989">
        <v>-194699</v>
      </c>
      <c r="Q102" s="1989">
        <v>0</v>
      </c>
      <c r="R102" s="1989">
        <v>0</v>
      </c>
      <c r="S102" s="1989">
        <v>0</v>
      </c>
      <c r="T102" s="1989">
        <v>0</v>
      </c>
      <c r="U102" s="1989">
        <v>0</v>
      </c>
      <c r="V102" s="1989">
        <v>0</v>
      </c>
      <c r="W102" s="1989">
        <v>0</v>
      </c>
      <c r="X102" s="1989">
        <v>-49824</v>
      </c>
      <c r="Y102" s="1989">
        <v>-7724</v>
      </c>
      <c r="Z102" s="1989">
        <v>114142600</v>
      </c>
      <c r="AA102" s="1989">
        <v>-1257320</v>
      </c>
      <c r="AB102" s="1990"/>
      <c r="AC102" s="1989">
        <v>292</v>
      </c>
      <c r="AD102" s="1989">
        <v>21</v>
      </c>
      <c r="AE102" s="1989">
        <v>0</v>
      </c>
      <c r="AF102" s="1989">
        <v>0</v>
      </c>
      <c r="AG102" s="1989">
        <v>352</v>
      </c>
      <c r="AH102" s="1989">
        <v>161</v>
      </c>
      <c r="AI102" s="1989">
        <v>0</v>
      </c>
      <c r="AJ102" s="1989">
        <v>0</v>
      </c>
      <c r="AK102" s="1989">
        <v>0</v>
      </c>
      <c r="AL102" s="1989">
        <v>0</v>
      </c>
      <c r="AM102" s="1989">
        <v>0</v>
      </c>
      <c r="AN102" s="1989">
        <v>0</v>
      </c>
      <c r="AO102" s="1989">
        <v>2358</v>
      </c>
      <c r="AP102" s="1989">
        <v>2018</v>
      </c>
      <c r="AQ102" s="1989">
        <v>852</v>
      </c>
      <c r="AR102" s="1989">
        <v>1166</v>
      </c>
      <c r="AS102" s="1989">
        <v>2630</v>
      </c>
      <c r="AT102" s="1988">
        <v>7050</v>
      </c>
      <c r="AU102" s="1991"/>
      <c r="AV102" s="1991"/>
      <c r="AX102" s="1992"/>
      <c r="AY102" s="1992"/>
      <c r="AZ102" s="1992"/>
      <c r="BA102" s="1992"/>
      <c r="BB102" s="1992"/>
      <c r="BD102" s="1992"/>
      <c r="BE102" s="1992"/>
      <c r="BG102" s="1992"/>
      <c r="BI102" s="1992"/>
      <c r="BJ102" s="1992"/>
      <c r="BK102" s="1992"/>
    </row>
    <row r="103" spans="1:63" ht="12.75" x14ac:dyDescent="0.2">
      <c r="A103" s="1984">
        <v>96</v>
      </c>
      <c r="B103" s="1995" t="s">
        <v>86</v>
      </c>
      <c r="C103" s="1994" t="s">
        <v>87</v>
      </c>
      <c r="D103" s="1987">
        <v>172654</v>
      </c>
      <c r="E103" s="1988">
        <v>93894000</v>
      </c>
      <c r="F103" s="1989">
        <v>41851234</v>
      </c>
      <c r="G103" s="1989">
        <v>-2570878</v>
      </c>
      <c r="H103" s="1989">
        <v>870507</v>
      </c>
      <c r="I103" s="1989">
        <v>-1700371</v>
      </c>
      <c r="J103" s="1989">
        <v>-2256308</v>
      </c>
      <c r="K103" s="1989">
        <v>-26679</v>
      </c>
      <c r="L103" s="1989">
        <v>0</v>
      </c>
      <c r="M103" s="1989">
        <v>0</v>
      </c>
      <c r="N103" s="1989">
        <v>-1215412</v>
      </c>
      <c r="O103" s="1989">
        <v>-14127</v>
      </c>
      <c r="P103" s="1989">
        <v>-56489</v>
      </c>
      <c r="Q103" s="1989">
        <v>0</v>
      </c>
      <c r="R103" s="1989">
        <v>-5576</v>
      </c>
      <c r="S103" s="1989">
        <v>-8364</v>
      </c>
      <c r="T103" s="1989">
        <v>0</v>
      </c>
      <c r="U103" s="1989">
        <v>0</v>
      </c>
      <c r="V103" s="1989">
        <v>0</v>
      </c>
      <c r="W103" s="1989">
        <v>-13295</v>
      </c>
      <c r="X103" s="1989">
        <v>-3046</v>
      </c>
      <c r="Y103" s="1989">
        <v>-38721</v>
      </c>
      <c r="Z103" s="1989">
        <v>36512846</v>
      </c>
      <c r="AA103" s="1989">
        <v>-297000</v>
      </c>
      <c r="AB103" s="1990"/>
      <c r="AC103" s="1989">
        <v>146</v>
      </c>
      <c r="AD103" s="1989">
        <v>5</v>
      </c>
      <c r="AE103" s="1989">
        <v>5</v>
      </c>
      <c r="AF103" s="1989">
        <v>0</v>
      </c>
      <c r="AG103" s="1989">
        <v>406</v>
      </c>
      <c r="AH103" s="1989">
        <v>13</v>
      </c>
      <c r="AI103" s="1989">
        <v>28</v>
      </c>
      <c r="AJ103" s="1989">
        <v>0</v>
      </c>
      <c r="AK103" s="1989">
        <v>5</v>
      </c>
      <c r="AL103" s="1989">
        <v>3</v>
      </c>
      <c r="AM103" s="1989">
        <v>0</v>
      </c>
      <c r="AN103" s="1989">
        <v>0</v>
      </c>
      <c r="AO103" s="1989">
        <v>1444</v>
      </c>
      <c r="AP103" s="1989">
        <v>1364</v>
      </c>
      <c r="AQ103" s="1989">
        <v>726</v>
      </c>
      <c r="AR103" s="1989">
        <v>638</v>
      </c>
      <c r="AS103" s="1989">
        <v>1199</v>
      </c>
      <c r="AT103" s="1988">
        <v>4090</v>
      </c>
      <c r="AU103" s="1991"/>
      <c r="AV103" s="1991"/>
      <c r="AX103" s="1992"/>
      <c r="AY103" s="1992"/>
      <c r="AZ103" s="1992"/>
      <c r="BA103" s="1992"/>
      <c r="BB103" s="1992"/>
      <c r="BD103" s="1992"/>
      <c r="BE103" s="1992"/>
      <c r="BG103" s="1992"/>
      <c r="BI103" s="1992"/>
      <c r="BJ103" s="1992"/>
      <c r="BK103" s="1992"/>
    </row>
    <row r="104" spans="1:63" ht="12.75" x14ac:dyDescent="0.2">
      <c r="A104" s="1984">
        <v>97</v>
      </c>
      <c r="B104" s="1996" t="s">
        <v>2342</v>
      </c>
      <c r="C104" s="1994" t="s">
        <v>89</v>
      </c>
      <c r="D104" s="1987">
        <v>83437</v>
      </c>
      <c r="E104" s="1988">
        <v>65042000</v>
      </c>
      <c r="F104" s="1989">
        <v>28782960</v>
      </c>
      <c r="G104" s="1989">
        <v>-1078459</v>
      </c>
      <c r="H104" s="1989">
        <v>681665</v>
      </c>
      <c r="I104" s="1989">
        <v>-396794</v>
      </c>
      <c r="J104" s="1989">
        <v>-2787520</v>
      </c>
      <c r="K104" s="1989">
        <v>-50296</v>
      </c>
      <c r="L104" s="1989">
        <v>0</v>
      </c>
      <c r="M104" s="1989">
        <v>0</v>
      </c>
      <c r="N104" s="1989">
        <v>-413496</v>
      </c>
      <c r="O104" s="1989">
        <v>-88832</v>
      </c>
      <c r="P104" s="1989">
        <v>-590</v>
      </c>
      <c r="Q104" s="1989">
        <v>-8817</v>
      </c>
      <c r="R104" s="1989">
        <v>0</v>
      </c>
      <c r="S104" s="1989">
        <v>0</v>
      </c>
      <c r="T104" s="1989">
        <v>0</v>
      </c>
      <c r="U104" s="1989">
        <v>0</v>
      </c>
      <c r="V104" s="1989">
        <v>0</v>
      </c>
      <c r="W104" s="1989">
        <v>0</v>
      </c>
      <c r="X104" s="1989">
        <v>-10872</v>
      </c>
      <c r="Y104" s="1989">
        <v>0</v>
      </c>
      <c r="Z104" s="1989">
        <v>24680152</v>
      </c>
      <c r="AA104" s="1989">
        <v>-322759</v>
      </c>
      <c r="AB104" s="1990"/>
      <c r="AC104" s="1989">
        <v>88</v>
      </c>
      <c r="AD104" s="1989">
        <v>4</v>
      </c>
      <c r="AE104" s="1989">
        <v>0</v>
      </c>
      <c r="AF104" s="1989">
        <v>0</v>
      </c>
      <c r="AG104" s="1989">
        <v>72</v>
      </c>
      <c r="AH104" s="1989">
        <v>43</v>
      </c>
      <c r="AI104" s="1989">
        <v>1</v>
      </c>
      <c r="AJ104" s="1989">
        <v>4</v>
      </c>
      <c r="AK104" s="1989">
        <v>0</v>
      </c>
      <c r="AL104" s="1989">
        <v>0</v>
      </c>
      <c r="AM104" s="1989">
        <v>0</v>
      </c>
      <c r="AN104" s="1989">
        <v>0</v>
      </c>
      <c r="AO104" s="1989">
        <v>744</v>
      </c>
      <c r="AP104" s="1989">
        <v>514</v>
      </c>
      <c r="AQ104" s="1989">
        <v>249</v>
      </c>
      <c r="AR104" s="1989">
        <v>265</v>
      </c>
      <c r="AS104" s="1989">
        <v>466</v>
      </c>
      <c r="AT104" s="1988">
        <v>1710</v>
      </c>
      <c r="AU104" s="1991"/>
      <c r="AV104" s="1991"/>
      <c r="AX104" s="1992"/>
      <c r="AY104" s="1992"/>
      <c r="AZ104" s="1992"/>
      <c r="BA104" s="1992"/>
      <c r="BB104" s="1992"/>
      <c r="BD104" s="1992"/>
      <c r="BE104" s="1992"/>
      <c r="BG104" s="1992"/>
      <c r="BI104" s="1992"/>
      <c r="BJ104" s="1992"/>
      <c r="BK104" s="1992"/>
    </row>
    <row r="105" spans="1:63" ht="12.75" x14ac:dyDescent="0.2">
      <c r="A105" s="1984">
        <v>98</v>
      </c>
      <c r="B105" s="1995" t="s">
        <v>90</v>
      </c>
      <c r="C105" s="1994" t="s">
        <v>91</v>
      </c>
      <c r="D105" s="1987">
        <v>134458</v>
      </c>
      <c r="E105" s="1988">
        <v>65554000</v>
      </c>
      <c r="F105" s="1989">
        <v>31074133</v>
      </c>
      <c r="G105" s="1989">
        <v>-2566402</v>
      </c>
      <c r="H105" s="1989">
        <v>647018</v>
      </c>
      <c r="I105" s="1989">
        <v>-1919384</v>
      </c>
      <c r="J105" s="1989">
        <v>-1690983</v>
      </c>
      <c r="K105" s="1989">
        <v>-86657</v>
      </c>
      <c r="L105" s="1989">
        <v>-1603</v>
      </c>
      <c r="M105" s="1989">
        <v>0</v>
      </c>
      <c r="N105" s="1989">
        <v>-276538</v>
      </c>
      <c r="O105" s="1989">
        <v>-17970</v>
      </c>
      <c r="P105" s="1989">
        <v>-40807</v>
      </c>
      <c r="Q105" s="1989">
        <v>0</v>
      </c>
      <c r="R105" s="1989">
        <v>-1230</v>
      </c>
      <c r="S105" s="1989">
        <v>0</v>
      </c>
      <c r="T105" s="1989">
        <v>0</v>
      </c>
      <c r="U105" s="1989">
        <v>0</v>
      </c>
      <c r="V105" s="1989">
        <v>0</v>
      </c>
      <c r="W105" s="1989">
        <v>0</v>
      </c>
      <c r="X105" s="1989">
        <v>0</v>
      </c>
      <c r="Y105" s="1989">
        <v>0</v>
      </c>
      <c r="Z105" s="1989">
        <v>27060416</v>
      </c>
      <c r="AA105" s="1989">
        <v>-299660</v>
      </c>
      <c r="AB105" s="1990"/>
      <c r="AC105" s="1989">
        <v>123</v>
      </c>
      <c r="AD105" s="1989">
        <v>16</v>
      </c>
      <c r="AE105" s="1989">
        <v>2</v>
      </c>
      <c r="AF105" s="1989">
        <v>0</v>
      </c>
      <c r="AG105" s="1989">
        <v>213</v>
      </c>
      <c r="AH105" s="1989">
        <v>16</v>
      </c>
      <c r="AI105" s="1989">
        <v>25</v>
      </c>
      <c r="AJ105" s="1989">
        <v>0</v>
      </c>
      <c r="AK105" s="1989">
        <v>1</v>
      </c>
      <c r="AL105" s="1989">
        <v>0</v>
      </c>
      <c r="AM105" s="1989">
        <v>0</v>
      </c>
      <c r="AN105" s="1989">
        <v>0</v>
      </c>
      <c r="AO105" s="1989">
        <v>1084</v>
      </c>
      <c r="AP105" s="1989">
        <v>1502</v>
      </c>
      <c r="AQ105" s="1989">
        <v>1114</v>
      </c>
      <c r="AR105" s="1989">
        <v>388</v>
      </c>
      <c r="AS105" s="1989">
        <v>855</v>
      </c>
      <c r="AT105" s="1988">
        <v>3490</v>
      </c>
      <c r="AU105" s="1991"/>
      <c r="AV105" s="1991"/>
      <c r="AX105" s="1992"/>
      <c r="AY105" s="1992"/>
      <c r="AZ105" s="1992"/>
      <c r="BA105" s="1992"/>
      <c r="BB105" s="1992"/>
      <c r="BD105" s="1992"/>
      <c r="BE105" s="1992"/>
      <c r="BG105" s="1992"/>
      <c r="BI105" s="1992"/>
      <c r="BJ105" s="1992"/>
      <c r="BK105" s="1992"/>
    </row>
    <row r="106" spans="1:63" ht="12.75" x14ac:dyDescent="0.2">
      <c r="A106" s="1984">
        <v>99</v>
      </c>
      <c r="B106" s="1995" t="s">
        <v>92</v>
      </c>
      <c r="C106" s="1994" t="s">
        <v>93</v>
      </c>
      <c r="D106" s="1987">
        <v>215774</v>
      </c>
      <c r="E106" s="1988">
        <v>188103000</v>
      </c>
      <c r="F106" s="1989">
        <v>89230508</v>
      </c>
      <c r="G106" s="1989">
        <v>-2182133</v>
      </c>
      <c r="H106" s="1989">
        <v>2194014</v>
      </c>
      <c r="I106" s="1989">
        <v>11881</v>
      </c>
      <c r="J106" s="1989">
        <v>-6154643</v>
      </c>
      <c r="K106" s="1989">
        <v>-34462</v>
      </c>
      <c r="L106" s="1989">
        <v>0</v>
      </c>
      <c r="M106" s="1989">
        <v>-11735</v>
      </c>
      <c r="N106" s="1989">
        <v>-2632020</v>
      </c>
      <c r="O106" s="1989">
        <v>-227373</v>
      </c>
      <c r="P106" s="1989">
        <v>-49700</v>
      </c>
      <c r="Q106" s="1989">
        <v>-3020</v>
      </c>
      <c r="R106" s="1989">
        <v>0</v>
      </c>
      <c r="S106" s="1989">
        <v>0</v>
      </c>
      <c r="T106" s="1989">
        <v>0</v>
      </c>
      <c r="U106" s="1989">
        <v>0</v>
      </c>
      <c r="V106" s="1989">
        <v>0</v>
      </c>
      <c r="W106" s="1989">
        <v>0</v>
      </c>
      <c r="X106" s="1989">
        <v>-15354</v>
      </c>
      <c r="Y106" s="1989">
        <v>-23163</v>
      </c>
      <c r="Z106" s="1989">
        <v>80090919</v>
      </c>
      <c r="AA106" s="1989">
        <v>-500000</v>
      </c>
      <c r="AB106" s="1990"/>
      <c r="AC106" s="1989">
        <v>315</v>
      </c>
      <c r="AD106" s="1989">
        <v>15</v>
      </c>
      <c r="AE106" s="1989">
        <v>0</v>
      </c>
      <c r="AF106" s="1989">
        <v>1</v>
      </c>
      <c r="AG106" s="1989">
        <v>574</v>
      </c>
      <c r="AH106" s="1989">
        <v>100</v>
      </c>
      <c r="AI106" s="1989">
        <v>3</v>
      </c>
      <c r="AJ106" s="1989">
        <v>6</v>
      </c>
      <c r="AK106" s="1989">
        <v>0</v>
      </c>
      <c r="AL106" s="1989">
        <v>0</v>
      </c>
      <c r="AM106" s="1989">
        <v>0</v>
      </c>
      <c r="AN106" s="1989">
        <v>0</v>
      </c>
      <c r="AO106" s="1989">
        <v>2322</v>
      </c>
      <c r="AP106" s="1989">
        <v>1077</v>
      </c>
      <c r="AQ106" s="1989">
        <v>599</v>
      </c>
      <c r="AR106" s="1989">
        <v>478</v>
      </c>
      <c r="AS106" s="1989">
        <v>1349</v>
      </c>
      <c r="AT106" s="1988">
        <v>4860</v>
      </c>
      <c r="AU106" s="1991"/>
      <c r="AV106" s="1991"/>
      <c r="AX106" s="1992"/>
      <c r="AY106" s="1992"/>
      <c r="AZ106" s="1992"/>
      <c r="BA106" s="1992"/>
      <c r="BB106" s="1992"/>
      <c r="BD106" s="1992"/>
      <c r="BE106" s="1992"/>
      <c r="BG106" s="1992"/>
      <c r="BI106" s="1992"/>
      <c r="BJ106" s="1992"/>
      <c r="BK106" s="1992"/>
    </row>
    <row r="107" spans="1:63" ht="12.75" x14ac:dyDescent="0.2">
      <c r="A107" s="1984">
        <v>100</v>
      </c>
      <c r="B107" s="1995" t="s">
        <v>94</v>
      </c>
      <c r="C107" s="1994" t="s">
        <v>95</v>
      </c>
      <c r="D107" s="1987">
        <v>138082</v>
      </c>
      <c r="E107" s="1988">
        <v>100747000</v>
      </c>
      <c r="F107" s="1989">
        <v>48744070</v>
      </c>
      <c r="G107" s="1989">
        <v>-1807434</v>
      </c>
      <c r="H107" s="1989">
        <v>1242174</v>
      </c>
      <c r="I107" s="1989">
        <v>-565260</v>
      </c>
      <c r="J107" s="1989">
        <v>-2711649</v>
      </c>
      <c r="K107" s="1989">
        <v>0</v>
      </c>
      <c r="L107" s="1989">
        <v>0</v>
      </c>
      <c r="M107" s="1989">
        <v>-42183</v>
      </c>
      <c r="N107" s="1989">
        <v>-1863545</v>
      </c>
      <c r="O107" s="1989">
        <v>-148356</v>
      </c>
      <c r="P107" s="1989">
        <v>-430961</v>
      </c>
      <c r="Q107" s="1989">
        <v>0</v>
      </c>
      <c r="R107" s="1989">
        <v>0</v>
      </c>
      <c r="S107" s="1989">
        <v>0</v>
      </c>
      <c r="T107" s="1989">
        <v>-296414</v>
      </c>
      <c r="U107" s="1989">
        <v>-296414</v>
      </c>
      <c r="V107" s="1989">
        <v>0</v>
      </c>
      <c r="W107" s="1989">
        <v>-13494</v>
      </c>
      <c r="X107" s="1989">
        <v>-23839</v>
      </c>
      <c r="Y107" s="1989">
        <v>-6042</v>
      </c>
      <c r="Z107" s="1989">
        <v>43706286</v>
      </c>
      <c r="AA107" s="1989">
        <v>-440436</v>
      </c>
      <c r="AB107" s="1990"/>
      <c r="AC107" s="1989">
        <v>123</v>
      </c>
      <c r="AD107" s="1989">
        <v>0</v>
      </c>
      <c r="AE107" s="1989">
        <v>0</v>
      </c>
      <c r="AF107" s="1989">
        <v>6</v>
      </c>
      <c r="AG107" s="1989">
        <v>232</v>
      </c>
      <c r="AH107" s="1989">
        <v>102</v>
      </c>
      <c r="AI107" s="1989">
        <v>45</v>
      </c>
      <c r="AJ107" s="1989">
        <v>0</v>
      </c>
      <c r="AK107" s="1989">
        <v>0</v>
      </c>
      <c r="AL107" s="1989">
        <v>0</v>
      </c>
      <c r="AM107" s="1989">
        <v>11</v>
      </c>
      <c r="AN107" s="1989">
        <v>0</v>
      </c>
      <c r="AO107" s="1989">
        <v>1243</v>
      </c>
      <c r="AP107" s="1989">
        <v>1032</v>
      </c>
      <c r="AQ107" s="1989">
        <v>595</v>
      </c>
      <c r="AR107" s="1989">
        <v>437</v>
      </c>
      <c r="AS107" s="1989">
        <v>746</v>
      </c>
      <c r="AT107" s="1988">
        <v>3140</v>
      </c>
      <c r="AU107" s="1991"/>
      <c r="AV107" s="1991"/>
      <c r="AX107" s="1992"/>
      <c r="AY107" s="1992"/>
      <c r="AZ107" s="1992"/>
      <c r="BA107" s="1992"/>
      <c r="BB107" s="1992"/>
      <c r="BD107" s="1992"/>
      <c r="BE107" s="1992"/>
      <c r="BG107" s="1992"/>
      <c r="BI107" s="1992"/>
      <c r="BJ107" s="1992"/>
      <c r="BK107" s="1992"/>
    </row>
    <row r="108" spans="1:63" ht="12.75" x14ac:dyDescent="0.2">
      <c r="A108" s="1984">
        <v>101</v>
      </c>
      <c r="B108" s="1995" t="s">
        <v>96</v>
      </c>
      <c r="C108" s="1994" t="s">
        <v>97</v>
      </c>
      <c r="D108" s="1987">
        <v>124366</v>
      </c>
      <c r="E108" s="1988">
        <v>66729000</v>
      </c>
      <c r="F108" s="1989">
        <v>31988518</v>
      </c>
      <c r="G108" s="1989">
        <v>-2415623</v>
      </c>
      <c r="H108" s="1989">
        <v>697161</v>
      </c>
      <c r="I108" s="1989">
        <v>-1718462</v>
      </c>
      <c r="J108" s="1989">
        <v>-1937298</v>
      </c>
      <c r="K108" s="1989">
        <v>-29880</v>
      </c>
      <c r="L108" s="1989">
        <v>-32308</v>
      </c>
      <c r="M108" s="1989">
        <v>0</v>
      </c>
      <c r="N108" s="1989">
        <v>-746410</v>
      </c>
      <c r="O108" s="1989">
        <v>-27866</v>
      </c>
      <c r="P108" s="1989">
        <v>-70966</v>
      </c>
      <c r="Q108" s="1989">
        <v>0</v>
      </c>
      <c r="R108" s="1989">
        <v>-29891</v>
      </c>
      <c r="S108" s="1989">
        <v>-22887</v>
      </c>
      <c r="T108" s="1989">
        <v>0</v>
      </c>
      <c r="U108" s="1989">
        <v>0</v>
      </c>
      <c r="V108" s="1989">
        <v>0</v>
      </c>
      <c r="W108" s="1989">
        <v>0</v>
      </c>
      <c r="X108" s="1989">
        <v>-770</v>
      </c>
      <c r="Y108" s="1989">
        <v>-567</v>
      </c>
      <c r="Z108" s="1989">
        <v>27180363</v>
      </c>
      <c r="AA108" s="1989">
        <v>-1000000</v>
      </c>
      <c r="AB108" s="1990"/>
      <c r="AC108" s="1989">
        <v>172</v>
      </c>
      <c r="AD108" s="1989">
        <v>11</v>
      </c>
      <c r="AE108" s="1989">
        <v>28</v>
      </c>
      <c r="AF108" s="1989">
        <v>0</v>
      </c>
      <c r="AG108" s="1989">
        <v>384</v>
      </c>
      <c r="AH108" s="1989">
        <v>35</v>
      </c>
      <c r="AI108" s="1989">
        <v>27</v>
      </c>
      <c r="AJ108" s="1989">
        <v>0</v>
      </c>
      <c r="AK108" s="1989">
        <v>28</v>
      </c>
      <c r="AL108" s="1989">
        <v>5</v>
      </c>
      <c r="AM108" s="1989">
        <v>0</v>
      </c>
      <c r="AN108" s="1989">
        <v>0</v>
      </c>
      <c r="AO108" s="1989">
        <v>1010</v>
      </c>
      <c r="AP108" s="1989">
        <v>1299</v>
      </c>
      <c r="AQ108" s="1989">
        <v>899</v>
      </c>
      <c r="AR108" s="1989">
        <v>400</v>
      </c>
      <c r="AS108" s="1989">
        <v>726</v>
      </c>
      <c r="AT108" s="1988">
        <v>3050</v>
      </c>
      <c r="AU108" s="1991"/>
      <c r="AV108" s="1991"/>
      <c r="AX108" s="1992"/>
      <c r="AY108" s="1992"/>
      <c r="AZ108" s="1992"/>
      <c r="BA108" s="1992"/>
      <c r="BB108" s="1992"/>
      <c r="BD108" s="1992"/>
      <c r="BE108" s="1992"/>
      <c r="BG108" s="1992"/>
      <c r="BI108" s="1992"/>
      <c r="BJ108" s="1992"/>
      <c r="BK108" s="1992"/>
    </row>
    <row r="109" spans="1:63" ht="12.75" x14ac:dyDescent="0.2">
      <c r="A109" s="1984">
        <v>102</v>
      </c>
      <c r="B109" s="1995" t="s">
        <v>98</v>
      </c>
      <c r="C109" s="1994" t="s">
        <v>99</v>
      </c>
      <c r="D109" s="1987">
        <v>90908</v>
      </c>
      <c r="E109" s="1988">
        <v>61652000</v>
      </c>
      <c r="F109" s="1989">
        <v>25653212</v>
      </c>
      <c r="G109" s="1989">
        <v>-1464018</v>
      </c>
      <c r="H109" s="1989">
        <v>573919</v>
      </c>
      <c r="I109" s="1989">
        <v>-890099</v>
      </c>
      <c r="J109" s="1989">
        <v>-1115318</v>
      </c>
      <c r="K109" s="1989">
        <v>0</v>
      </c>
      <c r="L109" s="1989">
        <v>-16289</v>
      </c>
      <c r="M109" s="1989">
        <v>-17000</v>
      </c>
      <c r="N109" s="1989">
        <v>-646849</v>
      </c>
      <c r="O109" s="1989">
        <v>-14403</v>
      </c>
      <c r="P109" s="1989">
        <v>0</v>
      </c>
      <c r="Q109" s="1989">
        <v>0</v>
      </c>
      <c r="R109" s="1989">
        <v>-3032</v>
      </c>
      <c r="S109" s="1989">
        <v>0</v>
      </c>
      <c r="T109" s="1989">
        <v>0</v>
      </c>
      <c r="U109" s="1989">
        <v>0</v>
      </c>
      <c r="V109" s="1989">
        <v>0</v>
      </c>
      <c r="W109" s="1989">
        <v>0</v>
      </c>
      <c r="X109" s="1989">
        <v>0</v>
      </c>
      <c r="Y109" s="1989">
        <v>0</v>
      </c>
      <c r="Z109" s="1989">
        <v>22950222</v>
      </c>
      <c r="AA109" s="1989">
        <v>-382670</v>
      </c>
      <c r="AB109" s="1990"/>
      <c r="AC109" s="1989">
        <v>128</v>
      </c>
      <c r="AD109" s="1989">
        <v>4</v>
      </c>
      <c r="AE109" s="1989">
        <v>11</v>
      </c>
      <c r="AF109" s="1989">
        <v>0</v>
      </c>
      <c r="AG109" s="1989">
        <v>182</v>
      </c>
      <c r="AH109" s="1989">
        <v>39</v>
      </c>
      <c r="AI109" s="1989">
        <v>0</v>
      </c>
      <c r="AJ109" s="1989">
        <v>3</v>
      </c>
      <c r="AK109" s="1989">
        <v>4</v>
      </c>
      <c r="AL109" s="1989">
        <v>0</v>
      </c>
      <c r="AM109" s="1989">
        <v>0</v>
      </c>
      <c r="AN109" s="1989">
        <v>0</v>
      </c>
      <c r="AO109" s="1989">
        <v>800</v>
      </c>
      <c r="AP109" s="1989">
        <v>800</v>
      </c>
      <c r="AQ109" s="1989">
        <v>546</v>
      </c>
      <c r="AR109" s="1989">
        <v>254</v>
      </c>
      <c r="AS109" s="1989">
        <v>574</v>
      </c>
      <c r="AT109" s="1988">
        <v>2190</v>
      </c>
      <c r="AU109" s="1991"/>
      <c r="AV109" s="1991"/>
      <c r="AX109" s="1992"/>
      <c r="AY109" s="1992"/>
      <c r="AZ109" s="1992"/>
      <c r="BA109" s="1992"/>
      <c r="BB109" s="1992"/>
      <c r="BD109" s="1992"/>
      <c r="BE109" s="1992"/>
      <c r="BG109" s="1992"/>
      <c r="BI109" s="1992"/>
      <c r="BJ109" s="1992"/>
      <c r="BK109" s="1992"/>
    </row>
    <row r="110" spans="1:63" ht="12.75" x14ac:dyDescent="0.2">
      <c r="A110" s="1984">
        <v>103</v>
      </c>
      <c r="B110" s="1995" t="s">
        <v>100</v>
      </c>
      <c r="C110" s="1994" t="s">
        <v>101</v>
      </c>
      <c r="D110" s="1987">
        <v>119111</v>
      </c>
      <c r="E110" s="1988">
        <v>39254000</v>
      </c>
      <c r="F110" s="1989">
        <v>17059026</v>
      </c>
      <c r="G110" s="1989">
        <v>-2399464</v>
      </c>
      <c r="H110" s="1989">
        <v>315386</v>
      </c>
      <c r="I110" s="1989">
        <v>-2084078</v>
      </c>
      <c r="J110" s="1989">
        <v>-1547874</v>
      </c>
      <c r="K110" s="1989">
        <v>-6500</v>
      </c>
      <c r="L110" s="1989">
        <v>-47356</v>
      </c>
      <c r="M110" s="1989">
        <v>0</v>
      </c>
      <c r="N110" s="1989">
        <v>-229051</v>
      </c>
      <c r="O110" s="1989">
        <v>-57990</v>
      </c>
      <c r="P110" s="1989">
        <v>-47631</v>
      </c>
      <c r="Q110" s="1989">
        <v>-690</v>
      </c>
      <c r="R110" s="1989">
        <v>-37006</v>
      </c>
      <c r="S110" s="1989">
        <v>0</v>
      </c>
      <c r="T110" s="1989">
        <v>0</v>
      </c>
      <c r="U110" s="1989">
        <v>0</v>
      </c>
      <c r="V110" s="1989">
        <v>0</v>
      </c>
      <c r="W110" s="1989">
        <v>0</v>
      </c>
      <c r="X110" s="1989">
        <v>-5117</v>
      </c>
      <c r="Y110" s="1989">
        <v>-28076</v>
      </c>
      <c r="Z110" s="1989">
        <v>12840674</v>
      </c>
      <c r="AA110" s="1989">
        <v>-237709</v>
      </c>
      <c r="AB110" s="1990"/>
      <c r="AC110" s="1989">
        <v>210</v>
      </c>
      <c r="AD110" s="1989">
        <v>6</v>
      </c>
      <c r="AE110" s="1989">
        <v>50</v>
      </c>
      <c r="AF110" s="1989">
        <v>0</v>
      </c>
      <c r="AG110" s="1989">
        <v>269</v>
      </c>
      <c r="AH110" s="1989">
        <v>130</v>
      </c>
      <c r="AI110" s="1989">
        <v>24</v>
      </c>
      <c r="AJ110" s="1989">
        <v>4</v>
      </c>
      <c r="AK110" s="1989">
        <v>44</v>
      </c>
      <c r="AL110" s="1989">
        <v>0</v>
      </c>
      <c r="AM110" s="1989">
        <v>0</v>
      </c>
      <c r="AN110" s="1989">
        <v>0</v>
      </c>
      <c r="AO110" s="1989">
        <v>851</v>
      </c>
      <c r="AP110" s="1989">
        <v>1557</v>
      </c>
      <c r="AQ110" s="1989">
        <v>1281</v>
      </c>
      <c r="AR110" s="1989">
        <v>276</v>
      </c>
      <c r="AS110" s="1989">
        <v>763</v>
      </c>
      <c r="AT110" s="1988">
        <v>3190</v>
      </c>
      <c r="AU110" s="1991"/>
      <c r="AV110" s="1991"/>
      <c r="AX110" s="1992"/>
      <c r="AY110" s="1992"/>
      <c r="AZ110" s="1992"/>
      <c r="BA110" s="1992"/>
      <c r="BB110" s="1992"/>
      <c r="BD110" s="1992"/>
      <c r="BE110" s="1992"/>
      <c r="BG110" s="1992"/>
      <c r="BI110" s="1992"/>
      <c r="BJ110" s="1992"/>
      <c r="BK110" s="1992"/>
    </row>
    <row r="111" spans="1:63" ht="12.75" x14ac:dyDescent="0.2">
      <c r="A111" s="1984">
        <v>104</v>
      </c>
      <c r="B111" s="1995" t="s">
        <v>102</v>
      </c>
      <c r="C111" s="1994" t="s">
        <v>103</v>
      </c>
      <c r="D111" s="1987">
        <v>112715</v>
      </c>
      <c r="E111" s="1988">
        <v>65658000</v>
      </c>
      <c r="F111" s="1989">
        <v>30213895</v>
      </c>
      <c r="G111" s="1989">
        <v>-2146377</v>
      </c>
      <c r="H111" s="1989">
        <v>683467</v>
      </c>
      <c r="I111" s="1989">
        <v>-1462910</v>
      </c>
      <c r="J111" s="1989">
        <v>-1279745</v>
      </c>
      <c r="K111" s="1989">
        <v>0</v>
      </c>
      <c r="L111" s="1989">
        <v>-7558</v>
      </c>
      <c r="M111" s="1989">
        <v>0</v>
      </c>
      <c r="N111" s="1989">
        <v>-631635</v>
      </c>
      <c r="O111" s="1989">
        <v>-62897</v>
      </c>
      <c r="P111" s="1989">
        <v>-20136</v>
      </c>
      <c r="Q111" s="1989">
        <v>0</v>
      </c>
      <c r="R111" s="1989">
        <v>-6473</v>
      </c>
      <c r="S111" s="1989">
        <v>-581</v>
      </c>
      <c r="T111" s="1989">
        <v>0</v>
      </c>
      <c r="U111" s="1989">
        <v>0</v>
      </c>
      <c r="V111" s="1989">
        <v>0</v>
      </c>
      <c r="W111" s="1989">
        <v>-1000</v>
      </c>
      <c r="X111" s="1989">
        <v>-1000</v>
      </c>
      <c r="Y111" s="1989">
        <v>-11000</v>
      </c>
      <c r="Z111" s="1989">
        <v>24580317</v>
      </c>
      <c r="AA111" s="1989">
        <v>0</v>
      </c>
      <c r="AB111" s="1990"/>
      <c r="AC111" s="1989">
        <v>128</v>
      </c>
      <c r="AD111" s="1989">
        <v>4</v>
      </c>
      <c r="AE111" s="1989">
        <v>6</v>
      </c>
      <c r="AF111" s="1989">
        <v>0</v>
      </c>
      <c r="AG111" s="1989">
        <v>342</v>
      </c>
      <c r="AH111" s="1989">
        <v>43</v>
      </c>
      <c r="AI111" s="1989">
        <v>9</v>
      </c>
      <c r="AJ111" s="1989">
        <v>4</v>
      </c>
      <c r="AK111" s="1989">
        <v>6</v>
      </c>
      <c r="AL111" s="1989">
        <v>0</v>
      </c>
      <c r="AM111" s="1989">
        <v>0</v>
      </c>
      <c r="AN111" s="1989">
        <v>0</v>
      </c>
      <c r="AO111" s="1989">
        <v>959</v>
      </c>
      <c r="AP111" s="1989">
        <v>1109</v>
      </c>
      <c r="AQ111" s="1989">
        <v>736</v>
      </c>
      <c r="AR111" s="1989">
        <v>373</v>
      </c>
      <c r="AS111" s="1989">
        <v>716</v>
      </c>
      <c r="AT111" s="1988">
        <v>2830</v>
      </c>
      <c r="AU111" s="1991"/>
      <c r="AV111" s="1991"/>
      <c r="AX111" s="1992"/>
      <c r="AY111" s="1992"/>
      <c r="AZ111" s="1992"/>
      <c r="BA111" s="1992"/>
      <c r="BB111" s="1992"/>
      <c r="BD111" s="1992"/>
      <c r="BE111" s="1992"/>
      <c r="BG111" s="1992"/>
      <c r="BI111" s="1992"/>
      <c r="BJ111" s="1992"/>
      <c r="BK111" s="1992"/>
    </row>
    <row r="112" spans="1:63" ht="12.75" x14ac:dyDescent="0.2">
      <c r="A112" s="1984">
        <v>105</v>
      </c>
      <c r="B112" s="1995" t="s">
        <v>104</v>
      </c>
      <c r="C112" s="1994" t="s">
        <v>105</v>
      </c>
      <c r="D112" s="1987">
        <v>285107</v>
      </c>
      <c r="E112" s="1988">
        <v>222982000</v>
      </c>
      <c r="F112" s="1989">
        <v>108066059</v>
      </c>
      <c r="G112" s="1989">
        <v>-4305235</v>
      </c>
      <c r="H112" s="1989">
        <v>2538667</v>
      </c>
      <c r="I112" s="1989">
        <v>-1766568</v>
      </c>
      <c r="J112" s="1989">
        <v>-4240150</v>
      </c>
      <c r="K112" s="1989">
        <v>-108209</v>
      </c>
      <c r="L112" s="1989">
        <v>-11282</v>
      </c>
      <c r="M112" s="1989">
        <v>-65000</v>
      </c>
      <c r="N112" s="1989">
        <v>-4300000</v>
      </c>
      <c r="O112" s="1989">
        <v>-123299</v>
      </c>
      <c r="P112" s="1989">
        <v>-50625</v>
      </c>
      <c r="Q112" s="1989">
        <v>-1000</v>
      </c>
      <c r="R112" s="1989">
        <v>0</v>
      </c>
      <c r="S112" s="1989">
        <v>0</v>
      </c>
      <c r="T112" s="1989">
        <v>0</v>
      </c>
      <c r="U112" s="1989">
        <v>0</v>
      </c>
      <c r="V112" s="1989">
        <v>0</v>
      </c>
      <c r="W112" s="1989">
        <v>0</v>
      </c>
      <c r="X112" s="1989">
        <v>-65000</v>
      </c>
      <c r="Y112" s="1989">
        <v>-38311</v>
      </c>
      <c r="Z112" s="1989">
        <v>97296615</v>
      </c>
      <c r="AA112" s="1989">
        <v>-900000</v>
      </c>
      <c r="AB112" s="1990"/>
      <c r="AC112" s="1989">
        <v>262</v>
      </c>
      <c r="AD112" s="1989">
        <v>17</v>
      </c>
      <c r="AE112" s="1989">
        <v>8</v>
      </c>
      <c r="AF112" s="1989">
        <v>0</v>
      </c>
      <c r="AG112" s="1989">
        <v>826</v>
      </c>
      <c r="AH112" s="1989">
        <v>71</v>
      </c>
      <c r="AI112" s="1989">
        <v>30</v>
      </c>
      <c r="AJ112" s="1989">
        <v>2</v>
      </c>
      <c r="AK112" s="1989">
        <v>0</v>
      </c>
      <c r="AL112" s="1989">
        <v>0</v>
      </c>
      <c r="AM112" s="1989">
        <v>0</v>
      </c>
      <c r="AN112" s="1989">
        <v>0</v>
      </c>
      <c r="AO112" s="1989">
        <v>2677</v>
      </c>
      <c r="AP112" s="1989">
        <v>2274</v>
      </c>
      <c r="AQ112" s="1989">
        <v>1651</v>
      </c>
      <c r="AR112" s="1989">
        <v>623</v>
      </c>
      <c r="AS112" s="1989">
        <v>1672</v>
      </c>
      <c r="AT112" s="1988">
        <v>6650</v>
      </c>
      <c r="AU112" s="1991"/>
      <c r="AV112" s="1991"/>
      <c r="AX112" s="1992"/>
      <c r="AY112" s="1992"/>
      <c r="AZ112" s="1992"/>
      <c r="BA112" s="1992"/>
      <c r="BB112" s="1992"/>
      <c r="BD112" s="1992"/>
      <c r="BE112" s="1992"/>
      <c r="BG112" s="1992"/>
      <c r="BI112" s="1992"/>
      <c r="BJ112" s="1992"/>
      <c r="BK112" s="1992"/>
    </row>
    <row r="113" spans="1:63" ht="12.75" x14ac:dyDescent="0.2">
      <c r="A113" s="1984">
        <v>106</v>
      </c>
      <c r="B113" s="1995" t="s">
        <v>106</v>
      </c>
      <c r="C113" s="1994" t="s">
        <v>107</v>
      </c>
      <c r="D113" s="1987">
        <v>100864</v>
      </c>
      <c r="E113" s="1988">
        <v>58296000</v>
      </c>
      <c r="F113" s="1989">
        <v>25737885</v>
      </c>
      <c r="G113" s="1989">
        <v>-1680994</v>
      </c>
      <c r="H113" s="1989">
        <v>561560</v>
      </c>
      <c r="I113" s="1989">
        <v>-1119434</v>
      </c>
      <c r="J113" s="1989">
        <v>-1208231</v>
      </c>
      <c r="K113" s="1989">
        <v>-49799</v>
      </c>
      <c r="L113" s="1989">
        <v>-478</v>
      </c>
      <c r="M113" s="1989">
        <v>0</v>
      </c>
      <c r="N113" s="1989">
        <v>-277674</v>
      </c>
      <c r="O113" s="1989">
        <v>-78229</v>
      </c>
      <c r="P113" s="1989">
        <v>-44541</v>
      </c>
      <c r="Q113" s="1989">
        <v>-5989</v>
      </c>
      <c r="R113" s="1989">
        <v>-5125</v>
      </c>
      <c r="S113" s="1989">
        <v>0</v>
      </c>
      <c r="T113" s="1989">
        <v>0</v>
      </c>
      <c r="U113" s="1989">
        <v>0</v>
      </c>
      <c r="V113" s="1989">
        <v>0</v>
      </c>
      <c r="W113" s="1989">
        <v>0</v>
      </c>
      <c r="X113" s="1989">
        <v>0</v>
      </c>
      <c r="Y113" s="1989">
        <v>-3754</v>
      </c>
      <c r="Z113" s="1989">
        <v>22944631</v>
      </c>
      <c r="AA113" s="1989">
        <v>-579096</v>
      </c>
      <c r="AB113" s="1990"/>
      <c r="AC113" s="1989">
        <v>96</v>
      </c>
      <c r="AD113" s="1989">
        <v>4</v>
      </c>
      <c r="AE113" s="1989">
        <v>1</v>
      </c>
      <c r="AF113" s="1989">
        <v>0</v>
      </c>
      <c r="AG113" s="1989">
        <v>136</v>
      </c>
      <c r="AH113" s="1989">
        <v>69</v>
      </c>
      <c r="AI113" s="1989">
        <v>12</v>
      </c>
      <c r="AJ113" s="1989">
        <v>2</v>
      </c>
      <c r="AK113" s="1989">
        <v>2</v>
      </c>
      <c r="AL113" s="1989">
        <v>0</v>
      </c>
      <c r="AM113" s="1989">
        <v>0</v>
      </c>
      <c r="AN113" s="1989">
        <v>0</v>
      </c>
      <c r="AO113" s="1989">
        <v>746</v>
      </c>
      <c r="AP113" s="1989">
        <v>995</v>
      </c>
      <c r="AQ113" s="1989">
        <v>718</v>
      </c>
      <c r="AR113" s="1989">
        <v>277</v>
      </c>
      <c r="AS113" s="1989">
        <v>736</v>
      </c>
      <c r="AT113" s="1988">
        <v>2500</v>
      </c>
      <c r="AU113" s="1991"/>
      <c r="AV113" s="1991"/>
      <c r="AX113" s="1992"/>
      <c r="AY113" s="1992"/>
      <c r="AZ113" s="1992"/>
      <c r="BA113" s="1992"/>
      <c r="BB113" s="1992"/>
      <c r="BD113" s="1992"/>
      <c r="BE113" s="1992"/>
      <c r="BG113" s="1992"/>
      <c r="BI113" s="1992"/>
      <c r="BJ113" s="1992"/>
      <c r="BK113" s="1992"/>
    </row>
    <row r="114" spans="1:63" ht="12.75" x14ac:dyDescent="0.2">
      <c r="A114" s="1984">
        <v>107</v>
      </c>
      <c r="B114" s="1995" t="s">
        <v>108</v>
      </c>
      <c r="C114" s="1994" t="s">
        <v>109</v>
      </c>
      <c r="D114" s="1987">
        <v>174575</v>
      </c>
      <c r="E114" s="1988">
        <v>129781000</v>
      </c>
      <c r="F114" s="1989">
        <v>61471007</v>
      </c>
      <c r="G114" s="1989">
        <v>-1954911</v>
      </c>
      <c r="H114" s="1989">
        <v>1490453</v>
      </c>
      <c r="I114" s="1989">
        <v>-464458</v>
      </c>
      <c r="J114" s="1989">
        <v>-3532276</v>
      </c>
      <c r="K114" s="1989">
        <v>-40277</v>
      </c>
      <c r="L114" s="1989">
        <v>0</v>
      </c>
      <c r="M114" s="1989">
        <v>0</v>
      </c>
      <c r="N114" s="1989">
        <v>-1258197</v>
      </c>
      <c r="O114" s="1989">
        <v>-2410</v>
      </c>
      <c r="P114" s="1989">
        <v>-58297</v>
      </c>
      <c r="Q114" s="1989">
        <v>0</v>
      </c>
      <c r="R114" s="1989">
        <v>0</v>
      </c>
      <c r="S114" s="1989">
        <v>0</v>
      </c>
      <c r="T114" s="1989">
        <v>0</v>
      </c>
      <c r="U114" s="1989">
        <v>0</v>
      </c>
      <c r="V114" s="1989">
        <v>0</v>
      </c>
      <c r="W114" s="1989">
        <v>-95187</v>
      </c>
      <c r="X114" s="1989">
        <v>-528</v>
      </c>
      <c r="Y114" s="1989">
        <v>0</v>
      </c>
      <c r="Z114" s="1989">
        <v>56019377</v>
      </c>
      <c r="AA114" s="1989">
        <v>-545355</v>
      </c>
      <c r="AB114" s="1990"/>
      <c r="AC114" s="1989">
        <v>219</v>
      </c>
      <c r="AD114" s="1989">
        <v>16</v>
      </c>
      <c r="AE114" s="1989">
        <v>0</v>
      </c>
      <c r="AF114" s="1989">
        <v>3</v>
      </c>
      <c r="AG114" s="1989">
        <v>403</v>
      </c>
      <c r="AH114" s="1989">
        <v>1</v>
      </c>
      <c r="AI114" s="1989">
        <v>13</v>
      </c>
      <c r="AJ114" s="1989">
        <v>0</v>
      </c>
      <c r="AK114" s="1989">
        <v>0</v>
      </c>
      <c r="AL114" s="1989">
        <v>0</v>
      </c>
      <c r="AM114" s="1989">
        <v>0</v>
      </c>
      <c r="AN114" s="1989">
        <v>0</v>
      </c>
      <c r="AO114" s="1989">
        <v>1689</v>
      </c>
      <c r="AP114" s="1989">
        <v>1131</v>
      </c>
      <c r="AQ114" s="1989">
        <v>847</v>
      </c>
      <c r="AR114" s="1989">
        <v>284</v>
      </c>
      <c r="AS114" s="1989">
        <v>1172</v>
      </c>
      <c r="AT114" s="1988">
        <v>4030</v>
      </c>
      <c r="AU114" s="1991"/>
      <c r="AV114" s="1991"/>
      <c r="AX114" s="1992"/>
      <c r="AY114" s="1992"/>
      <c r="AZ114" s="1992"/>
      <c r="BA114" s="1992"/>
      <c r="BB114" s="1992"/>
      <c r="BD114" s="1992"/>
      <c r="BE114" s="1992"/>
      <c r="BG114" s="1992"/>
      <c r="BI114" s="1992"/>
      <c r="BJ114" s="1992"/>
      <c r="BK114" s="1992"/>
    </row>
    <row r="115" spans="1:63" ht="12.75" x14ac:dyDescent="0.2">
      <c r="A115" s="1984">
        <v>108</v>
      </c>
      <c r="B115" s="1995" t="s">
        <v>110</v>
      </c>
      <c r="C115" s="1994" t="s">
        <v>111</v>
      </c>
      <c r="D115" s="1987">
        <v>78069</v>
      </c>
      <c r="E115" s="1988">
        <v>43001000</v>
      </c>
      <c r="F115" s="1989">
        <v>19904613</v>
      </c>
      <c r="G115" s="1989">
        <v>-1424786</v>
      </c>
      <c r="H115" s="1989">
        <v>428142</v>
      </c>
      <c r="I115" s="1989">
        <v>-996644</v>
      </c>
      <c r="J115" s="1989">
        <v>-1080832</v>
      </c>
      <c r="K115" s="1989">
        <v>-18717</v>
      </c>
      <c r="L115" s="1989">
        <v>0</v>
      </c>
      <c r="M115" s="1989">
        <v>-15000</v>
      </c>
      <c r="N115" s="1989">
        <v>-168307</v>
      </c>
      <c r="O115" s="1989">
        <v>-115663</v>
      </c>
      <c r="P115" s="1989">
        <v>-68076</v>
      </c>
      <c r="Q115" s="1989">
        <v>0</v>
      </c>
      <c r="R115" s="1989">
        <v>0</v>
      </c>
      <c r="S115" s="1989">
        <v>0</v>
      </c>
      <c r="T115" s="1989">
        <v>-90616</v>
      </c>
      <c r="U115" s="1989">
        <v>-90616</v>
      </c>
      <c r="V115" s="1989">
        <v>0</v>
      </c>
      <c r="W115" s="1989">
        <v>0</v>
      </c>
      <c r="X115" s="1989">
        <v>-3464</v>
      </c>
      <c r="Y115" s="1989">
        <v>0</v>
      </c>
      <c r="Z115" s="1989">
        <v>16984794</v>
      </c>
      <c r="AA115" s="1989">
        <v>-899600</v>
      </c>
      <c r="AB115" s="1990"/>
      <c r="AC115" s="1989">
        <v>109</v>
      </c>
      <c r="AD115" s="1989">
        <v>6</v>
      </c>
      <c r="AE115" s="1989">
        <v>0</v>
      </c>
      <c r="AF115" s="1989">
        <v>0</v>
      </c>
      <c r="AG115" s="1989">
        <v>144</v>
      </c>
      <c r="AH115" s="1989">
        <v>60</v>
      </c>
      <c r="AI115" s="1989">
        <v>14</v>
      </c>
      <c r="AJ115" s="1989">
        <v>0</v>
      </c>
      <c r="AK115" s="1989">
        <v>0</v>
      </c>
      <c r="AL115" s="1989">
        <v>0</v>
      </c>
      <c r="AM115" s="1989">
        <v>7</v>
      </c>
      <c r="AN115" s="1989">
        <v>160</v>
      </c>
      <c r="AO115" s="1989">
        <v>736</v>
      </c>
      <c r="AP115" s="1989">
        <v>754</v>
      </c>
      <c r="AQ115" s="1989">
        <v>481</v>
      </c>
      <c r="AR115" s="1989">
        <v>273</v>
      </c>
      <c r="AS115" s="1989">
        <v>408</v>
      </c>
      <c r="AT115" s="1988">
        <v>1900</v>
      </c>
      <c r="AU115" s="1991"/>
      <c r="AV115" s="1991"/>
      <c r="AX115" s="1992"/>
      <c r="AY115" s="1992"/>
      <c r="AZ115" s="1992"/>
      <c r="BA115" s="1992"/>
      <c r="BB115" s="1992"/>
      <c r="BD115" s="1992"/>
      <c r="BE115" s="1992"/>
      <c r="BG115" s="1992"/>
      <c r="BI115" s="1992"/>
      <c r="BJ115" s="1992"/>
      <c r="BK115" s="1992"/>
    </row>
    <row r="116" spans="1:63" ht="12.75" x14ac:dyDescent="0.2">
      <c r="A116" s="1984">
        <v>109</v>
      </c>
      <c r="B116" s="1995" t="s">
        <v>112</v>
      </c>
      <c r="C116" s="1994" t="s">
        <v>113</v>
      </c>
      <c r="D116" s="1987">
        <v>94419</v>
      </c>
      <c r="E116" s="1988">
        <v>64101000</v>
      </c>
      <c r="F116" s="1989">
        <v>30234210</v>
      </c>
      <c r="G116" s="1989">
        <v>-1683065</v>
      </c>
      <c r="H116" s="1989">
        <v>683184</v>
      </c>
      <c r="I116" s="1989">
        <v>-999881</v>
      </c>
      <c r="J116" s="1989">
        <v>-2506989</v>
      </c>
      <c r="K116" s="1989">
        <v>-39273</v>
      </c>
      <c r="L116" s="1989">
        <v>-8859</v>
      </c>
      <c r="M116" s="1989">
        <v>0</v>
      </c>
      <c r="N116" s="1989">
        <v>-723528</v>
      </c>
      <c r="O116" s="1989">
        <v>-103012</v>
      </c>
      <c r="P116" s="1989">
        <v>-26253</v>
      </c>
      <c r="Q116" s="1989">
        <v>-226</v>
      </c>
      <c r="R116" s="1989">
        <v>-3499</v>
      </c>
      <c r="S116" s="1989">
        <v>-1382</v>
      </c>
      <c r="T116" s="1989">
        <v>0</v>
      </c>
      <c r="U116" s="1989">
        <v>0</v>
      </c>
      <c r="V116" s="1989">
        <v>0</v>
      </c>
      <c r="W116" s="1989">
        <v>0</v>
      </c>
      <c r="X116" s="1989">
        <v>-10333</v>
      </c>
      <c r="Y116" s="1989">
        <v>0</v>
      </c>
      <c r="Z116" s="1989">
        <v>25810975</v>
      </c>
      <c r="AA116" s="1989">
        <v>-884667</v>
      </c>
      <c r="AB116" s="1990"/>
      <c r="AC116" s="1989">
        <v>128</v>
      </c>
      <c r="AD116" s="1989">
        <v>14</v>
      </c>
      <c r="AE116" s="1989">
        <v>6</v>
      </c>
      <c r="AF116" s="1989">
        <v>0</v>
      </c>
      <c r="AG116" s="1989">
        <v>228</v>
      </c>
      <c r="AH116" s="1989">
        <v>32</v>
      </c>
      <c r="AI116" s="1989">
        <v>5</v>
      </c>
      <c r="AJ116" s="1989">
        <v>1</v>
      </c>
      <c r="AK116" s="1989">
        <v>2</v>
      </c>
      <c r="AL116" s="1989">
        <v>0</v>
      </c>
      <c r="AM116" s="1989">
        <v>0</v>
      </c>
      <c r="AN116" s="1989">
        <v>0</v>
      </c>
      <c r="AO116" s="1989">
        <v>805</v>
      </c>
      <c r="AP116" s="1989">
        <v>856</v>
      </c>
      <c r="AQ116" s="1989">
        <v>509</v>
      </c>
      <c r="AR116" s="1989">
        <v>347</v>
      </c>
      <c r="AS116" s="1989">
        <v>592</v>
      </c>
      <c r="AT116" s="1988">
        <v>2270</v>
      </c>
      <c r="AU116" s="1991"/>
      <c r="AV116" s="1991"/>
      <c r="AX116" s="1992"/>
      <c r="AY116" s="1992"/>
      <c r="AZ116" s="1992"/>
      <c r="BA116" s="1992"/>
      <c r="BB116" s="1992"/>
      <c r="BD116" s="1992"/>
      <c r="BE116" s="1992"/>
      <c r="BG116" s="1992"/>
      <c r="BI116" s="1992"/>
      <c r="BJ116" s="1992"/>
      <c r="BK116" s="1992"/>
    </row>
    <row r="117" spans="1:63" ht="12.75" x14ac:dyDescent="0.2">
      <c r="A117" s="1984">
        <v>110</v>
      </c>
      <c r="B117" s="1995" t="s">
        <v>114</v>
      </c>
      <c r="C117" s="1994" t="s">
        <v>115</v>
      </c>
      <c r="D117" s="1987">
        <v>179649</v>
      </c>
      <c r="E117" s="1988">
        <v>78966000</v>
      </c>
      <c r="F117" s="1989">
        <v>37817483</v>
      </c>
      <c r="G117" s="1989">
        <v>-2811291</v>
      </c>
      <c r="H117" s="1989">
        <v>804843</v>
      </c>
      <c r="I117" s="1989">
        <v>-2006448</v>
      </c>
      <c r="J117" s="1989">
        <v>-1763711</v>
      </c>
      <c r="K117" s="1989">
        <v>-19880</v>
      </c>
      <c r="L117" s="1989">
        <v>-1486</v>
      </c>
      <c r="M117" s="1989">
        <v>0</v>
      </c>
      <c r="N117" s="1989">
        <v>-630619</v>
      </c>
      <c r="O117" s="1989">
        <v>-119903</v>
      </c>
      <c r="P117" s="1989">
        <v>-36740</v>
      </c>
      <c r="Q117" s="1989">
        <v>0</v>
      </c>
      <c r="R117" s="1989">
        <v>-807</v>
      </c>
      <c r="S117" s="1989">
        <v>0</v>
      </c>
      <c r="T117" s="1989">
        <v>-488370</v>
      </c>
      <c r="U117" s="1989">
        <v>-488370</v>
      </c>
      <c r="V117" s="1989">
        <v>0</v>
      </c>
      <c r="W117" s="1989">
        <v>0</v>
      </c>
      <c r="X117" s="1989">
        <v>0</v>
      </c>
      <c r="Y117" s="1989">
        <v>-14287</v>
      </c>
      <c r="Z117" s="1989">
        <v>32345470</v>
      </c>
      <c r="AA117" s="1989">
        <v>-715536</v>
      </c>
      <c r="AB117" s="1990"/>
      <c r="AC117" s="1989">
        <v>183</v>
      </c>
      <c r="AD117" s="1989">
        <v>1</v>
      </c>
      <c r="AE117" s="1989">
        <v>3</v>
      </c>
      <c r="AF117" s="1989">
        <v>0</v>
      </c>
      <c r="AG117" s="1989">
        <v>288</v>
      </c>
      <c r="AH117" s="1989">
        <v>117</v>
      </c>
      <c r="AI117" s="1989">
        <v>20</v>
      </c>
      <c r="AJ117" s="1989">
        <v>0</v>
      </c>
      <c r="AK117" s="1989">
        <v>1</v>
      </c>
      <c r="AL117" s="1989">
        <v>0</v>
      </c>
      <c r="AM117" s="1989">
        <v>22</v>
      </c>
      <c r="AN117" s="1989">
        <v>0</v>
      </c>
      <c r="AO117" s="1989">
        <v>1258</v>
      </c>
      <c r="AP117" s="1989">
        <v>1817</v>
      </c>
      <c r="AQ117" s="1989">
        <v>1417</v>
      </c>
      <c r="AR117" s="1989">
        <v>400</v>
      </c>
      <c r="AS117" s="1989">
        <v>1675</v>
      </c>
      <c r="AT117" s="1988">
        <v>4740</v>
      </c>
      <c r="AU117" s="1991"/>
      <c r="AV117" s="1991"/>
      <c r="AX117" s="1992"/>
      <c r="AY117" s="1992"/>
      <c r="AZ117" s="1992"/>
      <c r="BA117" s="1992"/>
      <c r="BB117" s="1992"/>
      <c r="BD117" s="1992"/>
      <c r="BE117" s="1992"/>
      <c r="BG117" s="1992"/>
      <c r="BI117" s="1992"/>
      <c r="BJ117" s="1992"/>
      <c r="BK117" s="1992"/>
    </row>
    <row r="118" spans="1:63" ht="12.75" x14ac:dyDescent="0.2">
      <c r="A118" s="1984">
        <v>111</v>
      </c>
      <c r="B118" s="1995" t="s">
        <v>116</v>
      </c>
      <c r="C118" s="1994" t="s">
        <v>117</v>
      </c>
      <c r="D118" s="1987">
        <v>290353</v>
      </c>
      <c r="E118" s="1988">
        <v>229387000</v>
      </c>
      <c r="F118" s="1989">
        <v>85357518</v>
      </c>
      <c r="G118" s="1989">
        <v>-3401485</v>
      </c>
      <c r="H118" s="1989">
        <v>1149898</v>
      </c>
      <c r="I118" s="1989">
        <v>-2251587</v>
      </c>
      <c r="J118" s="1989">
        <v>-7785315</v>
      </c>
      <c r="K118" s="1989">
        <v>-121182</v>
      </c>
      <c r="L118" s="1989">
        <v>0</v>
      </c>
      <c r="M118" s="1989">
        <v>-114209</v>
      </c>
      <c r="N118" s="1989">
        <v>-2500000</v>
      </c>
      <c r="O118" s="1989">
        <v>-544896</v>
      </c>
      <c r="P118" s="1989">
        <v>-59986</v>
      </c>
      <c r="Q118" s="1989">
        <v>0</v>
      </c>
      <c r="R118" s="1989">
        <v>0</v>
      </c>
      <c r="S118" s="1989">
        <v>0</v>
      </c>
      <c r="T118" s="1989">
        <v>-25000</v>
      </c>
      <c r="U118" s="1989">
        <v>0</v>
      </c>
      <c r="V118" s="1989">
        <v>0</v>
      </c>
      <c r="W118" s="1989">
        <v>-80000</v>
      </c>
      <c r="X118" s="1989">
        <v>0</v>
      </c>
      <c r="Y118" s="1989">
        <v>-6783</v>
      </c>
      <c r="Z118" s="1989">
        <v>71868560</v>
      </c>
      <c r="AA118" s="1989">
        <v>-1500000</v>
      </c>
      <c r="AB118" s="1990"/>
      <c r="AC118" s="1989">
        <v>326</v>
      </c>
      <c r="AD118" s="1989">
        <v>11</v>
      </c>
      <c r="AE118" s="1989">
        <v>0</v>
      </c>
      <c r="AF118" s="1989">
        <v>3</v>
      </c>
      <c r="AG118" s="1989">
        <v>416</v>
      </c>
      <c r="AH118" s="1989">
        <v>144</v>
      </c>
      <c r="AI118" s="1989">
        <v>8</v>
      </c>
      <c r="AJ118" s="1989">
        <v>0</v>
      </c>
      <c r="AK118" s="1989">
        <v>0</v>
      </c>
      <c r="AL118" s="1989">
        <v>0</v>
      </c>
      <c r="AM118" s="1989">
        <v>0</v>
      </c>
      <c r="AN118" s="1989">
        <v>0</v>
      </c>
      <c r="AO118" s="1989">
        <v>1736</v>
      </c>
      <c r="AP118" s="1989">
        <v>1609</v>
      </c>
      <c r="AQ118" s="1989">
        <v>915</v>
      </c>
      <c r="AR118" s="1989">
        <v>694</v>
      </c>
      <c r="AS118" s="1989">
        <v>1775</v>
      </c>
      <c r="AT118" s="1988">
        <v>5160</v>
      </c>
      <c r="AU118" s="1991"/>
      <c r="AV118" s="1991"/>
      <c r="AX118" s="1992"/>
      <c r="AY118" s="1992"/>
      <c r="AZ118" s="1992"/>
      <c r="BA118" s="1992"/>
      <c r="BB118" s="1992"/>
      <c r="BD118" s="1992"/>
      <c r="BE118" s="1992"/>
      <c r="BG118" s="1992"/>
      <c r="BI118" s="1992"/>
      <c r="BJ118" s="1992"/>
      <c r="BK118" s="1992"/>
    </row>
    <row r="119" spans="1:63" ht="12.75" x14ac:dyDescent="0.2">
      <c r="A119" s="1984">
        <v>112</v>
      </c>
      <c r="B119" s="1995" t="s">
        <v>118</v>
      </c>
      <c r="C119" s="1994" t="s">
        <v>119</v>
      </c>
      <c r="D119" s="1987">
        <v>231721</v>
      </c>
      <c r="E119" s="1988">
        <v>227540000</v>
      </c>
      <c r="F119" s="1989">
        <v>95520378</v>
      </c>
      <c r="G119" s="1989">
        <v>-1823482</v>
      </c>
      <c r="H119" s="1989">
        <v>2366083</v>
      </c>
      <c r="I119" s="1989">
        <v>542601</v>
      </c>
      <c r="J119" s="1989">
        <v>-8468854</v>
      </c>
      <c r="K119" s="1989">
        <v>-78278</v>
      </c>
      <c r="L119" s="1989">
        <v>-19638</v>
      </c>
      <c r="M119" s="1989">
        <v>0</v>
      </c>
      <c r="N119" s="1989">
        <v>-1141592</v>
      </c>
      <c r="O119" s="1989">
        <v>-141803</v>
      </c>
      <c r="P119" s="1989">
        <v>-6473</v>
      </c>
      <c r="Q119" s="1989">
        <v>0</v>
      </c>
      <c r="R119" s="1989">
        <v>-19638</v>
      </c>
      <c r="S119" s="1989">
        <v>-17908</v>
      </c>
      <c r="T119" s="1989">
        <v>0</v>
      </c>
      <c r="U119" s="1989">
        <v>0</v>
      </c>
      <c r="V119" s="1989">
        <v>0</v>
      </c>
      <c r="W119" s="1989">
        <v>0</v>
      </c>
      <c r="X119" s="1989">
        <v>-4712</v>
      </c>
      <c r="Y119" s="1989">
        <v>-8410</v>
      </c>
      <c r="Z119" s="1989">
        <v>85218509</v>
      </c>
      <c r="AA119" s="1989">
        <v>-1760000</v>
      </c>
      <c r="AB119" s="1990"/>
      <c r="AC119" s="1989">
        <v>291</v>
      </c>
      <c r="AD119" s="1989">
        <v>20</v>
      </c>
      <c r="AE119" s="1989">
        <v>16</v>
      </c>
      <c r="AF119" s="1989">
        <v>0</v>
      </c>
      <c r="AG119" s="1989">
        <v>256</v>
      </c>
      <c r="AH119" s="1989">
        <v>122</v>
      </c>
      <c r="AI119" s="1989">
        <v>7</v>
      </c>
      <c r="AJ119" s="1989">
        <v>0</v>
      </c>
      <c r="AK119" s="1989">
        <v>16</v>
      </c>
      <c r="AL119" s="1989">
        <v>3</v>
      </c>
      <c r="AM119" s="1989">
        <v>0</v>
      </c>
      <c r="AN119" s="1989">
        <v>0</v>
      </c>
      <c r="AO119" s="1989">
        <v>2166</v>
      </c>
      <c r="AP119" s="1989">
        <v>976</v>
      </c>
      <c r="AQ119" s="1989">
        <v>604</v>
      </c>
      <c r="AR119" s="1989">
        <v>372</v>
      </c>
      <c r="AS119" s="1989">
        <v>1177</v>
      </c>
      <c r="AT119" s="1988">
        <v>4330</v>
      </c>
      <c r="AU119" s="1991"/>
      <c r="AV119" s="1991"/>
      <c r="AX119" s="1992"/>
      <c r="AY119" s="1992"/>
      <c r="AZ119" s="1992"/>
      <c r="BA119" s="1992"/>
      <c r="BB119" s="1992"/>
      <c r="BD119" s="1992"/>
      <c r="BE119" s="1992"/>
      <c r="BG119" s="1992"/>
      <c r="BI119" s="1992"/>
      <c r="BJ119" s="1992"/>
      <c r="BK119" s="1992"/>
    </row>
    <row r="120" spans="1:63" ht="12.75" x14ac:dyDescent="0.2">
      <c r="A120" s="1984">
        <v>113</v>
      </c>
      <c r="B120" s="1995" t="s">
        <v>120</v>
      </c>
      <c r="C120" s="1994" t="s">
        <v>121</v>
      </c>
      <c r="D120" s="1987">
        <v>534739</v>
      </c>
      <c r="E120" s="1988">
        <v>354524000</v>
      </c>
      <c r="F120" s="1989">
        <v>113375356</v>
      </c>
      <c r="G120" s="1989">
        <v>-6400000</v>
      </c>
      <c r="H120" s="1989">
        <v>2500000</v>
      </c>
      <c r="I120" s="1989">
        <v>-3900000</v>
      </c>
      <c r="J120" s="1989">
        <v>-12250000</v>
      </c>
      <c r="K120" s="1989">
        <v>0</v>
      </c>
      <c r="L120" s="1989">
        <v>0</v>
      </c>
      <c r="M120" s="1989">
        <v>0</v>
      </c>
      <c r="N120" s="1989">
        <v>-3000000</v>
      </c>
      <c r="O120" s="1989">
        <v>-200000</v>
      </c>
      <c r="P120" s="1989">
        <v>-26000</v>
      </c>
      <c r="Q120" s="1989">
        <v>0</v>
      </c>
      <c r="R120" s="1989">
        <v>0</v>
      </c>
      <c r="S120" s="1989">
        <v>0</v>
      </c>
      <c r="T120" s="1989">
        <v>0</v>
      </c>
      <c r="U120" s="1989">
        <v>0</v>
      </c>
      <c r="V120" s="1989">
        <v>0</v>
      </c>
      <c r="W120" s="1989">
        <v>0</v>
      </c>
      <c r="X120" s="1989">
        <v>-4356</v>
      </c>
      <c r="Y120" s="1989">
        <v>-89319</v>
      </c>
      <c r="Z120" s="1989">
        <v>93905681</v>
      </c>
      <c r="AA120" s="1989">
        <v>-250000</v>
      </c>
      <c r="AB120" s="1990"/>
      <c r="AC120" s="1989">
        <v>562</v>
      </c>
      <c r="AD120" s="1989">
        <v>0</v>
      </c>
      <c r="AE120" s="1989">
        <v>0</v>
      </c>
      <c r="AF120" s="1989">
        <v>0</v>
      </c>
      <c r="AG120" s="1989">
        <v>0</v>
      </c>
      <c r="AH120" s="1989">
        <v>27</v>
      </c>
      <c r="AI120" s="1989">
        <v>3</v>
      </c>
      <c r="AJ120" s="1989">
        <v>0</v>
      </c>
      <c r="AK120" s="1989">
        <v>0</v>
      </c>
      <c r="AL120" s="1989">
        <v>0</v>
      </c>
      <c r="AM120" s="1989">
        <v>0</v>
      </c>
      <c r="AN120" s="1989">
        <v>0</v>
      </c>
      <c r="AO120" s="1989">
        <v>3069</v>
      </c>
      <c r="AP120" s="1989">
        <v>3008</v>
      </c>
      <c r="AQ120" s="1989">
        <v>1473</v>
      </c>
      <c r="AR120" s="1989">
        <v>1535</v>
      </c>
      <c r="AS120" s="1989">
        <v>3804</v>
      </c>
      <c r="AT120" s="1988">
        <v>10110</v>
      </c>
      <c r="AU120" s="1991"/>
      <c r="AV120" s="1991"/>
      <c r="AX120" s="1992"/>
      <c r="AY120" s="1992"/>
      <c r="AZ120" s="1992"/>
      <c r="BA120" s="1992"/>
      <c r="BB120" s="1992"/>
      <c r="BD120" s="1992"/>
      <c r="BE120" s="1992"/>
      <c r="BG120" s="1992"/>
      <c r="BI120" s="1992"/>
      <c r="BJ120" s="1992"/>
      <c r="BK120" s="1992"/>
    </row>
    <row r="121" spans="1:63" ht="12.75" x14ac:dyDescent="0.2">
      <c r="A121" s="1984">
        <v>114</v>
      </c>
      <c r="B121" s="1996" t="s">
        <v>628</v>
      </c>
      <c r="C121" s="1994" t="s">
        <v>123</v>
      </c>
      <c r="D121" s="1987">
        <v>157675</v>
      </c>
      <c r="E121" s="1988">
        <v>127389000</v>
      </c>
      <c r="F121" s="1989">
        <v>62586771</v>
      </c>
      <c r="G121" s="1989">
        <v>-2005021</v>
      </c>
      <c r="H121" s="1989">
        <v>1354344</v>
      </c>
      <c r="I121" s="1989">
        <v>-650677</v>
      </c>
      <c r="J121" s="1989">
        <v>-2610647</v>
      </c>
      <c r="K121" s="1989">
        <v>-91965</v>
      </c>
      <c r="L121" s="1989">
        <v>-1591</v>
      </c>
      <c r="M121" s="1989">
        <v>0</v>
      </c>
      <c r="N121" s="1989">
        <v>-1444289</v>
      </c>
      <c r="O121" s="1989">
        <v>-84665</v>
      </c>
      <c r="P121" s="1989">
        <v>-272147</v>
      </c>
      <c r="Q121" s="1989">
        <v>-13969</v>
      </c>
      <c r="R121" s="1989">
        <v>0</v>
      </c>
      <c r="S121" s="1989">
        <v>0</v>
      </c>
      <c r="T121" s="1989">
        <v>-174025</v>
      </c>
      <c r="U121" s="1989">
        <v>-140496</v>
      </c>
      <c r="V121" s="1989">
        <v>-33529</v>
      </c>
      <c r="W121" s="1989">
        <v>0</v>
      </c>
      <c r="X121" s="1989">
        <v>-26170</v>
      </c>
      <c r="Y121" s="1989">
        <v>0</v>
      </c>
      <c r="Z121" s="1989">
        <v>57216626</v>
      </c>
      <c r="AA121" s="1989">
        <v>-4140634</v>
      </c>
      <c r="AB121" s="1990"/>
      <c r="AC121" s="1989">
        <v>135</v>
      </c>
      <c r="AD121" s="1989">
        <v>6</v>
      </c>
      <c r="AE121" s="1989">
        <v>2</v>
      </c>
      <c r="AF121" s="1989">
        <v>0</v>
      </c>
      <c r="AG121" s="1989">
        <v>728</v>
      </c>
      <c r="AH121" s="1989">
        <v>55</v>
      </c>
      <c r="AI121" s="1989">
        <v>22</v>
      </c>
      <c r="AJ121" s="1989">
        <v>4</v>
      </c>
      <c r="AK121" s="1989">
        <v>0</v>
      </c>
      <c r="AL121" s="1989">
        <v>0</v>
      </c>
      <c r="AM121" s="1989">
        <v>14</v>
      </c>
      <c r="AN121" s="1989">
        <v>0</v>
      </c>
      <c r="AO121" s="1989">
        <v>1661</v>
      </c>
      <c r="AP121" s="1989">
        <v>1041</v>
      </c>
      <c r="AQ121" s="1989">
        <v>777</v>
      </c>
      <c r="AR121" s="1989">
        <v>264</v>
      </c>
      <c r="AS121" s="1989">
        <v>850</v>
      </c>
      <c r="AT121" s="1988">
        <v>3580</v>
      </c>
      <c r="AU121" s="1991"/>
      <c r="AV121" s="1991"/>
      <c r="AX121" s="1992"/>
      <c r="AY121" s="1992"/>
      <c r="AZ121" s="1992"/>
      <c r="BA121" s="1992"/>
      <c r="BB121" s="1992"/>
      <c r="BD121" s="1992"/>
      <c r="BE121" s="1992"/>
      <c r="BG121" s="1992"/>
      <c r="BI121" s="1992"/>
      <c r="BJ121" s="1992"/>
      <c r="BK121" s="1992"/>
    </row>
    <row r="122" spans="1:63" ht="12.75" x14ac:dyDescent="0.2">
      <c r="A122" s="1984">
        <v>115</v>
      </c>
      <c r="B122" s="1995" t="s">
        <v>124</v>
      </c>
      <c r="C122" s="1994" t="s">
        <v>125</v>
      </c>
      <c r="D122" s="1987">
        <v>154954</v>
      </c>
      <c r="E122" s="1988">
        <v>71293000</v>
      </c>
      <c r="F122" s="1989">
        <v>32626260</v>
      </c>
      <c r="G122" s="1989">
        <v>-2835437</v>
      </c>
      <c r="H122" s="1989">
        <v>660696</v>
      </c>
      <c r="I122" s="1989">
        <v>-2174741</v>
      </c>
      <c r="J122" s="1989">
        <v>-940089</v>
      </c>
      <c r="K122" s="1989">
        <v>-103004</v>
      </c>
      <c r="L122" s="1989">
        <v>-70054</v>
      </c>
      <c r="M122" s="1989">
        <v>-10500</v>
      </c>
      <c r="N122" s="1989">
        <v>-815157</v>
      </c>
      <c r="O122" s="1989">
        <v>-72075</v>
      </c>
      <c r="P122" s="1989">
        <v>-27076</v>
      </c>
      <c r="Q122" s="1989">
        <v>-1415</v>
      </c>
      <c r="R122" s="1989">
        <v>-13123</v>
      </c>
      <c r="S122" s="1989">
        <v>-374</v>
      </c>
      <c r="T122" s="1989">
        <v>0</v>
      </c>
      <c r="U122" s="1989">
        <v>0</v>
      </c>
      <c r="V122" s="1989">
        <v>0</v>
      </c>
      <c r="W122" s="1989">
        <v>-20000</v>
      </c>
      <c r="X122" s="1989">
        <v>-20000</v>
      </c>
      <c r="Y122" s="1989">
        <v>-2000</v>
      </c>
      <c r="Z122" s="1989">
        <v>28356652</v>
      </c>
      <c r="AA122" s="1989">
        <v>-329460</v>
      </c>
      <c r="AB122" s="1990"/>
      <c r="AC122" s="1989">
        <v>241</v>
      </c>
      <c r="AD122" s="1989">
        <v>26</v>
      </c>
      <c r="AE122" s="1989">
        <v>63</v>
      </c>
      <c r="AF122" s="1989">
        <v>1</v>
      </c>
      <c r="AG122" s="1989">
        <v>346</v>
      </c>
      <c r="AH122" s="1989">
        <v>142</v>
      </c>
      <c r="AI122" s="1989">
        <v>32</v>
      </c>
      <c r="AJ122" s="1989">
        <v>20</v>
      </c>
      <c r="AK122" s="1989">
        <v>24</v>
      </c>
      <c r="AL122" s="1989">
        <v>1</v>
      </c>
      <c r="AM122" s="1989">
        <v>0</v>
      </c>
      <c r="AN122" s="1989">
        <v>0</v>
      </c>
      <c r="AO122" s="1989">
        <v>1224</v>
      </c>
      <c r="AP122" s="1989">
        <v>1654</v>
      </c>
      <c r="AQ122" s="1989">
        <v>1193</v>
      </c>
      <c r="AR122" s="1989">
        <v>461</v>
      </c>
      <c r="AS122" s="1989">
        <v>1122</v>
      </c>
      <c r="AT122" s="1988">
        <v>4060</v>
      </c>
      <c r="AU122" s="1991"/>
      <c r="AV122" s="1991"/>
      <c r="AX122" s="1992"/>
      <c r="AY122" s="1992"/>
      <c r="AZ122" s="1992"/>
      <c r="BA122" s="1992"/>
      <c r="BB122" s="1992"/>
      <c r="BD122" s="1992"/>
      <c r="BE122" s="1992"/>
      <c r="BG122" s="1992"/>
      <c r="BI122" s="1992"/>
      <c r="BJ122" s="1992"/>
      <c r="BK122" s="1992"/>
    </row>
    <row r="123" spans="1:63" ht="12.75" x14ac:dyDescent="0.2">
      <c r="A123" s="1984">
        <v>116</v>
      </c>
      <c r="B123" s="1995" t="s">
        <v>126</v>
      </c>
      <c r="C123" s="1994" t="s">
        <v>127</v>
      </c>
      <c r="D123" s="1987">
        <v>584390</v>
      </c>
      <c r="E123" s="1988">
        <v>583188000</v>
      </c>
      <c r="F123" s="1989">
        <v>211234503</v>
      </c>
      <c r="G123" s="1989">
        <v>-2290204</v>
      </c>
      <c r="H123" s="1989">
        <v>5019448</v>
      </c>
      <c r="I123" s="1989">
        <v>2729244</v>
      </c>
      <c r="J123" s="1989">
        <v>-9128697</v>
      </c>
      <c r="K123" s="1989">
        <v>0</v>
      </c>
      <c r="L123" s="1989">
        <v>0</v>
      </c>
      <c r="M123" s="1989">
        <v>0</v>
      </c>
      <c r="N123" s="1989">
        <v>-4700379</v>
      </c>
      <c r="O123" s="1989">
        <v>-52342</v>
      </c>
      <c r="P123" s="1989">
        <v>-79574</v>
      </c>
      <c r="Q123" s="1989">
        <v>0</v>
      </c>
      <c r="R123" s="1989">
        <v>0</v>
      </c>
      <c r="S123" s="1989">
        <v>0</v>
      </c>
      <c r="T123" s="1989">
        <v>0</v>
      </c>
      <c r="U123" s="1989">
        <v>0</v>
      </c>
      <c r="V123" s="1989">
        <v>0</v>
      </c>
      <c r="W123" s="1989">
        <v>-352528</v>
      </c>
      <c r="X123" s="1989">
        <v>-24279</v>
      </c>
      <c r="Y123" s="1989">
        <v>0</v>
      </c>
      <c r="Z123" s="1989">
        <v>199625948</v>
      </c>
      <c r="AA123" s="1989">
        <v>-7226501</v>
      </c>
      <c r="AB123" s="1990"/>
      <c r="AC123" s="1989">
        <v>304</v>
      </c>
      <c r="AD123" s="1989">
        <v>0</v>
      </c>
      <c r="AE123" s="1989">
        <v>0</v>
      </c>
      <c r="AF123" s="1989">
        <v>0</v>
      </c>
      <c r="AG123" s="1989">
        <v>645</v>
      </c>
      <c r="AH123" s="1989">
        <v>18</v>
      </c>
      <c r="AI123" s="1989">
        <v>20</v>
      </c>
      <c r="AJ123" s="1989">
        <v>0</v>
      </c>
      <c r="AK123" s="1989">
        <v>0</v>
      </c>
      <c r="AL123" s="1989">
        <v>0</v>
      </c>
      <c r="AM123" s="1989">
        <v>0</v>
      </c>
      <c r="AN123" s="1989">
        <v>0</v>
      </c>
      <c r="AO123" s="1989">
        <v>3908</v>
      </c>
      <c r="AP123" s="1989">
        <v>1211</v>
      </c>
      <c r="AQ123" s="1989">
        <v>571</v>
      </c>
      <c r="AR123" s="1989">
        <v>640</v>
      </c>
      <c r="AS123" s="1989">
        <v>4082</v>
      </c>
      <c r="AT123" s="1988">
        <v>9300</v>
      </c>
      <c r="AU123" s="1991"/>
      <c r="AV123" s="1991"/>
      <c r="AX123" s="1992"/>
      <c r="AY123" s="1992"/>
      <c r="AZ123" s="1992"/>
      <c r="BA123" s="1992"/>
      <c r="BB123" s="1992"/>
      <c r="BD123" s="1992"/>
      <c r="BE123" s="1992"/>
      <c r="BG123" s="1992"/>
      <c r="BI123" s="1992"/>
      <c r="BJ123" s="1992"/>
      <c r="BK123" s="1992"/>
    </row>
    <row r="124" spans="1:63" ht="12.75" x14ac:dyDescent="0.2">
      <c r="A124" s="1984">
        <v>117</v>
      </c>
      <c r="B124" s="1995" t="s">
        <v>128</v>
      </c>
      <c r="C124" s="1994" t="s">
        <v>129</v>
      </c>
      <c r="D124" s="1987">
        <v>127153</v>
      </c>
      <c r="E124" s="1988">
        <v>104571000</v>
      </c>
      <c r="F124" s="1989">
        <v>44021524</v>
      </c>
      <c r="G124" s="1989">
        <v>-1794461</v>
      </c>
      <c r="H124" s="1989">
        <v>1019246</v>
      </c>
      <c r="I124" s="1989">
        <v>-775215</v>
      </c>
      <c r="J124" s="1989">
        <v>-1650090</v>
      </c>
      <c r="K124" s="1989">
        <v>-43169</v>
      </c>
      <c r="L124" s="1989">
        <v>-35350</v>
      </c>
      <c r="M124" s="1989">
        <v>-655000</v>
      </c>
      <c r="N124" s="1989">
        <v>-1000000</v>
      </c>
      <c r="O124" s="1989">
        <v>-23577</v>
      </c>
      <c r="P124" s="1989">
        <v>-34505</v>
      </c>
      <c r="Q124" s="1989">
        <v>-10792</v>
      </c>
      <c r="R124" s="1989">
        <v>-35350</v>
      </c>
      <c r="S124" s="1989">
        <v>0</v>
      </c>
      <c r="T124" s="1989">
        <v>0</v>
      </c>
      <c r="U124" s="1989">
        <v>0</v>
      </c>
      <c r="V124" s="1989">
        <v>0</v>
      </c>
      <c r="W124" s="1989">
        <v>-15000</v>
      </c>
      <c r="X124" s="1989">
        <v>0</v>
      </c>
      <c r="Y124" s="1989">
        <v>-3471</v>
      </c>
      <c r="Z124" s="1989">
        <v>38800005</v>
      </c>
      <c r="AA124" s="1989">
        <v>-972000</v>
      </c>
      <c r="AB124" s="1990"/>
      <c r="AC124" s="1989">
        <v>171</v>
      </c>
      <c r="AD124" s="1989">
        <v>14</v>
      </c>
      <c r="AE124" s="1989">
        <v>28</v>
      </c>
      <c r="AF124" s="1989">
        <v>0</v>
      </c>
      <c r="AG124" s="1989">
        <v>122</v>
      </c>
      <c r="AH124" s="1989">
        <v>75</v>
      </c>
      <c r="AI124" s="1989">
        <v>27</v>
      </c>
      <c r="AJ124" s="1989">
        <v>14</v>
      </c>
      <c r="AK124" s="1989">
        <v>28</v>
      </c>
      <c r="AL124" s="1989">
        <v>0</v>
      </c>
      <c r="AM124" s="1989">
        <v>0</v>
      </c>
      <c r="AN124" s="1989">
        <v>6</v>
      </c>
      <c r="AO124" s="1989">
        <v>967</v>
      </c>
      <c r="AP124" s="1989">
        <v>1028</v>
      </c>
      <c r="AQ124" s="1989">
        <v>734</v>
      </c>
      <c r="AR124" s="1989">
        <v>294</v>
      </c>
      <c r="AS124" s="1989">
        <v>904</v>
      </c>
      <c r="AT124" s="1988">
        <v>2920</v>
      </c>
      <c r="AU124" s="1991"/>
      <c r="AV124" s="1991"/>
      <c r="AX124" s="1992"/>
      <c r="AY124" s="1992"/>
      <c r="AZ124" s="1992"/>
      <c r="BA124" s="1992"/>
      <c r="BB124" s="1992"/>
      <c r="BD124" s="1992"/>
      <c r="BE124" s="1992"/>
      <c r="BG124" s="1992"/>
      <c r="BI124" s="1992"/>
      <c r="BJ124" s="1992"/>
      <c r="BK124" s="1992"/>
    </row>
    <row r="125" spans="1:63" ht="12.75" x14ac:dyDescent="0.2">
      <c r="A125" s="1984">
        <v>118</v>
      </c>
      <c r="B125" s="1995" t="s">
        <v>130</v>
      </c>
      <c r="C125" s="1994" t="s">
        <v>131</v>
      </c>
      <c r="D125" s="1987">
        <v>309182</v>
      </c>
      <c r="E125" s="1988">
        <v>202590000</v>
      </c>
      <c r="F125" s="1989">
        <v>80002505</v>
      </c>
      <c r="G125" s="1989">
        <v>-4358230</v>
      </c>
      <c r="H125" s="1989">
        <v>1565990</v>
      </c>
      <c r="I125" s="1989">
        <v>-2792240</v>
      </c>
      <c r="J125" s="1989">
        <v>-5609808</v>
      </c>
      <c r="K125" s="1989">
        <v>-25605</v>
      </c>
      <c r="L125" s="1989">
        <v>0</v>
      </c>
      <c r="M125" s="1989">
        <v>-10000</v>
      </c>
      <c r="N125" s="1989">
        <v>-1400000</v>
      </c>
      <c r="O125" s="1989">
        <v>-452506</v>
      </c>
      <c r="P125" s="1989">
        <v>-205810</v>
      </c>
      <c r="Q125" s="1989">
        <v>0</v>
      </c>
      <c r="R125" s="1989">
        <v>0</v>
      </c>
      <c r="S125" s="1989">
        <v>0</v>
      </c>
      <c r="T125" s="1989">
        <v>0</v>
      </c>
      <c r="U125" s="1989">
        <v>0</v>
      </c>
      <c r="V125" s="1989">
        <v>0</v>
      </c>
      <c r="W125" s="1989">
        <v>-83869</v>
      </c>
      <c r="X125" s="1989">
        <v>-18522</v>
      </c>
      <c r="Y125" s="1989">
        <v>0</v>
      </c>
      <c r="Z125" s="1989">
        <v>69404145</v>
      </c>
      <c r="AA125" s="1989">
        <v>-894677</v>
      </c>
      <c r="AB125" s="1990"/>
      <c r="AC125" s="1989">
        <v>340</v>
      </c>
      <c r="AD125" s="1989">
        <v>8</v>
      </c>
      <c r="AE125" s="1989">
        <v>0</v>
      </c>
      <c r="AF125" s="1989">
        <v>0</v>
      </c>
      <c r="AG125" s="1989">
        <v>562</v>
      </c>
      <c r="AH125" s="1989">
        <v>133</v>
      </c>
      <c r="AI125" s="1989">
        <v>41</v>
      </c>
      <c r="AJ125" s="1989">
        <v>0</v>
      </c>
      <c r="AK125" s="1989">
        <v>0</v>
      </c>
      <c r="AL125" s="1989">
        <v>0</v>
      </c>
      <c r="AM125" s="1989">
        <v>0</v>
      </c>
      <c r="AN125" s="1989">
        <v>0</v>
      </c>
      <c r="AO125" s="1989">
        <v>1928</v>
      </c>
      <c r="AP125" s="1989">
        <v>2243</v>
      </c>
      <c r="AQ125" s="1989">
        <v>1050</v>
      </c>
      <c r="AR125" s="1989">
        <v>1193</v>
      </c>
      <c r="AS125" s="1989">
        <v>2730</v>
      </c>
      <c r="AT125" s="1988">
        <v>6900</v>
      </c>
      <c r="AU125" s="1991"/>
      <c r="AV125" s="1991"/>
      <c r="AX125" s="1992"/>
      <c r="AY125" s="1992"/>
      <c r="AZ125" s="1992"/>
      <c r="BA125" s="1992"/>
      <c r="BB125" s="1992"/>
      <c r="BD125" s="1992"/>
      <c r="BE125" s="1992"/>
      <c r="BG125" s="1992"/>
      <c r="BI125" s="1992"/>
      <c r="BJ125" s="1992"/>
      <c r="BK125" s="1992"/>
    </row>
    <row r="126" spans="1:63" ht="12.75" x14ac:dyDescent="0.2">
      <c r="A126" s="1984">
        <v>119</v>
      </c>
      <c r="B126" s="1995" t="s">
        <v>132</v>
      </c>
      <c r="C126" s="1994" t="s">
        <v>133</v>
      </c>
      <c r="D126" s="1987">
        <v>117691</v>
      </c>
      <c r="E126" s="1988">
        <v>111912000</v>
      </c>
      <c r="F126" s="1989">
        <v>53379475</v>
      </c>
      <c r="G126" s="1989">
        <v>-912761.54999999993</v>
      </c>
      <c r="H126" s="1989">
        <v>1329354.7200000002</v>
      </c>
      <c r="I126" s="1989">
        <v>416593.17000000016</v>
      </c>
      <c r="J126" s="1989">
        <v>-2749205.2</v>
      </c>
      <c r="K126" s="1989">
        <v>-69480.600000000006</v>
      </c>
      <c r="L126" s="1989">
        <v>0</v>
      </c>
      <c r="M126" s="1989">
        <v>-10000</v>
      </c>
      <c r="N126" s="1989">
        <v>-1643218.72</v>
      </c>
      <c r="O126" s="1989">
        <v>-33182.21</v>
      </c>
      <c r="P126" s="1989">
        <v>-16606.900000000001</v>
      </c>
      <c r="Q126" s="1989">
        <v>0</v>
      </c>
      <c r="R126" s="1989">
        <v>0</v>
      </c>
      <c r="S126" s="1989">
        <v>0</v>
      </c>
      <c r="T126" s="1989">
        <v>-42402</v>
      </c>
      <c r="U126" s="1989">
        <v>0</v>
      </c>
      <c r="V126" s="1989">
        <v>0</v>
      </c>
      <c r="W126" s="1989">
        <v>0</v>
      </c>
      <c r="X126" s="1989">
        <v>0</v>
      </c>
      <c r="Y126" s="1989">
        <v>-5137.18</v>
      </c>
      <c r="Z126" s="1989">
        <v>49226835.359999999</v>
      </c>
      <c r="AA126" s="1989">
        <v>-965659</v>
      </c>
      <c r="AB126" s="1990"/>
      <c r="AC126" s="1989">
        <v>167</v>
      </c>
      <c r="AD126" s="1989">
        <v>7</v>
      </c>
      <c r="AE126" s="1989">
        <v>0</v>
      </c>
      <c r="AF126" s="1989">
        <v>0</v>
      </c>
      <c r="AG126" s="1989">
        <v>143</v>
      </c>
      <c r="AH126" s="1989">
        <v>30</v>
      </c>
      <c r="AI126" s="1989">
        <v>2</v>
      </c>
      <c r="AJ126" s="1989">
        <v>0</v>
      </c>
      <c r="AK126" s="1989">
        <v>0</v>
      </c>
      <c r="AL126" s="1989">
        <v>0</v>
      </c>
      <c r="AM126" s="1989">
        <v>5</v>
      </c>
      <c r="AN126" s="1989">
        <v>0</v>
      </c>
      <c r="AO126" s="1989">
        <v>1159</v>
      </c>
      <c r="AP126" s="1989">
        <v>477</v>
      </c>
      <c r="AQ126" s="1989">
        <v>273</v>
      </c>
      <c r="AR126" s="1989">
        <v>204</v>
      </c>
      <c r="AS126" s="1989">
        <v>659</v>
      </c>
      <c r="AT126" s="1988">
        <v>2360</v>
      </c>
      <c r="AU126" s="1991"/>
      <c r="AV126" s="1991"/>
      <c r="AX126" s="1992"/>
      <c r="AY126" s="1992"/>
      <c r="AZ126" s="1992"/>
      <c r="BA126" s="1992"/>
      <c r="BB126" s="1992"/>
      <c r="BD126" s="1992"/>
      <c r="BE126" s="1992"/>
      <c r="BG126" s="1992"/>
      <c r="BI126" s="1992"/>
      <c r="BJ126" s="1992"/>
      <c r="BK126" s="1992"/>
    </row>
    <row r="127" spans="1:63" ht="12.75" x14ac:dyDescent="0.2">
      <c r="A127" s="1984">
        <v>120</v>
      </c>
      <c r="B127" s="1995" t="s">
        <v>134</v>
      </c>
      <c r="C127" s="1994" t="s">
        <v>135</v>
      </c>
      <c r="D127" s="1987">
        <v>287118</v>
      </c>
      <c r="E127" s="1988">
        <v>161524000</v>
      </c>
      <c r="F127" s="1989">
        <v>73330923</v>
      </c>
      <c r="G127" s="1989">
        <v>-4913598</v>
      </c>
      <c r="H127" s="1989">
        <v>1417073</v>
      </c>
      <c r="I127" s="1989">
        <v>-3496525</v>
      </c>
      <c r="J127" s="1989">
        <v>-3088623</v>
      </c>
      <c r="K127" s="1989">
        <v>-126788</v>
      </c>
      <c r="L127" s="1989">
        <v>-48252</v>
      </c>
      <c r="M127" s="1989">
        <v>-6000</v>
      </c>
      <c r="N127" s="1989">
        <v>-1604261</v>
      </c>
      <c r="O127" s="1989">
        <v>-30390</v>
      </c>
      <c r="P127" s="1989">
        <v>-167593</v>
      </c>
      <c r="Q127" s="1989">
        <v>0</v>
      </c>
      <c r="R127" s="1989">
        <v>-14624</v>
      </c>
      <c r="S127" s="1989">
        <v>-36116</v>
      </c>
      <c r="T127" s="1989">
        <v>-20000</v>
      </c>
      <c r="U127" s="1989">
        <v>0</v>
      </c>
      <c r="V127" s="1989">
        <v>0</v>
      </c>
      <c r="W127" s="1989">
        <v>-34674</v>
      </c>
      <c r="X127" s="1989">
        <v>-16354</v>
      </c>
      <c r="Y127" s="1989">
        <v>-20416</v>
      </c>
      <c r="Z127" s="1989">
        <v>64420307</v>
      </c>
      <c r="AA127" s="1989">
        <v>-1288000</v>
      </c>
      <c r="AB127" s="1990"/>
      <c r="AC127" s="1989">
        <v>289</v>
      </c>
      <c r="AD127" s="1989">
        <v>29</v>
      </c>
      <c r="AE127" s="1989">
        <v>19</v>
      </c>
      <c r="AF127" s="1989">
        <v>3</v>
      </c>
      <c r="AG127" s="1989">
        <v>805</v>
      </c>
      <c r="AH127" s="1989">
        <v>30</v>
      </c>
      <c r="AI127" s="1989">
        <v>29</v>
      </c>
      <c r="AJ127" s="1989">
        <v>0</v>
      </c>
      <c r="AK127" s="1989">
        <v>38</v>
      </c>
      <c r="AL127" s="1989">
        <v>14</v>
      </c>
      <c r="AM127" s="1989">
        <v>0</v>
      </c>
      <c r="AN127" s="1989">
        <v>0</v>
      </c>
      <c r="AO127" s="1989">
        <v>2709</v>
      </c>
      <c r="AP127" s="1989">
        <v>2728</v>
      </c>
      <c r="AQ127" s="1989">
        <v>1871</v>
      </c>
      <c r="AR127" s="1989">
        <v>857</v>
      </c>
      <c r="AS127" s="1989">
        <v>1671</v>
      </c>
      <c r="AT127" s="1988">
        <v>7260</v>
      </c>
      <c r="AU127" s="1991"/>
      <c r="AV127" s="1991"/>
      <c r="AX127" s="1992"/>
      <c r="AY127" s="1992"/>
      <c r="AZ127" s="1992"/>
      <c r="BA127" s="1992"/>
      <c r="BB127" s="1992"/>
      <c r="BD127" s="1992"/>
      <c r="BE127" s="1992"/>
      <c r="BG127" s="1992"/>
      <c r="BI127" s="1992"/>
      <c r="BJ127" s="1992"/>
      <c r="BK127" s="1992"/>
    </row>
    <row r="128" spans="1:63" ht="12.75" x14ac:dyDescent="0.2">
      <c r="A128" s="1984">
        <v>121</v>
      </c>
      <c r="B128" s="1995" t="s">
        <v>136</v>
      </c>
      <c r="C128" s="1994" t="s">
        <v>137</v>
      </c>
      <c r="D128" s="1987">
        <v>243685</v>
      </c>
      <c r="E128" s="1988">
        <v>144029000</v>
      </c>
      <c r="F128" s="1989">
        <v>59999718</v>
      </c>
      <c r="G128" s="1989">
        <v>-3124000</v>
      </c>
      <c r="H128" s="1989">
        <v>500000</v>
      </c>
      <c r="I128" s="1989">
        <v>-2624000</v>
      </c>
      <c r="J128" s="1989">
        <v>-4789000</v>
      </c>
      <c r="K128" s="1989">
        <v>-150000</v>
      </c>
      <c r="L128" s="1989">
        <v>0</v>
      </c>
      <c r="M128" s="1989">
        <v>-100000</v>
      </c>
      <c r="N128" s="1989">
        <v>-1500000</v>
      </c>
      <c r="O128" s="1989">
        <v>-44000</v>
      </c>
      <c r="P128" s="1989">
        <v>-16000</v>
      </c>
      <c r="Q128" s="1989">
        <v>0</v>
      </c>
      <c r="R128" s="1989">
        <v>0</v>
      </c>
      <c r="S128" s="1989">
        <v>0</v>
      </c>
      <c r="T128" s="1989">
        <v>0</v>
      </c>
      <c r="U128" s="1989">
        <v>0</v>
      </c>
      <c r="V128" s="1989">
        <v>0</v>
      </c>
      <c r="W128" s="1989">
        <v>0</v>
      </c>
      <c r="X128" s="1989">
        <v>0</v>
      </c>
      <c r="Y128" s="1989">
        <v>0</v>
      </c>
      <c r="Z128" s="1989">
        <v>50776718</v>
      </c>
      <c r="AA128" s="1989">
        <v>-5000000</v>
      </c>
      <c r="AB128" s="1990"/>
      <c r="AC128" s="1989">
        <v>240</v>
      </c>
      <c r="AD128" s="1989">
        <v>15</v>
      </c>
      <c r="AE128" s="1989">
        <v>0</v>
      </c>
      <c r="AF128" s="1989">
        <v>0</v>
      </c>
      <c r="AG128" s="1989">
        <v>401</v>
      </c>
      <c r="AH128" s="1989">
        <v>42</v>
      </c>
      <c r="AI128" s="1989">
        <v>3</v>
      </c>
      <c r="AJ128" s="1989">
        <v>0</v>
      </c>
      <c r="AK128" s="1989">
        <v>0</v>
      </c>
      <c r="AL128" s="1989">
        <v>0</v>
      </c>
      <c r="AM128" s="1989">
        <v>0</v>
      </c>
      <c r="AN128" s="1989">
        <v>0</v>
      </c>
      <c r="AO128" s="1989">
        <v>1462</v>
      </c>
      <c r="AP128" s="1989">
        <v>1553</v>
      </c>
      <c r="AQ128" s="1989">
        <v>685</v>
      </c>
      <c r="AR128" s="1989">
        <v>868</v>
      </c>
      <c r="AS128" s="1989">
        <v>2390</v>
      </c>
      <c r="AT128" s="1988">
        <v>5360</v>
      </c>
      <c r="AU128" s="1991"/>
      <c r="AV128" s="1991"/>
      <c r="AX128" s="1992"/>
      <c r="AY128" s="1992"/>
      <c r="AZ128" s="1992"/>
      <c r="BA128" s="1992"/>
      <c r="BB128" s="1992"/>
      <c r="BD128" s="1992"/>
      <c r="BE128" s="1992"/>
      <c r="BG128" s="1992"/>
      <c r="BI128" s="1992"/>
      <c r="BJ128" s="1992"/>
      <c r="BK128" s="1992"/>
    </row>
    <row r="129" spans="1:63" ht="12.75" x14ac:dyDescent="0.2">
      <c r="A129" s="1984">
        <v>122</v>
      </c>
      <c r="B129" s="1995" t="s">
        <v>138</v>
      </c>
      <c r="C129" s="1994" t="s">
        <v>139</v>
      </c>
      <c r="D129" s="1987">
        <v>98299</v>
      </c>
      <c r="E129" s="1988">
        <v>81273000</v>
      </c>
      <c r="F129" s="1989">
        <v>34404441</v>
      </c>
      <c r="G129" s="1989">
        <v>-1110178</v>
      </c>
      <c r="H129" s="1989">
        <v>805977</v>
      </c>
      <c r="I129" s="1989">
        <v>-304201</v>
      </c>
      <c r="J129" s="1989">
        <v>-1310895</v>
      </c>
      <c r="K129" s="1989">
        <v>-36400</v>
      </c>
      <c r="L129" s="1989">
        <v>-1715</v>
      </c>
      <c r="M129" s="1989">
        <v>-40000</v>
      </c>
      <c r="N129" s="1989">
        <v>-1850628</v>
      </c>
      <c r="O129" s="1989">
        <v>-59029</v>
      </c>
      <c r="P129" s="1989">
        <v>-21810</v>
      </c>
      <c r="Q129" s="1989">
        <v>0</v>
      </c>
      <c r="R129" s="1989">
        <v>-1714</v>
      </c>
      <c r="S129" s="1989">
        <v>0</v>
      </c>
      <c r="T129" s="1989">
        <v>0</v>
      </c>
      <c r="U129" s="1989">
        <v>0</v>
      </c>
      <c r="V129" s="1989">
        <v>0</v>
      </c>
      <c r="W129" s="1989">
        <v>0</v>
      </c>
      <c r="X129" s="1989">
        <v>-1100</v>
      </c>
      <c r="Y129" s="1989">
        <v>0</v>
      </c>
      <c r="Z129" s="1989">
        <v>30576949</v>
      </c>
      <c r="AA129" s="1989">
        <v>-440000</v>
      </c>
      <c r="AB129" s="1990"/>
      <c r="AC129" s="1989">
        <v>106</v>
      </c>
      <c r="AD129" s="1989">
        <v>3</v>
      </c>
      <c r="AE129" s="1989">
        <v>1</v>
      </c>
      <c r="AF129" s="1989">
        <v>1</v>
      </c>
      <c r="AG129" s="1989">
        <v>124</v>
      </c>
      <c r="AH129" s="1989">
        <v>82</v>
      </c>
      <c r="AI129" s="1989">
        <v>9</v>
      </c>
      <c r="AJ129" s="1989">
        <v>0</v>
      </c>
      <c r="AK129" s="1989">
        <v>1</v>
      </c>
      <c r="AL129" s="1989">
        <v>0</v>
      </c>
      <c r="AM129" s="1989">
        <v>0</v>
      </c>
      <c r="AN129" s="1989">
        <v>0</v>
      </c>
      <c r="AO129" s="1989">
        <v>910</v>
      </c>
      <c r="AP129" s="1989">
        <v>594</v>
      </c>
      <c r="AQ129" s="1989">
        <v>320</v>
      </c>
      <c r="AR129" s="1989">
        <v>274</v>
      </c>
      <c r="AS129" s="1989">
        <v>618</v>
      </c>
      <c r="AT129" s="1988">
        <v>2150</v>
      </c>
      <c r="AU129" s="1991"/>
      <c r="AV129" s="1991"/>
      <c r="AX129" s="1992"/>
      <c r="AY129" s="1992"/>
      <c r="AZ129" s="1992"/>
      <c r="BA129" s="1992"/>
      <c r="BB129" s="1992"/>
      <c r="BD129" s="1992"/>
      <c r="BE129" s="1992"/>
      <c r="BG129" s="1992"/>
      <c r="BI129" s="1992"/>
      <c r="BJ129" s="1992"/>
      <c r="BK129" s="1992"/>
    </row>
    <row r="130" spans="1:63" ht="12.75" x14ac:dyDescent="0.2">
      <c r="A130" s="1984">
        <v>123</v>
      </c>
      <c r="B130" s="1996" t="s">
        <v>633</v>
      </c>
      <c r="C130" s="1994" t="s">
        <v>141</v>
      </c>
      <c r="D130" s="1987">
        <v>115333</v>
      </c>
      <c r="E130" s="1988">
        <v>79018000</v>
      </c>
      <c r="F130" s="1989">
        <v>38865667</v>
      </c>
      <c r="G130" s="1989">
        <v>-2009696</v>
      </c>
      <c r="H130" s="1989">
        <v>924274</v>
      </c>
      <c r="I130" s="1989">
        <v>-1085422</v>
      </c>
      <c r="J130" s="1989">
        <v>-2102378</v>
      </c>
      <c r="K130" s="1989">
        <v>-52583</v>
      </c>
      <c r="L130" s="1989">
        <v>0</v>
      </c>
      <c r="M130" s="1989">
        <v>-48997</v>
      </c>
      <c r="N130" s="1989">
        <v>-1503525</v>
      </c>
      <c r="O130" s="1989">
        <v>-131351</v>
      </c>
      <c r="P130" s="1989">
        <v>-42794</v>
      </c>
      <c r="Q130" s="1989">
        <v>-3057</v>
      </c>
      <c r="R130" s="1989">
        <v>0</v>
      </c>
      <c r="S130" s="1989">
        <v>0</v>
      </c>
      <c r="T130" s="1989">
        <v>-117273</v>
      </c>
      <c r="U130" s="1989">
        <v>-117273</v>
      </c>
      <c r="V130" s="1989">
        <v>0</v>
      </c>
      <c r="W130" s="1989">
        <v>0</v>
      </c>
      <c r="X130" s="1989">
        <v>0</v>
      </c>
      <c r="Y130" s="1989">
        <v>-2633</v>
      </c>
      <c r="Z130" s="1989">
        <v>33775654</v>
      </c>
      <c r="AA130" s="1989">
        <v>-891211</v>
      </c>
      <c r="AB130" s="1990"/>
      <c r="AC130" s="1989">
        <v>136</v>
      </c>
      <c r="AD130" s="1989">
        <v>8</v>
      </c>
      <c r="AE130" s="1989">
        <v>0</v>
      </c>
      <c r="AF130" s="1989">
        <v>1</v>
      </c>
      <c r="AG130" s="1989">
        <v>183</v>
      </c>
      <c r="AH130" s="1989">
        <v>69</v>
      </c>
      <c r="AI130" s="1989">
        <v>16</v>
      </c>
      <c r="AJ130" s="1989">
        <v>3</v>
      </c>
      <c r="AK130" s="1989">
        <v>0</v>
      </c>
      <c r="AL130" s="1989">
        <v>0</v>
      </c>
      <c r="AM130" s="1989">
        <v>8</v>
      </c>
      <c r="AN130" s="1989">
        <v>0</v>
      </c>
      <c r="AO130" s="1989">
        <v>927</v>
      </c>
      <c r="AP130" s="1989">
        <v>1151</v>
      </c>
      <c r="AQ130" s="1989">
        <v>876</v>
      </c>
      <c r="AR130" s="1989">
        <v>275</v>
      </c>
      <c r="AS130" s="1989">
        <v>670</v>
      </c>
      <c r="AT130" s="1988">
        <v>2790</v>
      </c>
      <c r="AU130" s="1991"/>
      <c r="AV130" s="1991"/>
      <c r="AX130" s="1992"/>
      <c r="AY130" s="1992"/>
      <c r="AZ130" s="1992"/>
      <c r="BA130" s="1992"/>
      <c r="BB130" s="1992"/>
      <c r="BD130" s="1992"/>
      <c r="BE130" s="1992"/>
      <c r="BG130" s="1992"/>
      <c r="BI130" s="1992"/>
      <c r="BJ130" s="1992"/>
      <c r="BK130" s="1992"/>
    </row>
    <row r="131" spans="1:63" ht="12.75" x14ac:dyDescent="0.2">
      <c r="A131" s="1984">
        <v>124</v>
      </c>
      <c r="B131" s="1995" t="s">
        <v>142</v>
      </c>
      <c r="C131" s="1994" t="s">
        <v>143</v>
      </c>
      <c r="D131" s="1987">
        <v>133508</v>
      </c>
      <c r="E131" s="1988">
        <v>62768000</v>
      </c>
      <c r="F131" s="1989">
        <v>27320810</v>
      </c>
      <c r="G131" s="1989">
        <v>-2515161</v>
      </c>
      <c r="H131" s="1989">
        <v>598726</v>
      </c>
      <c r="I131" s="1989">
        <v>-1916435</v>
      </c>
      <c r="J131" s="1989">
        <v>-2524237</v>
      </c>
      <c r="K131" s="1989">
        <v>-35890</v>
      </c>
      <c r="L131" s="1989">
        <v>0</v>
      </c>
      <c r="M131" s="1989">
        <v>-1695</v>
      </c>
      <c r="N131" s="1989">
        <v>-470144</v>
      </c>
      <c r="O131" s="1989">
        <v>-86948</v>
      </c>
      <c r="P131" s="1989">
        <v>-143870</v>
      </c>
      <c r="Q131" s="1989">
        <v>-1392</v>
      </c>
      <c r="R131" s="1989">
        <v>0</v>
      </c>
      <c r="S131" s="1989">
        <v>0</v>
      </c>
      <c r="T131" s="1989">
        <v>0</v>
      </c>
      <c r="U131" s="1989">
        <v>0</v>
      </c>
      <c r="V131" s="1989">
        <v>0</v>
      </c>
      <c r="W131" s="1989">
        <v>-106979</v>
      </c>
      <c r="X131" s="1989">
        <v>0</v>
      </c>
      <c r="Y131" s="1989">
        <v>-15306</v>
      </c>
      <c r="Z131" s="1989">
        <v>22017914</v>
      </c>
      <c r="AA131" s="1989">
        <v>-300000</v>
      </c>
      <c r="AB131" s="1990"/>
      <c r="AC131" s="1989">
        <v>165</v>
      </c>
      <c r="AD131" s="1989">
        <v>7</v>
      </c>
      <c r="AE131" s="1989">
        <v>0</v>
      </c>
      <c r="AF131" s="1989">
        <v>0</v>
      </c>
      <c r="AG131" s="1989">
        <v>329</v>
      </c>
      <c r="AH131" s="1989">
        <v>42</v>
      </c>
      <c r="AI131" s="1989">
        <v>17</v>
      </c>
      <c r="AJ131" s="1989">
        <v>2</v>
      </c>
      <c r="AK131" s="1989">
        <v>0</v>
      </c>
      <c r="AL131" s="1989">
        <v>0</v>
      </c>
      <c r="AM131" s="1989">
        <v>0</v>
      </c>
      <c r="AN131" s="1989">
        <v>0</v>
      </c>
      <c r="AO131" s="1989">
        <v>1491</v>
      </c>
      <c r="AP131" s="1989">
        <v>1696</v>
      </c>
      <c r="AQ131" s="1989">
        <v>1361</v>
      </c>
      <c r="AR131" s="1989">
        <v>335</v>
      </c>
      <c r="AS131" s="1989">
        <v>215</v>
      </c>
      <c r="AT131" s="1988">
        <v>3450</v>
      </c>
      <c r="AU131" s="1991"/>
      <c r="AV131" s="1991"/>
      <c r="AX131" s="1992"/>
      <c r="AY131" s="1992"/>
      <c r="AZ131" s="1992"/>
      <c r="BA131" s="1992"/>
      <c r="BB131" s="1992"/>
      <c r="BD131" s="1992"/>
      <c r="BE131" s="1992"/>
      <c r="BG131" s="1992"/>
      <c r="BI131" s="1992"/>
      <c r="BJ131" s="1992"/>
      <c r="BK131" s="1992"/>
    </row>
    <row r="132" spans="1:63" ht="12.75" x14ac:dyDescent="0.2">
      <c r="A132" s="1984">
        <v>125</v>
      </c>
      <c r="B132" s="1995" t="s">
        <v>144</v>
      </c>
      <c r="C132" s="1994" t="s">
        <v>145</v>
      </c>
      <c r="D132" s="1987">
        <v>137942</v>
      </c>
      <c r="E132" s="1988">
        <v>84617000</v>
      </c>
      <c r="F132" s="1989">
        <v>38726914</v>
      </c>
      <c r="G132" s="1989">
        <v>-2105695</v>
      </c>
      <c r="H132" s="1989">
        <v>893093</v>
      </c>
      <c r="I132" s="1989">
        <v>-1212602</v>
      </c>
      <c r="J132" s="1989">
        <v>-1978279</v>
      </c>
      <c r="K132" s="1989">
        <v>-4026</v>
      </c>
      <c r="L132" s="1989">
        <v>-1988</v>
      </c>
      <c r="M132" s="1989">
        <v>0</v>
      </c>
      <c r="N132" s="1989">
        <v>-221192</v>
      </c>
      <c r="O132" s="1989">
        <v>-117116</v>
      </c>
      <c r="P132" s="1989">
        <v>-93650</v>
      </c>
      <c r="Q132" s="1989">
        <v>0</v>
      </c>
      <c r="R132" s="1989">
        <v>-1988</v>
      </c>
      <c r="S132" s="1989">
        <v>0</v>
      </c>
      <c r="T132" s="1989">
        <v>0</v>
      </c>
      <c r="U132" s="1989">
        <v>0</v>
      </c>
      <c r="V132" s="1989">
        <v>0</v>
      </c>
      <c r="W132" s="1989">
        <v>0</v>
      </c>
      <c r="X132" s="1989">
        <v>0</v>
      </c>
      <c r="Y132" s="1989">
        <v>-7014</v>
      </c>
      <c r="Z132" s="1989">
        <v>35089059</v>
      </c>
      <c r="AA132" s="1989">
        <v>-100000</v>
      </c>
      <c r="AB132" s="1990"/>
      <c r="AC132" s="1989">
        <v>156</v>
      </c>
      <c r="AD132" s="1989">
        <v>3</v>
      </c>
      <c r="AE132" s="1989">
        <v>2</v>
      </c>
      <c r="AF132" s="1989">
        <v>0</v>
      </c>
      <c r="AG132" s="1989">
        <v>232</v>
      </c>
      <c r="AH132" s="1989">
        <v>44</v>
      </c>
      <c r="AI132" s="1989">
        <v>20</v>
      </c>
      <c r="AJ132" s="1989">
        <v>0</v>
      </c>
      <c r="AK132" s="1989">
        <v>2</v>
      </c>
      <c r="AL132" s="1989">
        <v>0</v>
      </c>
      <c r="AM132" s="1989">
        <v>0</v>
      </c>
      <c r="AN132" s="1989">
        <v>0</v>
      </c>
      <c r="AO132" s="1989">
        <v>1058</v>
      </c>
      <c r="AP132" s="1989">
        <v>1393</v>
      </c>
      <c r="AQ132" s="1989">
        <v>949</v>
      </c>
      <c r="AR132" s="1989">
        <v>444</v>
      </c>
      <c r="AS132" s="1989">
        <v>794</v>
      </c>
      <c r="AT132" s="1988">
        <v>3280</v>
      </c>
      <c r="AU132" s="1991"/>
      <c r="AV132" s="1991"/>
      <c r="AX132" s="1992"/>
      <c r="AY132" s="1992"/>
      <c r="AZ132" s="1992"/>
      <c r="BA132" s="1992"/>
      <c r="BB132" s="1992"/>
      <c r="BD132" s="1992"/>
      <c r="BE132" s="1992"/>
      <c r="BG132" s="1992"/>
      <c r="BI132" s="1992"/>
      <c r="BJ132" s="1992"/>
      <c r="BK132" s="1992"/>
    </row>
    <row r="133" spans="1:63" ht="12.75" x14ac:dyDescent="0.2">
      <c r="A133" s="1984">
        <v>126</v>
      </c>
      <c r="B133" s="1995" t="s">
        <v>146</v>
      </c>
      <c r="C133" s="1994" t="s">
        <v>147</v>
      </c>
      <c r="D133" s="1987">
        <v>268121</v>
      </c>
      <c r="E133" s="1988">
        <v>204077000</v>
      </c>
      <c r="F133" s="1989">
        <v>87823014</v>
      </c>
      <c r="G133" s="1989">
        <v>-3655958</v>
      </c>
      <c r="H133" s="1989">
        <v>1923478</v>
      </c>
      <c r="I133" s="1989">
        <v>-1732480</v>
      </c>
      <c r="J133" s="1989">
        <v>-4502281</v>
      </c>
      <c r="K133" s="1989">
        <v>-329888</v>
      </c>
      <c r="L133" s="1989">
        <v>0</v>
      </c>
      <c r="M133" s="1989">
        <v>0</v>
      </c>
      <c r="N133" s="1989">
        <v>-2253386</v>
      </c>
      <c r="O133" s="1989">
        <v>-131248</v>
      </c>
      <c r="P133" s="1989">
        <v>-11298</v>
      </c>
      <c r="Q133" s="1989">
        <v>-74500</v>
      </c>
      <c r="R133" s="1989">
        <v>0</v>
      </c>
      <c r="S133" s="1989">
        <v>0</v>
      </c>
      <c r="T133" s="1989">
        <v>0</v>
      </c>
      <c r="U133" s="1989">
        <v>0</v>
      </c>
      <c r="V133" s="1989">
        <v>0</v>
      </c>
      <c r="W133" s="1989">
        <v>-17519</v>
      </c>
      <c r="X133" s="1989">
        <v>-6647</v>
      </c>
      <c r="Y133" s="1989">
        <v>0</v>
      </c>
      <c r="Z133" s="1989">
        <v>78763767</v>
      </c>
      <c r="AA133" s="1989">
        <v>-2112788</v>
      </c>
      <c r="AB133" s="1990"/>
      <c r="AC133" s="1989">
        <v>218</v>
      </c>
      <c r="AD133" s="1989">
        <v>16</v>
      </c>
      <c r="AE133" s="1989">
        <v>0</v>
      </c>
      <c r="AF133" s="1989">
        <v>0</v>
      </c>
      <c r="AG133" s="1989">
        <v>188</v>
      </c>
      <c r="AH133" s="1989">
        <v>75</v>
      </c>
      <c r="AI133" s="1989">
        <v>3</v>
      </c>
      <c r="AJ133" s="1989">
        <v>3</v>
      </c>
      <c r="AK133" s="1989">
        <v>0</v>
      </c>
      <c r="AL133" s="1989">
        <v>0</v>
      </c>
      <c r="AM133" s="1989">
        <v>0</v>
      </c>
      <c r="AN133" s="1989">
        <v>1</v>
      </c>
      <c r="AO133" s="1989">
        <v>1788</v>
      </c>
      <c r="AP133" s="1989">
        <v>1723</v>
      </c>
      <c r="AQ133" s="1989">
        <v>824</v>
      </c>
      <c r="AR133" s="1989">
        <v>899</v>
      </c>
      <c r="AS133" s="1989">
        <v>2231</v>
      </c>
      <c r="AT133" s="1988">
        <v>5730</v>
      </c>
      <c r="AU133" s="1991"/>
      <c r="AV133" s="1991"/>
      <c r="AX133" s="1992"/>
      <c r="AY133" s="1992"/>
      <c r="AZ133" s="1992"/>
      <c r="BA133" s="1992"/>
      <c r="BB133" s="1992"/>
      <c r="BD133" s="1992"/>
      <c r="BE133" s="1992"/>
      <c r="BG133" s="1992"/>
      <c r="BI133" s="1992"/>
      <c r="BJ133" s="1992"/>
      <c r="BK133" s="1992"/>
    </row>
    <row r="134" spans="1:63" ht="12.75" x14ac:dyDescent="0.2">
      <c r="A134" s="1984">
        <v>127</v>
      </c>
      <c r="B134" s="1996" t="s">
        <v>687</v>
      </c>
      <c r="C134" s="1994" t="s">
        <v>149</v>
      </c>
      <c r="D134" s="1987">
        <v>299893</v>
      </c>
      <c r="E134" s="1988">
        <v>133231000</v>
      </c>
      <c r="F134" s="1989">
        <v>62284496</v>
      </c>
      <c r="G134" s="1989">
        <v>-5916098</v>
      </c>
      <c r="H134" s="1989">
        <v>1313404</v>
      </c>
      <c r="I134" s="1989">
        <v>-4602694</v>
      </c>
      <c r="J134" s="1989">
        <v>-4515095</v>
      </c>
      <c r="K134" s="1989">
        <v>-127343</v>
      </c>
      <c r="L134" s="1989">
        <v>-98205</v>
      </c>
      <c r="M134" s="1989">
        <v>0</v>
      </c>
      <c r="N134" s="1989">
        <v>-1767389</v>
      </c>
      <c r="O134" s="1989">
        <v>-349440</v>
      </c>
      <c r="P134" s="1989">
        <v>-100046</v>
      </c>
      <c r="Q134" s="1989">
        <v>-19198</v>
      </c>
      <c r="R134" s="1989">
        <v>-53662</v>
      </c>
      <c r="S134" s="1989">
        <v>0</v>
      </c>
      <c r="T134" s="1989">
        <v>-351596</v>
      </c>
      <c r="U134" s="1989">
        <v>-351596</v>
      </c>
      <c r="V134" s="1989">
        <v>0</v>
      </c>
      <c r="W134" s="1989">
        <v>-50000</v>
      </c>
      <c r="X134" s="1989">
        <v>-25000</v>
      </c>
      <c r="Y134" s="1989">
        <v>-50000</v>
      </c>
      <c r="Z134" s="1989">
        <v>50174828</v>
      </c>
      <c r="AA134" s="1989">
        <v>-1800000</v>
      </c>
      <c r="AB134" s="1990"/>
      <c r="AC134" s="1989">
        <v>220</v>
      </c>
      <c r="AD134" s="1989">
        <v>18</v>
      </c>
      <c r="AE134" s="1989">
        <v>81</v>
      </c>
      <c r="AF134" s="1989">
        <v>0</v>
      </c>
      <c r="AG134" s="1989">
        <v>422</v>
      </c>
      <c r="AH134" s="1989">
        <v>323</v>
      </c>
      <c r="AI134" s="1989">
        <v>50</v>
      </c>
      <c r="AJ134" s="1989">
        <v>18</v>
      </c>
      <c r="AK134" s="1989">
        <v>0</v>
      </c>
      <c r="AL134" s="1989">
        <v>0</v>
      </c>
      <c r="AM134" s="1989">
        <v>39</v>
      </c>
      <c r="AN134" s="1989">
        <v>1</v>
      </c>
      <c r="AO134" s="1989">
        <v>2374</v>
      </c>
      <c r="AP134" s="1989">
        <v>3497</v>
      </c>
      <c r="AQ134" s="1989">
        <v>2615</v>
      </c>
      <c r="AR134" s="1989">
        <v>882</v>
      </c>
      <c r="AS134" s="1989">
        <v>1974</v>
      </c>
      <c r="AT134" s="1988">
        <v>7900</v>
      </c>
      <c r="AU134" s="1991"/>
      <c r="AV134" s="1991"/>
      <c r="AX134" s="1992"/>
      <c r="AY134" s="1992"/>
      <c r="AZ134" s="1992"/>
      <c r="BA134" s="1992"/>
      <c r="BB134" s="1992"/>
      <c r="BD134" s="1992"/>
      <c r="BE134" s="1992"/>
      <c r="BG134" s="1992"/>
      <c r="BI134" s="1992"/>
      <c r="BJ134" s="1992"/>
      <c r="BK134" s="1992"/>
    </row>
    <row r="135" spans="1:63" ht="12.75" x14ac:dyDescent="0.2">
      <c r="A135" s="1984">
        <v>128</v>
      </c>
      <c r="B135" s="1995" t="s">
        <v>150</v>
      </c>
      <c r="C135" s="1994" t="s">
        <v>151</v>
      </c>
      <c r="D135" s="1987">
        <v>151151</v>
      </c>
      <c r="E135" s="1988">
        <v>119321000</v>
      </c>
      <c r="F135" s="1989">
        <v>55235689</v>
      </c>
      <c r="G135" s="1989">
        <v>-1604411</v>
      </c>
      <c r="H135" s="1989">
        <v>1307092</v>
      </c>
      <c r="I135" s="1989">
        <v>-297319</v>
      </c>
      <c r="J135" s="1989">
        <v>-4927990</v>
      </c>
      <c r="K135" s="1989">
        <v>-59720</v>
      </c>
      <c r="L135" s="1989">
        <v>0</v>
      </c>
      <c r="M135" s="1989">
        <v>0</v>
      </c>
      <c r="N135" s="1989">
        <v>-305228</v>
      </c>
      <c r="O135" s="1989">
        <v>-104098</v>
      </c>
      <c r="P135" s="1989">
        <v>-43248</v>
      </c>
      <c r="Q135" s="1989">
        <v>0</v>
      </c>
      <c r="R135" s="1989">
        <v>0</v>
      </c>
      <c r="S135" s="1989">
        <v>0</v>
      </c>
      <c r="T135" s="1989">
        <v>0</v>
      </c>
      <c r="U135" s="1989">
        <v>0</v>
      </c>
      <c r="V135" s="1989">
        <v>0</v>
      </c>
      <c r="W135" s="1989">
        <v>0</v>
      </c>
      <c r="X135" s="1989">
        <v>-48466</v>
      </c>
      <c r="Y135" s="1989">
        <v>-3149</v>
      </c>
      <c r="Z135" s="1989">
        <v>48958003</v>
      </c>
      <c r="AA135" s="1989">
        <v>-1482885</v>
      </c>
      <c r="AB135" s="1990"/>
      <c r="AC135" s="1989">
        <v>160</v>
      </c>
      <c r="AD135" s="1989">
        <v>7</v>
      </c>
      <c r="AE135" s="1989">
        <v>0</v>
      </c>
      <c r="AF135" s="1989">
        <v>0</v>
      </c>
      <c r="AG135" s="1989">
        <v>112</v>
      </c>
      <c r="AH135" s="1989">
        <v>67</v>
      </c>
      <c r="AI135" s="1989">
        <v>13</v>
      </c>
      <c r="AJ135" s="1989">
        <v>0</v>
      </c>
      <c r="AK135" s="1989">
        <v>0</v>
      </c>
      <c r="AL135" s="1989">
        <v>0</v>
      </c>
      <c r="AM135" s="1989">
        <v>0</v>
      </c>
      <c r="AN135" s="1989">
        <v>0</v>
      </c>
      <c r="AO135" s="1989">
        <v>1268</v>
      </c>
      <c r="AP135" s="1989">
        <v>826</v>
      </c>
      <c r="AQ135" s="1989">
        <v>407</v>
      </c>
      <c r="AR135" s="1989">
        <v>419</v>
      </c>
      <c r="AS135" s="1989">
        <v>1031</v>
      </c>
      <c r="AT135" s="1988">
        <v>3170</v>
      </c>
      <c r="AU135" s="1991"/>
      <c r="AV135" s="1991"/>
      <c r="AX135" s="1992"/>
      <c r="AY135" s="1992"/>
      <c r="AZ135" s="1992"/>
      <c r="BA135" s="1992"/>
      <c r="BB135" s="1992"/>
      <c r="BD135" s="1992"/>
      <c r="BE135" s="1992"/>
      <c r="BG135" s="1992"/>
      <c r="BI135" s="1992"/>
      <c r="BJ135" s="1992"/>
      <c r="BK135" s="1992"/>
    </row>
    <row r="136" spans="1:63" ht="12.75" x14ac:dyDescent="0.2">
      <c r="A136" s="1984">
        <v>129</v>
      </c>
      <c r="B136" s="1995" t="s">
        <v>152</v>
      </c>
      <c r="C136" s="1994" t="s">
        <v>153</v>
      </c>
      <c r="D136" s="1987">
        <v>135269</v>
      </c>
      <c r="E136" s="1988">
        <v>69424000</v>
      </c>
      <c r="F136" s="1989">
        <v>29398034</v>
      </c>
      <c r="G136" s="1989">
        <v>-2610531</v>
      </c>
      <c r="H136" s="1989">
        <v>619098</v>
      </c>
      <c r="I136" s="1989">
        <v>-1991433</v>
      </c>
      <c r="J136" s="1989">
        <v>-1772451</v>
      </c>
      <c r="K136" s="1989">
        <v>-72314</v>
      </c>
      <c r="L136" s="1989">
        <v>-10841</v>
      </c>
      <c r="M136" s="1989">
        <v>0</v>
      </c>
      <c r="N136" s="1989">
        <v>-350000</v>
      </c>
      <c r="O136" s="1989">
        <v>-32964</v>
      </c>
      <c r="P136" s="1989">
        <v>-180791</v>
      </c>
      <c r="Q136" s="1989">
        <v>0</v>
      </c>
      <c r="R136" s="1989">
        <v>-7395</v>
      </c>
      <c r="S136" s="1989">
        <v>0</v>
      </c>
      <c r="T136" s="1989">
        <v>0</v>
      </c>
      <c r="U136" s="1989">
        <v>0</v>
      </c>
      <c r="V136" s="1989">
        <v>0</v>
      </c>
      <c r="W136" s="1989">
        <v>0</v>
      </c>
      <c r="X136" s="1989">
        <v>-16104</v>
      </c>
      <c r="Y136" s="1989">
        <v>-59942</v>
      </c>
      <c r="Z136" s="1989">
        <v>24903799</v>
      </c>
      <c r="AA136" s="1989">
        <v>-223103</v>
      </c>
      <c r="AB136" s="1990"/>
      <c r="AC136" s="1989">
        <v>164</v>
      </c>
      <c r="AD136" s="1989">
        <v>20</v>
      </c>
      <c r="AE136" s="1989">
        <v>11</v>
      </c>
      <c r="AF136" s="1989">
        <v>0</v>
      </c>
      <c r="AG136" s="1989">
        <v>203</v>
      </c>
      <c r="AH136" s="1989">
        <v>35</v>
      </c>
      <c r="AI136" s="1989">
        <v>21</v>
      </c>
      <c r="AJ136" s="1989">
        <v>0</v>
      </c>
      <c r="AK136" s="1989">
        <v>4</v>
      </c>
      <c r="AL136" s="1989">
        <v>0</v>
      </c>
      <c r="AM136" s="1989">
        <v>0</v>
      </c>
      <c r="AN136" s="1989">
        <v>0</v>
      </c>
      <c r="AO136" s="1989">
        <v>985</v>
      </c>
      <c r="AP136" s="1989">
        <v>1605</v>
      </c>
      <c r="AQ136" s="1989">
        <v>1226</v>
      </c>
      <c r="AR136" s="1989">
        <v>379</v>
      </c>
      <c r="AS136" s="1989">
        <v>846</v>
      </c>
      <c r="AT136" s="1988">
        <v>3480</v>
      </c>
      <c r="AU136" s="1991"/>
      <c r="AV136" s="1991"/>
      <c r="AX136" s="1992"/>
      <c r="AY136" s="1992"/>
      <c r="AZ136" s="1992"/>
      <c r="BA136" s="1992"/>
      <c r="BB136" s="1992"/>
      <c r="BD136" s="1992"/>
      <c r="BE136" s="1992"/>
      <c r="BG136" s="1992"/>
      <c r="BI136" s="1992"/>
      <c r="BJ136" s="1992"/>
      <c r="BK136" s="1992"/>
    </row>
    <row r="137" spans="1:63" ht="12.75" x14ac:dyDescent="0.2">
      <c r="A137" s="1984">
        <v>130</v>
      </c>
      <c r="B137" s="1995" t="s">
        <v>154</v>
      </c>
      <c r="C137" s="1994" t="s">
        <v>155</v>
      </c>
      <c r="D137" s="1987">
        <v>576004</v>
      </c>
      <c r="E137" s="1988">
        <v>818366000</v>
      </c>
      <c r="F137" s="1989">
        <v>393992669</v>
      </c>
      <c r="G137" s="1989">
        <v>-3406134</v>
      </c>
      <c r="H137" s="1989">
        <v>9868004</v>
      </c>
      <c r="I137" s="1989">
        <v>6461870</v>
      </c>
      <c r="J137" s="1989">
        <v>-8181270</v>
      </c>
      <c r="K137" s="1989">
        <v>-79160</v>
      </c>
      <c r="L137" s="1989">
        <v>0</v>
      </c>
      <c r="M137" s="1989">
        <v>-167316</v>
      </c>
      <c r="N137" s="1989">
        <v>-12129883</v>
      </c>
      <c r="O137" s="1989">
        <v>-203163</v>
      </c>
      <c r="P137" s="1989">
        <v>-12248</v>
      </c>
      <c r="Q137" s="1989">
        <v>0</v>
      </c>
      <c r="R137" s="1989">
        <v>0</v>
      </c>
      <c r="S137" s="1989">
        <v>0</v>
      </c>
      <c r="T137" s="1989">
        <v>0</v>
      </c>
      <c r="U137" s="1989">
        <v>0</v>
      </c>
      <c r="V137" s="1989">
        <v>0</v>
      </c>
      <c r="W137" s="1989">
        <v>0</v>
      </c>
      <c r="X137" s="1989">
        <v>-100000</v>
      </c>
      <c r="Y137" s="1989">
        <v>-369921</v>
      </c>
      <c r="Z137" s="1989">
        <v>379211578</v>
      </c>
      <c r="AA137" s="1989">
        <v>-2000000</v>
      </c>
      <c r="AB137" s="1990"/>
      <c r="AC137" s="1989">
        <v>277</v>
      </c>
      <c r="AD137" s="1989">
        <v>14</v>
      </c>
      <c r="AE137" s="1989">
        <v>0</v>
      </c>
      <c r="AF137" s="1989">
        <v>0</v>
      </c>
      <c r="AG137" s="1989">
        <v>397</v>
      </c>
      <c r="AH137" s="1989">
        <v>160</v>
      </c>
      <c r="AI137" s="1989">
        <v>23</v>
      </c>
      <c r="AJ137" s="1989">
        <v>0</v>
      </c>
      <c r="AK137" s="1989">
        <v>0</v>
      </c>
      <c r="AL137" s="1989">
        <v>0</v>
      </c>
      <c r="AM137" s="1989">
        <v>0</v>
      </c>
      <c r="AN137" s="1989">
        <v>0</v>
      </c>
      <c r="AO137" s="1989">
        <v>3344</v>
      </c>
      <c r="AP137" s="1989">
        <v>1669</v>
      </c>
      <c r="AQ137" s="1989">
        <v>741</v>
      </c>
      <c r="AR137" s="1989">
        <v>928</v>
      </c>
      <c r="AS137" s="1989">
        <v>3230</v>
      </c>
      <c r="AT137" s="1988">
        <v>8400</v>
      </c>
      <c r="AU137" s="1991"/>
      <c r="AV137" s="1991"/>
      <c r="AX137" s="1992"/>
      <c r="AY137" s="1992"/>
      <c r="AZ137" s="1992"/>
      <c r="BA137" s="1992"/>
      <c r="BB137" s="1992"/>
      <c r="BD137" s="1992"/>
      <c r="BE137" s="1992"/>
      <c r="BG137" s="1992"/>
      <c r="BI137" s="1992"/>
      <c r="BJ137" s="1992"/>
      <c r="BK137" s="1992"/>
    </row>
    <row r="138" spans="1:63" ht="12.75" x14ac:dyDescent="0.2">
      <c r="A138" s="1984">
        <v>131</v>
      </c>
      <c r="B138" s="1995" t="s">
        <v>156</v>
      </c>
      <c r="C138" s="1994" t="s">
        <v>157</v>
      </c>
      <c r="D138" s="1987">
        <v>127087</v>
      </c>
      <c r="E138" s="1988">
        <v>85320000</v>
      </c>
      <c r="F138" s="1989">
        <v>38468953</v>
      </c>
      <c r="G138" s="1989">
        <v>-2359528</v>
      </c>
      <c r="H138" s="1989">
        <v>739475</v>
      </c>
      <c r="I138" s="1989">
        <v>-1620053</v>
      </c>
      <c r="J138" s="1989">
        <v>-1730488</v>
      </c>
      <c r="K138" s="1989">
        <v>-2227</v>
      </c>
      <c r="L138" s="1989">
        <v>-12835</v>
      </c>
      <c r="M138" s="1989">
        <v>-100000</v>
      </c>
      <c r="N138" s="1989">
        <v>-190756</v>
      </c>
      <c r="O138" s="1989">
        <v>-70047</v>
      </c>
      <c r="P138" s="1989">
        <v>-79378</v>
      </c>
      <c r="Q138" s="1989">
        <v>-557</v>
      </c>
      <c r="R138" s="1989">
        <v>0</v>
      </c>
      <c r="S138" s="1989">
        <v>0</v>
      </c>
      <c r="T138" s="1989">
        <v>-84242</v>
      </c>
      <c r="U138" s="1989">
        <v>-84242</v>
      </c>
      <c r="V138" s="1989">
        <v>0</v>
      </c>
      <c r="W138" s="1989">
        <v>-18339</v>
      </c>
      <c r="X138" s="1989">
        <v>-6026</v>
      </c>
      <c r="Y138" s="1989">
        <v>-211</v>
      </c>
      <c r="Z138" s="1989">
        <v>34279550</v>
      </c>
      <c r="AA138" s="1989">
        <v>-337789</v>
      </c>
      <c r="AB138" s="1990"/>
      <c r="AC138" s="1989">
        <v>124</v>
      </c>
      <c r="AD138" s="1989">
        <v>1</v>
      </c>
      <c r="AE138" s="1989">
        <v>8</v>
      </c>
      <c r="AF138" s="1989">
        <v>0</v>
      </c>
      <c r="AG138" s="1989">
        <v>125</v>
      </c>
      <c r="AH138" s="1989">
        <v>75</v>
      </c>
      <c r="AI138" s="1989">
        <v>20</v>
      </c>
      <c r="AJ138" s="1989">
        <v>1</v>
      </c>
      <c r="AK138" s="1989">
        <v>0</v>
      </c>
      <c r="AL138" s="1989">
        <v>6</v>
      </c>
      <c r="AM138" s="1989">
        <v>0</v>
      </c>
      <c r="AN138" s="1989">
        <v>1</v>
      </c>
      <c r="AO138" s="1989">
        <v>916</v>
      </c>
      <c r="AP138" s="1989">
        <v>1335</v>
      </c>
      <c r="AQ138" s="1989">
        <v>972</v>
      </c>
      <c r="AR138" s="1989">
        <v>363</v>
      </c>
      <c r="AS138" s="1989">
        <v>785</v>
      </c>
      <c r="AT138" s="1988">
        <v>3090</v>
      </c>
      <c r="AU138" s="1991"/>
      <c r="AV138" s="1991"/>
      <c r="AX138" s="1992"/>
      <c r="AY138" s="1992"/>
      <c r="AZ138" s="1992"/>
      <c r="BA138" s="1992"/>
      <c r="BB138" s="1992"/>
      <c r="BD138" s="1992"/>
      <c r="BE138" s="1992"/>
      <c r="BG138" s="1992"/>
      <c r="BI138" s="1992"/>
      <c r="BJ138" s="1992"/>
      <c r="BK138" s="1992"/>
    </row>
    <row r="139" spans="1:63" ht="12.75" x14ac:dyDescent="0.2">
      <c r="A139" s="1984">
        <v>132</v>
      </c>
      <c r="B139" s="1995" t="s">
        <v>158</v>
      </c>
      <c r="C139" s="1994" t="s">
        <v>159</v>
      </c>
      <c r="D139" s="1987">
        <v>179932</v>
      </c>
      <c r="E139" s="1988">
        <v>113507000</v>
      </c>
      <c r="F139" s="1989">
        <v>50057149</v>
      </c>
      <c r="G139" s="1989">
        <v>-2838349</v>
      </c>
      <c r="H139" s="1989">
        <v>1093640</v>
      </c>
      <c r="I139" s="1989">
        <v>-1744709</v>
      </c>
      <c r="J139" s="1989">
        <v>-2949039</v>
      </c>
      <c r="K139" s="1989">
        <v>-56499</v>
      </c>
      <c r="L139" s="1989">
        <v>-17979</v>
      </c>
      <c r="M139" s="1989">
        <v>0</v>
      </c>
      <c r="N139" s="1989">
        <v>-1261042</v>
      </c>
      <c r="O139" s="1989">
        <v>-70859</v>
      </c>
      <c r="P139" s="1989">
        <v>-457915</v>
      </c>
      <c r="Q139" s="1989">
        <v>-2868</v>
      </c>
      <c r="R139" s="1989">
        <v>-1352</v>
      </c>
      <c r="S139" s="1989">
        <v>0</v>
      </c>
      <c r="T139" s="1989">
        <v>0</v>
      </c>
      <c r="U139" s="1989">
        <v>0</v>
      </c>
      <c r="V139" s="1989">
        <v>0</v>
      </c>
      <c r="W139" s="1989">
        <v>-89459</v>
      </c>
      <c r="X139" s="1989">
        <v>0</v>
      </c>
      <c r="Y139" s="1989">
        <v>-1333</v>
      </c>
      <c r="Z139" s="1989">
        <v>43251019</v>
      </c>
      <c r="AA139" s="1989">
        <v>-1225889</v>
      </c>
      <c r="AB139" s="1990"/>
      <c r="AC139" s="1989">
        <v>217</v>
      </c>
      <c r="AD139" s="1989">
        <v>12</v>
      </c>
      <c r="AE139" s="1989">
        <v>13</v>
      </c>
      <c r="AF139" s="1989">
        <v>0</v>
      </c>
      <c r="AG139" s="1989">
        <v>275</v>
      </c>
      <c r="AH139" s="1989">
        <v>64</v>
      </c>
      <c r="AI139" s="1989">
        <v>6</v>
      </c>
      <c r="AJ139" s="1989">
        <v>5</v>
      </c>
      <c r="AK139" s="1989">
        <v>1</v>
      </c>
      <c r="AL139" s="1989">
        <v>0</v>
      </c>
      <c r="AM139" s="1989">
        <v>0</v>
      </c>
      <c r="AN139" s="1989">
        <v>0</v>
      </c>
      <c r="AO139" s="1989">
        <v>1469</v>
      </c>
      <c r="AP139" s="1989">
        <v>1502</v>
      </c>
      <c r="AQ139" s="1989">
        <v>989</v>
      </c>
      <c r="AR139" s="1989">
        <v>513</v>
      </c>
      <c r="AS139" s="1989">
        <v>1486</v>
      </c>
      <c r="AT139" s="1988">
        <v>4440</v>
      </c>
      <c r="AU139" s="1991"/>
      <c r="AV139" s="1991"/>
      <c r="AX139" s="1992"/>
      <c r="AY139" s="1992"/>
      <c r="AZ139" s="1992"/>
      <c r="BA139" s="1992"/>
      <c r="BB139" s="1992"/>
      <c r="BD139" s="1992"/>
      <c r="BE139" s="1992"/>
      <c r="BG139" s="1992"/>
      <c r="BI139" s="1992"/>
      <c r="BJ139" s="1992"/>
      <c r="BK139" s="1992"/>
    </row>
    <row r="140" spans="1:63" ht="12.75" x14ac:dyDescent="0.2">
      <c r="A140" s="1984">
        <v>133</v>
      </c>
      <c r="B140" s="1995" t="s">
        <v>160</v>
      </c>
      <c r="C140" s="1994" t="s">
        <v>161</v>
      </c>
      <c r="D140" s="1987">
        <v>415076</v>
      </c>
      <c r="E140" s="1988">
        <v>465828000</v>
      </c>
      <c r="F140" s="1989">
        <v>180149104</v>
      </c>
      <c r="G140" s="1989">
        <v>-2839197</v>
      </c>
      <c r="H140" s="1989">
        <v>4364110</v>
      </c>
      <c r="I140" s="1989">
        <v>1524913</v>
      </c>
      <c r="J140" s="1989">
        <v>-5356278</v>
      </c>
      <c r="K140" s="1989">
        <v>-54809</v>
      </c>
      <c r="L140" s="1989">
        <v>0</v>
      </c>
      <c r="M140" s="1989">
        <v>0</v>
      </c>
      <c r="N140" s="1989">
        <v>-6740869</v>
      </c>
      <c r="O140" s="1989">
        <v>-247914</v>
      </c>
      <c r="P140" s="1989">
        <v>-519602</v>
      </c>
      <c r="Q140" s="1989">
        <v>-3603</v>
      </c>
      <c r="R140" s="1989">
        <v>0</v>
      </c>
      <c r="S140" s="1989">
        <v>0</v>
      </c>
      <c r="T140" s="1989">
        <v>0</v>
      </c>
      <c r="U140" s="1989">
        <v>0</v>
      </c>
      <c r="V140" s="1989">
        <v>0</v>
      </c>
      <c r="W140" s="1989">
        <v>-316876</v>
      </c>
      <c r="X140" s="1989">
        <v>-30938</v>
      </c>
      <c r="Y140" s="1989">
        <v>0</v>
      </c>
      <c r="Z140" s="1989">
        <v>168403128</v>
      </c>
      <c r="AA140" s="1989">
        <v>-4500000</v>
      </c>
      <c r="AB140" s="1990"/>
      <c r="AC140" s="1989">
        <v>260</v>
      </c>
      <c r="AD140" s="1989">
        <v>11</v>
      </c>
      <c r="AE140" s="1989">
        <v>0</v>
      </c>
      <c r="AF140" s="1989">
        <v>0</v>
      </c>
      <c r="AG140" s="1989">
        <v>312</v>
      </c>
      <c r="AH140" s="1989">
        <v>67</v>
      </c>
      <c r="AI140" s="1989">
        <v>20</v>
      </c>
      <c r="AJ140" s="1989">
        <v>2</v>
      </c>
      <c r="AK140" s="1989">
        <v>0</v>
      </c>
      <c r="AL140" s="1989">
        <v>0</v>
      </c>
      <c r="AM140" s="1989">
        <v>0</v>
      </c>
      <c r="AN140" s="1989">
        <v>0</v>
      </c>
      <c r="AO140" s="1989">
        <v>2967</v>
      </c>
      <c r="AP140" s="1989">
        <v>1363</v>
      </c>
      <c r="AQ140" s="1989">
        <v>666</v>
      </c>
      <c r="AR140" s="1989">
        <v>697</v>
      </c>
      <c r="AS140" s="1989">
        <v>2796</v>
      </c>
      <c r="AT140" s="1988">
        <v>7160</v>
      </c>
      <c r="AU140" s="1991"/>
      <c r="AV140" s="1991"/>
      <c r="AX140" s="1992"/>
      <c r="AY140" s="1992"/>
      <c r="AZ140" s="1992"/>
      <c r="BA140" s="1992"/>
      <c r="BB140" s="1992"/>
      <c r="BD140" s="1992"/>
      <c r="BE140" s="1992"/>
      <c r="BG140" s="1992"/>
      <c r="BI140" s="1992"/>
      <c r="BJ140" s="1992"/>
      <c r="BK140" s="1992"/>
    </row>
    <row r="141" spans="1:63" ht="12.75" x14ac:dyDescent="0.2">
      <c r="A141" s="1984">
        <v>134</v>
      </c>
      <c r="B141" s="1995" t="s">
        <v>162</v>
      </c>
      <c r="C141" s="1994" t="s">
        <v>163</v>
      </c>
      <c r="D141" s="1987">
        <v>217080</v>
      </c>
      <c r="E141" s="1988">
        <v>144878000</v>
      </c>
      <c r="F141" s="1989">
        <v>69248622</v>
      </c>
      <c r="G141" s="1989">
        <v>-3123045</v>
      </c>
      <c r="H141" s="1989">
        <v>1569334</v>
      </c>
      <c r="I141" s="1989">
        <v>-1553711</v>
      </c>
      <c r="J141" s="1989">
        <v>-2675091</v>
      </c>
      <c r="K141" s="1989">
        <v>-207975</v>
      </c>
      <c r="L141" s="1989">
        <v>-51172</v>
      </c>
      <c r="M141" s="1989">
        <v>-50000</v>
      </c>
      <c r="N141" s="1989">
        <v>-1909000</v>
      </c>
      <c r="O141" s="1989">
        <v>-885</v>
      </c>
      <c r="P141" s="1989">
        <v>-80838</v>
      </c>
      <c r="Q141" s="1989">
        <v>0</v>
      </c>
      <c r="R141" s="1989">
        <v>-23452</v>
      </c>
      <c r="S141" s="1989">
        <v>0</v>
      </c>
      <c r="T141" s="1989">
        <v>-233296</v>
      </c>
      <c r="U141" s="1989">
        <v>-233296</v>
      </c>
      <c r="V141" s="1989">
        <v>0</v>
      </c>
      <c r="W141" s="1989">
        <v>-10000</v>
      </c>
      <c r="X141" s="1989">
        <v>-5000</v>
      </c>
      <c r="Y141" s="1989">
        <v>0</v>
      </c>
      <c r="Z141" s="1989">
        <v>62448202</v>
      </c>
      <c r="AA141" s="1989">
        <v>-521054</v>
      </c>
      <c r="AB141" s="1990"/>
      <c r="AC141" s="1989">
        <v>270</v>
      </c>
      <c r="AD141" s="1989">
        <v>22</v>
      </c>
      <c r="AE141" s="1989">
        <v>35</v>
      </c>
      <c r="AF141" s="1989">
        <v>1</v>
      </c>
      <c r="AG141" s="1989">
        <v>275</v>
      </c>
      <c r="AH141" s="1989">
        <v>1</v>
      </c>
      <c r="AI141" s="1989">
        <v>44</v>
      </c>
      <c r="AJ141" s="1989">
        <v>0</v>
      </c>
      <c r="AK141" s="1989">
        <v>19</v>
      </c>
      <c r="AL141" s="1989">
        <v>0</v>
      </c>
      <c r="AM141" s="1989">
        <v>36</v>
      </c>
      <c r="AN141" s="1989">
        <v>0</v>
      </c>
      <c r="AO141" s="1989">
        <v>2144</v>
      </c>
      <c r="AP141" s="1989">
        <v>1644</v>
      </c>
      <c r="AQ141" s="1989">
        <v>991</v>
      </c>
      <c r="AR141" s="1989">
        <v>653</v>
      </c>
      <c r="AS141" s="1989">
        <v>1252</v>
      </c>
      <c r="AT141" s="1988">
        <v>5070</v>
      </c>
      <c r="AU141" s="1991"/>
      <c r="AV141" s="1991"/>
      <c r="AX141" s="1992"/>
      <c r="AY141" s="1992"/>
      <c r="AZ141" s="1992"/>
      <c r="BA141" s="1992"/>
      <c r="BB141" s="1992"/>
      <c r="BD141" s="1992"/>
      <c r="BE141" s="1992"/>
      <c r="BG141" s="1992"/>
      <c r="BI141" s="1992"/>
      <c r="BJ141" s="1992"/>
      <c r="BK141" s="1992"/>
    </row>
    <row r="142" spans="1:63" ht="12.75" x14ac:dyDescent="0.2">
      <c r="A142" s="1984">
        <v>135</v>
      </c>
      <c r="B142" s="1995" t="s">
        <v>164</v>
      </c>
      <c r="C142" s="1994" t="s">
        <v>165</v>
      </c>
      <c r="D142" s="1987">
        <v>125909</v>
      </c>
      <c r="E142" s="1988">
        <v>55576000</v>
      </c>
      <c r="F142" s="1989">
        <v>28328971</v>
      </c>
      <c r="G142" s="1989">
        <v>-2542283</v>
      </c>
      <c r="H142" s="1989">
        <v>609489</v>
      </c>
      <c r="I142" s="1989">
        <v>-1932794</v>
      </c>
      <c r="J142" s="1989">
        <v>-1457908</v>
      </c>
      <c r="K142" s="1989">
        <v>-41000</v>
      </c>
      <c r="L142" s="1989">
        <v>0</v>
      </c>
      <c r="M142" s="1989">
        <v>-16423</v>
      </c>
      <c r="N142" s="1989">
        <v>-1900393</v>
      </c>
      <c r="O142" s="1989">
        <v>-131974</v>
      </c>
      <c r="P142" s="1989">
        <v>-100421</v>
      </c>
      <c r="Q142" s="1989">
        <v>0</v>
      </c>
      <c r="R142" s="1989">
        <v>0</v>
      </c>
      <c r="S142" s="1989">
        <v>0</v>
      </c>
      <c r="T142" s="1989">
        <v>0</v>
      </c>
      <c r="U142" s="1989">
        <v>0</v>
      </c>
      <c r="V142" s="1989">
        <v>0</v>
      </c>
      <c r="W142" s="1989">
        <v>0</v>
      </c>
      <c r="X142" s="1989">
        <v>-2711</v>
      </c>
      <c r="Y142" s="1989">
        <v>0</v>
      </c>
      <c r="Z142" s="1989">
        <v>21414092</v>
      </c>
      <c r="AA142" s="1989">
        <v>-856580</v>
      </c>
      <c r="AB142" s="1990"/>
      <c r="AC142" s="1989">
        <v>145</v>
      </c>
      <c r="AD142" s="1989">
        <v>4</v>
      </c>
      <c r="AE142" s="1989">
        <v>0</v>
      </c>
      <c r="AF142" s="1989">
        <v>2</v>
      </c>
      <c r="AG142" s="1989">
        <v>617</v>
      </c>
      <c r="AH142" s="1989">
        <v>77</v>
      </c>
      <c r="AI142" s="1989">
        <v>31</v>
      </c>
      <c r="AJ142" s="1989">
        <v>0</v>
      </c>
      <c r="AK142" s="1989">
        <v>0</v>
      </c>
      <c r="AL142" s="1989">
        <v>0</v>
      </c>
      <c r="AM142" s="1989">
        <v>0</v>
      </c>
      <c r="AN142" s="1989">
        <v>0</v>
      </c>
      <c r="AO142" s="1989">
        <v>1212</v>
      </c>
      <c r="AP142" s="1989">
        <v>1417</v>
      </c>
      <c r="AQ142" s="1989">
        <v>1119</v>
      </c>
      <c r="AR142" s="1989">
        <v>298</v>
      </c>
      <c r="AS142" s="1989">
        <v>728</v>
      </c>
      <c r="AT142" s="1988">
        <v>3320</v>
      </c>
      <c r="AU142" s="1991"/>
      <c r="AV142" s="1991"/>
      <c r="AX142" s="1992"/>
      <c r="AY142" s="1992"/>
      <c r="AZ142" s="1992"/>
      <c r="BA142" s="1992"/>
      <c r="BB142" s="1992"/>
      <c r="BD142" s="1992"/>
      <c r="BE142" s="1992"/>
      <c r="BG142" s="1992"/>
      <c r="BI142" s="1992"/>
      <c r="BJ142" s="1992"/>
      <c r="BK142" s="1992"/>
    </row>
    <row r="143" spans="1:63" ht="12.75" x14ac:dyDescent="0.2">
      <c r="A143" s="1984">
        <v>136</v>
      </c>
      <c r="B143" s="1995" t="s">
        <v>166</v>
      </c>
      <c r="C143" s="1994" t="s">
        <v>167</v>
      </c>
      <c r="D143" s="1987">
        <v>187343</v>
      </c>
      <c r="E143" s="1988">
        <v>134118000</v>
      </c>
      <c r="F143" s="1989">
        <v>65586807</v>
      </c>
      <c r="G143" s="1989">
        <v>-2559555</v>
      </c>
      <c r="H143" s="1989">
        <v>1536846</v>
      </c>
      <c r="I143" s="1989">
        <v>-1022709</v>
      </c>
      <c r="J143" s="1989">
        <v>-3618153</v>
      </c>
      <c r="K143" s="1989">
        <v>-90255</v>
      </c>
      <c r="L143" s="1989">
        <v>0</v>
      </c>
      <c r="M143" s="1989">
        <v>-2317</v>
      </c>
      <c r="N143" s="1989">
        <v>-828633</v>
      </c>
      <c r="O143" s="1989">
        <v>-121258</v>
      </c>
      <c r="P143" s="1989">
        <v>-67602</v>
      </c>
      <c r="Q143" s="1989">
        <v>0</v>
      </c>
      <c r="R143" s="1989">
        <v>0</v>
      </c>
      <c r="S143" s="1989">
        <v>0</v>
      </c>
      <c r="T143" s="1989">
        <v>-81085</v>
      </c>
      <c r="U143" s="1989">
        <v>-81085</v>
      </c>
      <c r="V143" s="1989">
        <v>0</v>
      </c>
      <c r="W143" s="1989">
        <v>0</v>
      </c>
      <c r="X143" s="1989">
        <v>-88578</v>
      </c>
      <c r="Y143" s="1989">
        <v>-8050</v>
      </c>
      <c r="Z143" s="1989">
        <v>59351612</v>
      </c>
      <c r="AA143" s="1989">
        <v>-831816</v>
      </c>
      <c r="AB143" s="1990"/>
      <c r="AC143" s="1989">
        <v>263</v>
      </c>
      <c r="AD143" s="1989">
        <v>4</v>
      </c>
      <c r="AE143" s="1989">
        <v>0</v>
      </c>
      <c r="AF143" s="1989">
        <v>1</v>
      </c>
      <c r="AG143" s="1989">
        <v>477</v>
      </c>
      <c r="AH143" s="1989">
        <v>44</v>
      </c>
      <c r="AI143" s="1989">
        <v>22</v>
      </c>
      <c r="AJ143" s="1989">
        <v>0</v>
      </c>
      <c r="AK143" s="1989">
        <v>0</v>
      </c>
      <c r="AL143" s="1989">
        <v>0</v>
      </c>
      <c r="AM143" s="1989">
        <v>0</v>
      </c>
      <c r="AN143" s="1989">
        <v>0</v>
      </c>
      <c r="AO143" s="1989">
        <v>2127</v>
      </c>
      <c r="AP143" s="1989">
        <v>1297</v>
      </c>
      <c r="AQ143" s="1989">
        <v>799</v>
      </c>
      <c r="AR143" s="1989">
        <v>498</v>
      </c>
      <c r="AS143" s="1989">
        <v>1003</v>
      </c>
      <c r="AT143" s="1988">
        <v>4450</v>
      </c>
      <c r="AU143" s="1991"/>
      <c r="AV143" s="1991"/>
      <c r="AX143" s="1992"/>
      <c r="AY143" s="1992"/>
      <c r="AZ143" s="1992"/>
      <c r="BA143" s="1992"/>
      <c r="BB143" s="1992"/>
      <c r="BD143" s="1992"/>
      <c r="BE143" s="1992"/>
      <c r="BG143" s="1992"/>
      <c r="BI143" s="1992"/>
      <c r="BJ143" s="1992"/>
      <c r="BK143" s="1992"/>
    </row>
    <row r="144" spans="1:63" ht="12.75" x14ac:dyDescent="0.2">
      <c r="A144" s="1984">
        <v>137</v>
      </c>
      <c r="B144" s="1996" t="s">
        <v>2340</v>
      </c>
      <c r="C144" s="1994" t="s">
        <v>169</v>
      </c>
      <c r="D144" s="1987">
        <v>263045</v>
      </c>
      <c r="E144" s="1988">
        <v>107040000</v>
      </c>
      <c r="F144" s="1989">
        <v>44822211</v>
      </c>
      <c r="G144" s="1989">
        <v>-5116986</v>
      </c>
      <c r="H144" s="1989">
        <v>890328</v>
      </c>
      <c r="I144" s="1989">
        <v>-4226658</v>
      </c>
      <c r="J144" s="1989">
        <v>-2966341</v>
      </c>
      <c r="K144" s="1989">
        <v>-96786</v>
      </c>
      <c r="L144" s="1989">
        <v>-9798</v>
      </c>
      <c r="M144" s="1989">
        <v>-10000</v>
      </c>
      <c r="N144" s="1989">
        <v>-732511</v>
      </c>
      <c r="O144" s="1989">
        <v>-66161</v>
      </c>
      <c r="P144" s="1989">
        <v>-64868</v>
      </c>
      <c r="Q144" s="1989">
        <v>-944</v>
      </c>
      <c r="R144" s="1989">
        <v>-5002</v>
      </c>
      <c r="S144" s="1989">
        <v>0</v>
      </c>
      <c r="T144" s="1989">
        <v>-35000</v>
      </c>
      <c r="U144" s="1989">
        <v>0</v>
      </c>
      <c r="V144" s="1989">
        <v>0</v>
      </c>
      <c r="W144" s="1989">
        <v>-5000</v>
      </c>
      <c r="X144" s="1989">
        <v>-15000</v>
      </c>
      <c r="Y144" s="1989">
        <v>-10000</v>
      </c>
      <c r="Z144" s="1989">
        <v>36356573</v>
      </c>
      <c r="AA144" s="1989">
        <v>-100000</v>
      </c>
      <c r="AB144" s="1990"/>
      <c r="AC144" s="1989">
        <v>352</v>
      </c>
      <c r="AD144" s="1989">
        <v>20</v>
      </c>
      <c r="AE144" s="1989">
        <v>12</v>
      </c>
      <c r="AF144" s="1989">
        <v>0</v>
      </c>
      <c r="AG144" s="1989">
        <v>343</v>
      </c>
      <c r="AH144" s="1989">
        <v>62</v>
      </c>
      <c r="AI144" s="1989">
        <v>16</v>
      </c>
      <c r="AJ144" s="1989">
        <v>1</v>
      </c>
      <c r="AK144" s="1989">
        <v>8</v>
      </c>
      <c r="AL144" s="1989">
        <v>0</v>
      </c>
      <c r="AM144" s="1989">
        <v>0</v>
      </c>
      <c r="AN144" s="1989">
        <v>2</v>
      </c>
      <c r="AO144" s="1989">
        <v>1880</v>
      </c>
      <c r="AP144" s="1989">
        <v>3343</v>
      </c>
      <c r="AQ144" s="1989">
        <v>2555</v>
      </c>
      <c r="AR144" s="1989">
        <v>788</v>
      </c>
      <c r="AS144" s="1989">
        <v>1408</v>
      </c>
      <c r="AT144" s="1988">
        <v>6740</v>
      </c>
      <c r="AU144" s="1991"/>
      <c r="AV144" s="1991"/>
      <c r="AX144" s="1992"/>
      <c r="AY144" s="1992"/>
      <c r="AZ144" s="1992"/>
      <c r="BA144" s="1992"/>
      <c r="BB144" s="1992"/>
      <c r="BD144" s="1992"/>
      <c r="BE144" s="1992"/>
      <c r="BG144" s="1992"/>
      <c r="BI144" s="1992"/>
      <c r="BJ144" s="1992"/>
      <c r="BK144" s="1992"/>
    </row>
    <row r="145" spans="1:63" ht="12.75" x14ac:dyDescent="0.2">
      <c r="A145" s="1984">
        <v>138</v>
      </c>
      <c r="B145" s="1996" t="s">
        <v>2341</v>
      </c>
      <c r="C145" s="1994" t="s">
        <v>171</v>
      </c>
      <c r="D145" s="1987">
        <v>24246</v>
      </c>
      <c r="E145" s="1988">
        <v>4473000</v>
      </c>
      <c r="F145" s="1989">
        <v>2071288</v>
      </c>
      <c r="G145" s="1989">
        <v>-338480</v>
      </c>
      <c r="H145" s="1989">
        <v>28022</v>
      </c>
      <c r="I145" s="1989">
        <v>-310458</v>
      </c>
      <c r="J145" s="1989">
        <v>-16441</v>
      </c>
      <c r="K145" s="1989">
        <v>-6570</v>
      </c>
      <c r="L145" s="1989">
        <v>0</v>
      </c>
      <c r="M145" s="1989">
        <v>0</v>
      </c>
      <c r="N145" s="1989">
        <v>0</v>
      </c>
      <c r="O145" s="1989">
        <v>-1856</v>
      </c>
      <c r="P145" s="1989">
        <v>-1180</v>
      </c>
      <c r="Q145" s="1989">
        <v>-1085</v>
      </c>
      <c r="R145" s="1989">
        <v>-317</v>
      </c>
      <c r="S145" s="1989">
        <v>0</v>
      </c>
      <c r="T145" s="1989">
        <v>0</v>
      </c>
      <c r="U145" s="1989">
        <v>0</v>
      </c>
      <c r="V145" s="1989">
        <v>0</v>
      </c>
      <c r="W145" s="1989">
        <v>0</v>
      </c>
      <c r="X145" s="1989">
        <v>0</v>
      </c>
      <c r="Y145" s="1989">
        <v>0</v>
      </c>
      <c r="Z145" s="1989">
        <v>1733381</v>
      </c>
      <c r="AA145" s="1989">
        <v>-20000</v>
      </c>
      <c r="AB145" s="1990"/>
      <c r="AC145" s="1989">
        <v>7</v>
      </c>
      <c r="AD145" s="1989">
        <v>3</v>
      </c>
      <c r="AE145" s="1989">
        <v>2</v>
      </c>
      <c r="AF145" s="1989">
        <v>0</v>
      </c>
      <c r="AG145" s="1989">
        <v>3</v>
      </c>
      <c r="AH145" s="1989">
        <v>4</v>
      </c>
      <c r="AI145" s="1989">
        <v>10</v>
      </c>
      <c r="AJ145" s="1989">
        <v>2</v>
      </c>
      <c r="AK145" s="1989">
        <v>1</v>
      </c>
      <c r="AL145" s="1989">
        <v>0</v>
      </c>
      <c r="AM145" s="1989">
        <v>0</v>
      </c>
      <c r="AN145" s="1989">
        <v>0</v>
      </c>
      <c r="AO145" s="1989">
        <v>43</v>
      </c>
      <c r="AP145" s="1989">
        <v>201</v>
      </c>
      <c r="AQ145" s="1989">
        <v>162</v>
      </c>
      <c r="AR145" s="1989">
        <v>39</v>
      </c>
      <c r="AS145" s="1989">
        <v>29</v>
      </c>
      <c r="AT145" s="1988">
        <v>450</v>
      </c>
      <c r="AU145" s="1991"/>
      <c r="AV145" s="1991"/>
      <c r="AX145" s="1992"/>
      <c r="AY145" s="1992"/>
      <c r="AZ145" s="1992"/>
      <c r="BA145" s="1992"/>
      <c r="BB145" s="1992"/>
      <c r="BD145" s="1992"/>
      <c r="BE145" s="1992"/>
      <c r="BG145" s="1992"/>
      <c r="BI145" s="1992"/>
      <c r="BJ145" s="1992"/>
      <c r="BK145" s="1992"/>
    </row>
    <row r="146" spans="1:63" ht="12.75" x14ac:dyDescent="0.2">
      <c r="A146" s="1984">
        <v>139</v>
      </c>
      <c r="B146" s="1995" t="s">
        <v>172</v>
      </c>
      <c r="C146" s="1994" t="s">
        <v>173</v>
      </c>
      <c r="D146" s="1987">
        <v>703757</v>
      </c>
      <c r="E146" s="1988">
        <v>725775000</v>
      </c>
      <c r="F146" s="1989">
        <v>232647910</v>
      </c>
      <c r="G146" s="1989">
        <v>-3474868</v>
      </c>
      <c r="H146" s="1989">
        <v>5636547</v>
      </c>
      <c r="I146" s="1989">
        <v>2161679</v>
      </c>
      <c r="J146" s="1989">
        <v>-20786738</v>
      </c>
      <c r="K146" s="1989">
        <v>0</v>
      </c>
      <c r="L146" s="1989">
        <v>0</v>
      </c>
      <c r="M146" s="1989">
        <v>0</v>
      </c>
      <c r="N146" s="1989">
        <v>-7514155</v>
      </c>
      <c r="O146" s="1989">
        <v>-668584</v>
      </c>
      <c r="P146" s="1989">
        <v>-285394</v>
      </c>
      <c r="Q146" s="1989">
        <v>0</v>
      </c>
      <c r="R146" s="1989">
        <v>0</v>
      </c>
      <c r="S146" s="1989">
        <v>0</v>
      </c>
      <c r="T146" s="1989">
        <v>0</v>
      </c>
      <c r="U146" s="1989">
        <v>0</v>
      </c>
      <c r="V146" s="1989">
        <v>0</v>
      </c>
      <c r="W146" s="1989">
        <v>-232181</v>
      </c>
      <c r="X146" s="1989">
        <v>-1134</v>
      </c>
      <c r="Y146" s="1989">
        <v>-372665</v>
      </c>
      <c r="Z146" s="1989">
        <v>204948738</v>
      </c>
      <c r="AA146" s="1989">
        <v>-7843609</v>
      </c>
      <c r="AB146" s="1990"/>
      <c r="AC146" s="1989">
        <v>709</v>
      </c>
      <c r="AD146" s="1989">
        <v>0</v>
      </c>
      <c r="AE146" s="1989">
        <v>0</v>
      </c>
      <c r="AF146" s="1989">
        <v>0</v>
      </c>
      <c r="AG146" s="1989">
        <v>972</v>
      </c>
      <c r="AH146" s="1989">
        <v>170</v>
      </c>
      <c r="AI146" s="1989">
        <v>55</v>
      </c>
      <c r="AJ146" s="1989">
        <v>0</v>
      </c>
      <c r="AK146" s="1989">
        <v>0</v>
      </c>
      <c r="AL146" s="1989">
        <v>0</v>
      </c>
      <c r="AM146" s="1989">
        <v>0</v>
      </c>
      <c r="AN146" s="1989">
        <v>0</v>
      </c>
      <c r="AO146" s="1989">
        <v>3444</v>
      </c>
      <c r="AP146" s="1989">
        <v>1678</v>
      </c>
      <c r="AQ146" s="1989">
        <v>613</v>
      </c>
      <c r="AR146" s="1989">
        <v>1065</v>
      </c>
      <c r="AS146" s="1989">
        <v>5494</v>
      </c>
      <c r="AT146" s="1988">
        <v>10990</v>
      </c>
      <c r="AU146" s="1991"/>
      <c r="AV146" s="1991"/>
      <c r="AX146" s="1992"/>
      <c r="AY146" s="1992"/>
      <c r="AZ146" s="1992"/>
      <c r="BA146" s="1992"/>
      <c r="BB146" s="1992"/>
      <c r="BD146" s="1992"/>
      <c r="BE146" s="1992"/>
      <c r="BG146" s="1992"/>
      <c r="BI146" s="1992"/>
      <c r="BJ146" s="1992"/>
      <c r="BK146" s="1992"/>
    </row>
    <row r="147" spans="1:63" ht="12.75" x14ac:dyDescent="0.2">
      <c r="A147" s="1984">
        <v>140</v>
      </c>
      <c r="B147" s="1995" t="s">
        <v>174</v>
      </c>
      <c r="C147" s="1994" t="s">
        <v>175</v>
      </c>
      <c r="D147" s="1987">
        <v>649577</v>
      </c>
      <c r="E147" s="1988">
        <v>823689000</v>
      </c>
      <c r="F147" s="1989">
        <v>299502422</v>
      </c>
      <c r="G147" s="1989">
        <v>-1707205</v>
      </c>
      <c r="H147" s="1989">
        <v>7872572</v>
      </c>
      <c r="I147" s="1989">
        <v>6165367</v>
      </c>
      <c r="J147" s="1989">
        <v>-16480000</v>
      </c>
      <c r="K147" s="1989">
        <v>0</v>
      </c>
      <c r="L147" s="1989">
        <v>0</v>
      </c>
      <c r="M147" s="1989">
        <v>0</v>
      </c>
      <c r="N147" s="1989">
        <v>-8500000</v>
      </c>
      <c r="O147" s="1989">
        <v>-76627</v>
      </c>
      <c r="P147" s="1989">
        <v>-95725</v>
      </c>
      <c r="Q147" s="1989">
        <v>0</v>
      </c>
      <c r="R147" s="1989">
        <v>0</v>
      </c>
      <c r="S147" s="1989">
        <v>0</v>
      </c>
      <c r="T147" s="1989">
        <v>0</v>
      </c>
      <c r="U147" s="1989">
        <v>0</v>
      </c>
      <c r="V147" s="1989">
        <v>0</v>
      </c>
      <c r="W147" s="1989">
        <v>0</v>
      </c>
      <c r="X147" s="1989">
        <v>-110000</v>
      </c>
      <c r="Y147" s="1989">
        <v>-1466</v>
      </c>
      <c r="Z147" s="1989">
        <v>280403971</v>
      </c>
      <c r="AA147" s="1989">
        <v>-3000000</v>
      </c>
      <c r="AB147" s="1990"/>
      <c r="AC147" s="1989">
        <v>329</v>
      </c>
      <c r="AD147" s="1989">
        <v>0</v>
      </c>
      <c r="AE147" s="1989">
        <v>0</v>
      </c>
      <c r="AF147" s="1989">
        <v>0</v>
      </c>
      <c r="AG147" s="1989">
        <v>877</v>
      </c>
      <c r="AH147" s="1989">
        <v>57</v>
      </c>
      <c r="AI147" s="1989">
        <v>12</v>
      </c>
      <c r="AJ147" s="1989">
        <v>0</v>
      </c>
      <c r="AK147" s="1989">
        <v>0</v>
      </c>
      <c r="AL147" s="1989">
        <v>0</v>
      </c>
      <c r="AM147" s="1989">
        <v>0</v>
      </c>
      <c r="AN147" s="1989">
        <v>0</v>
      </c>
      <c r="AO147" s="1989">
        <v>4752</v>
      </c>
      <c r="AP147" s="1989">
        <v>846</v>
      </c>
      <c r="AQ147" s="1989">
        <v>358</v>
      </c>
      <c r="AR147" s="1989">
        <v>488</v>
      </c>
      <c r="AS147" s="1989">
        <v>2918</v>
      </c>
      <c r="AT147" s="1988">
        <v>8770</v>
      </c>
      <c r="AU147" s="1991"/>
      <c r="AV147" s="1991"/>
      <c r="AX147" s="1992"/>
      <c r="AY147" s="1992"/>
      <c r="AZ147" s="1992"/>
      <c r="BA147" s="1992"/>
      <c r="BB147" s="1992"/>
      <c r="BD147" s="1992"/>
      <c r="BE147" s="1992"/>
      <c r="BG147" s="1992"/>
      <c r="BI147" s="1992"/>
      <c r="BJ147" s="1992"/>
      <c r="BK147" s="1992"/>
    </row>
    <row r="148" spans="1:63" ht="12.75" x14ac:dyDescent="0.2">
      <c r="A148" s="1984">
        <v>141</v>
      </c>
      <c r="B148" s="1995" t="s">
        <v>176</v>
      </c>
      <c r="C148" s="1994" t="s">
        <v>177</v>
      </c>
      <c r="D148" s="1987">
        <v>110062</v>
      </c>
      <c r="E148" s="1988">
        <v>77537000</v>
      </c>
      <c r="F148" s="1989">
        <v>37683564</v>
      </c>
      <c r="G148" s="1989">
        <v>-1727859</v>
      </c>
      <c r="H148" s="1989">
        <v>870306.83940000006</v>
      </c>
      <c r="I148" s="1989">
        <v>-857552.16059999994</v>
      </c>
      <c r="J148" s="1989">
        <v>-2825283.0386999999</v>
      </c>
      <c r="K148" s="1989">
        <v>-72431</v>
      </c>
      <c r="L148" s="1989">
        <v>-5501</v>
      </c>
      <c r="M148" s="1989">
        <v>-2500</v>
      </c>
      <c r="N148" s="1989">
        <v>-347770</v>
      </c>
      <c r="O148" s="1989">
        <v>-11008</v>
      </c>
      <c r="P148" s="1989">
        <v>-33676</v>
      </c>
      <c r="Q148" s="1989">
        <v>-1841</v>
      </c>
      <c r="R148" s="1989">
        <v>-1371</v>
      </c>
      <c r="S148" s="1989">
        <v>0</v>
      </c>
      <c r="T148" s="1989">
        <v>-100000</v>
      </c>
      <c r="U148" s="1989">
        <v>0</v>
      </c>
      <c r="V148" s="1989">
        <v>0</v>
      </c>
      <c r="W148" s="1989">
        <v>-2500</v>
      </c>
      <c r="X148" s="1989">
        <v>-15000</v>
      </c>
      <c r="Y148" s="1989">
        <v>0</v>
      </c>
      <c r="Z148" s="1989">
        <v>33407130.800700001</v>
      </c>
      <c r="AA148" s="1989">
        <v>-200000</v>
      </c>
      <c r="AB148" s="1990"/>
      <c r="AC148" s="1989">
        <v>144</v>
      </c>
      <c r="AD148" s="1989">
        <v>14</v>
      </c>
      <c r="AE148" s="1989">
        <v>6</v>
      </c>
      <c r="AF148" s="1989">
        <v>0</v>
      </c>
      <c r="AG148" s="1989">
        <v>231</v>
      </c>
      <c r="AH148" s="1989">
        <v>37</v>
      </c>
      <c r="AI148" s="1989">
        <v>19</v>
      </c>
      <c r="AJ148" s="1989">
        <v>7</v>
      </c>
      <c r="AK148" s="1989">
        <v>1</v>
      </c>
      <c r="AL148" s="1989">
        <v>0</v>
      </c>
      <c r="AM148" s="1989">
        <v>0</v>
      </c>
      <c r="AN148" s="1989">
        <v>0</v>
      </c>
      <c r="AO148" s="1989">
        <v>959</v>
      </c>
      <c r="AP148" s="1989">
        <v>909</v>
      </c>
      <c r="AQ148" s="1989">
        <v>628</v>
      </c>
      <c r="AR148" s="1989">
        <v>281</v>
      </c>
      <c r="AS148" s="1989">
        <v>746</v>
      </c>
      <c r="AT148" s="1988">
        <v>2600</v>
      </c>
      <c r="AU148" s="1991"/>
      <c r="AV148" s="1991"/>
      <c r="AX148" s="1992"/>
      <c r="AY148" s="1992"/>
      <c r="AZ148" s="1992"/>
      <c r="BA148" s="1992"/>
      <c r="BB148" s="1992"/>
      <c r="BD148" s="1992"/>
      <c r="BE148" s="1992"/>
      <c r="BG148" s="1992"/>
      <c r="BI148" s="1992"/>
      <c r="BJ148" s="1992"/>
      <c r="BK148" s="1992"/>
    </row>
    <row r="149" spans="1:63" ht="12.75" x14ac:dyDescent="0.2">
      <c r="A149" s="1984">
        <v>142</v>
      </c>
      <c r="B149" s="1996" t="s">
        <v>2343</v>
      </c>
      <c r="C149" s="1994" t="s">
        <v>179</v>
      </c>
      <c r="D149" s="1987">
        <v>220343</v>
      </c>
      <c r="E149" s="1988">
        <v>114058000</v>
      </c>
      <c r="F149" s="1989">
        <v>53969854</v>
      </c>
      <c r="G149" s="1989">
        <v>-3481623</v>
      </c>
      <c r="H149" s="1989">
        <v>1197885</v>
      </c>
      <c r="I149" s="1989">
        <v>-2283738</v>
      </c>
      <c r="J149" s="1989">
        <v>-2814826</v>
      </c>
      <c r="K149" s="1989">
        <v>-26430</v>
      </c>
      <c r="L149" s="1989">
        <v>-83153</v>
      </c>
      <c r="M149" s="1989">
        <v>-9043</v>
      </c>
      <c r="N149" s="1989">
        <v>-1102497</v>
      </c>
      <c r="O149" s="1989">
        <v>-214794</v>
      </c>
      <c r="P149" s="1989">
        <v>-47151</v>
      </c>
      <c r="Q149" s="1989">
        <v>0</v>
      </c>
      <c r="R149" s="1989">
        <v>-28927</v>
      </c>
      <c r="S149" s="1989">
        <v>-19837</v>
      </c>
      <c r="T149" s="1989">
        <v>0</v>
      </c>
      <c r="U149" s="1989">
        <v>0</v>
      </c>
      <c r="V149" s="1989">
        <v>0</v>
      </c>
      <c r="W149" s="1989">
        <v>-6926</v>
      </c>
      <c r="X149" s="1989">
        <v>-2173</v>
      </c>
      <c r="Y149" s="1989">
        <v>-23619</v>
      </c>
      <c r="Z149" s="1989">
        <v>47248646</v>
      </c>
      <c r="AA149" s="1989">
        <v>-3001722</v>
      </c>
      <c r="AB149" s="1990"/>
      <c r="AC149" s="1989">
        <v>326</v>
      </c>
      <c r="AD149" s="1989">
        <v>7</v>
      </c>
      <c r="AE149" s="1989">
        <v>70</v>
      </c>
      <c r="AF149" s="1989">
        <v>1</v>
      </c>
      <c r="AG149" s="1989">
        <v>291</v>
      </c>
      <c r="AH149" s="1989">
        <v>194</v>
      </c>
      <c r="AI149" s="1989">
        <v>35</v>
      </c>
      <c r="AJ149" s="1989">
        <v>0</v>
      </c>
      <c r="AK149" s="1989">
        <v>38</v>
      </c>
      <c r="AL149" s="1989">
        <v>11</v>
      </c>
      <c r="AM149" s="1989">
        <v>0</v>
      </c>
      <c r="AN149" s="1989">
        <v>0</v>
      </c>
      <c r="AO149" s="1989">
        <v>1677</v>
      </c>
      <c r="AP149" s="1989">
        <v>2306</v>
      </c>
      <c r="AQ149" s="1989">
        <v>1775</v>
      </c>
      <c r="AR149" s="1989">
        <v>531</v>
      </c>
      <c r="AS149" s="1989">
        <v>1591</v>
      </c>
      <c r="AT149" s="1988">
        <v>5660</v>
      </c>
      <c r="AU149" s="1991"/>
      <c r="AV149" s="1991"/>
      <c r="AX149" s="1992"/>
      <c r="AY149" s="1992"/>
      <c r="AZ149" s="1992"/>
      <c r="BA149" s="1992"/>
      <c r="BB149" s="1992"/>
      <c r="BD149" s="1992"/>
      <c r="BE149" s="1992"/>
      <c r="BG149" s="1992"/>
      <c r="BI149" s="1992"/>
      <c r="BJ149" s="1992"/>
      <c r="BK149" s="1992"/>
    </row>
    <row r="150" spans="1:63" ht="12.75" x14ac:dyDescent="0.2">
      <c r="A150" s="1984">
        <v>143</v>
      </c>
      <c r="B150" s="1996" t="s">
        <v>2339</v>
      </c>
      <c r="C150" s="1994" t="s">
        <v>181</v>
      </c>
      <c r="D150" s="1987">
        <v>356488</v>
      </c>
      <c r="E150" s="1988">
        <v>220037000</v>
      </c>
      <c r="F150" s="1989">
        <v>112209510</v>
      </c>
      <c r="G150" s="1989">
        <v>-5889000</v>
      </c>
      <c r="H150" s="1989">
        <v>2564563</v>
      </c>
      <c r="I150" s="1989">
        <v>-3324437</v>
      </c>
      <c r="J150" s="1989">
        <v>-7199120</v>
      </c>
      <c r="K150" s="1989">
        <v>-15000</v>
      </c>
      <c r="L150" s="1989">
        <v>0</v>
      </c>
      <c r="M150" s="1989">
        <v>0</v>
      </c>
      <c r="N150" s="1989">
        <v>-2652066</v>
      </c>
      <c r="O150" s="1989">
        <v>-5641</v>
      </c>
      <c r="P150" s="1989">
        <v>-1142947</v>
      </c>
      <c r="Q150" s="1989">
        <v>-15000</v>
      </c>
      <c r="R150" s="1989">
        <v>0</v>
      </c>
      <c r="S150" s="1989">
        <v>0</v>
      </c>
      <c r="T150" s="1989">
        <v>0</v>
      </c>
      <c r="U150" s="1989">
        <v>0</v>
      </c>
      <c r="V150" s="1989">
        <v>0</v>
      </c>
      <c r="W150" s="1989">
        <v>-90000</v>
      </c>
      <c r="X150" s="1989">
        <v>-120000</v>
      </c>
      <c r="Y150" s="1989">
        <v>-10664</v>
      </c>
      <c r="Z150" s="1989">
        <v>97634635</v>
      </c>
      <c r="AA150" s="1989">
        <v>-900000</v>
      </c>
      <c r="AB150" s="1990"/>
      <c r="AC150" s="1989">
        <v>414</v>
      </c>
      <c r="AD150" s="1989">
        <v>3</v>
      </c>
      <c r="AE150" s="1989">
        <v>0</v>
      </c>
      <c r="AF150" s="1989">
        <v>0</v>
      </c>
      <c r="AG150" s="1989">
        <v>774</v>
      </c>
      <c r="AH150" s="1989">
        <v>2</v>
      </c>
      <c r="AI150" s="1989">
        <v>41</v>
      </c>
      <c r="AJ150" s="1989">
        <v>0</v>
      </c>
      <c r="AK150" s="1989">
        <v>0</v>
      </c>
      <c r="AL150" s="1989">
        <v>0</v>
      </c>
      <c r="AM150" s="1989">
        <v>0</v>
      </c>
      <c r="AN150" s="1989">
        <v>0</v>
      </c>
      <c r="AO150" s="1989">
        <v>3499</v>
      </c>
      <c r="AP150" s="1989">
        <v>3011</v>
      </c>
      <c r="AQ150" s="1989">
        <v>2016</v>
      </c>
      <c r="AR150" s="1989">
        <v>995</v>
      </c>
      <c r="AS150" s="1989">
        <v>2276</v>
      </c>
      <c r="AT150" s="1988">
        <v>8840</v>
      </c>
      <c r="AU150" s="1991"/>
      <c r="AV150" s="1991"/>
      <c r="AX150" s="1992"/>
      <c r="AY150" s="1992"/>
      <c r="AZ150" s="1992"/>
      <c r="BA150" s="1992"/>
      <c r="BB150" s="1992"/>
      <c r="BD150" s="1992"/>
      <c r="BE150" s="1992"/>
      <c r="BG150" s="1992"/>
      <c r="BI150" s="1992"/>
      <c r="BJ150" s="1992"/>
      <c r="BK150" s="1992"/>
    </row>
    <row r="151" spans="1:63" ht="12.75" x14ac:dyDescent="0.2">
      <c r="A151" s="1984">
        <v>144</v>
      </c>
      <c r="B151" s="1995" t="s">
        <v>182</v>
      </c>
      <c r="C151" s="1994" t="s">
        <v>183</v>
      </c>
      <c r="D151" s="1987">
        <v>243188</v>
      </c>
      <c r="E151" s="1988">
        <v>216391000</v>
      </c>
      <c r="F151" s="1989">
        <v>96015111</v>
      </c>
      <c r="G151" s="1989">
        <v>-2439601</v>
      </c>
      <c r="H151" s="1989">
        <v>2280004</v>
      </c>
      <c r="I151" s="1989">
        <v>-159597</v>
      </c>
      <c r="J151" s="1989">
        <v>-6044330</v>
      </c>
      <c r="K151" s="1989">
        <v>-130557</v>
      </c>
      <c r="L151" s="1989">
        <v>0</v>
      </c>
      <c r="M151" s="1989">
        <v>-23132</v>
      </c>
      <c r="N151" s="1989">
        <v>-3646045</v>
      </c>
      <c r="O151" s="1989">
        <v>-53605</v>
      </c>
      <c r="P151" s="1989">
        <v>-393238</v>
      </c>
      <c r="Q151" s="1989">
        <v>0</v>
      </c>
      <c r="R151" s="1989">
        <v>0</v>
      </c>
      <c r="S151" s="1989">
        <v>0</v>
      </c>
      <c r="T151" s="1989">
        <v>0</v>
      </c>
      <c r="U151" s="1989">
        <v>0</v>
      </c>
      <c r="V151" s="1989">
        <v>0</v>
      </c>
      <c r="W151" s="1989">
        <v>0</v>
      </c>
      <c r="X151" s="1989">
        <v>0</v>
      </c>
      <c r="Y151" s="1989">
        <v>0</v>
      </c>
      <c r="Z151" s="1989">
        <v>85114607</v>
      </c>
      <c r="AA151" s="1989">
        <v>-600000</v>
      </c>
      <c r="AB151" s="1990"/>
      <c r="AC151" s="1989">
        <v>213</v>
      </c>
      <c r="AD151" s="1989">
        <v>10</v>
      </c>
      <c r="AE151" s="1989">
        <v>0</v>
      </c>
      <c r="AF151" s="1989">
        <v>1</v>
      </c>
      <c r="AG151" s="1989">
        <v>588</v>
      </c>
      <c r="AH151" s="1989">
        <v>20</v>
      </c>
      <c r="AI151" s="1989">
        <v>30</v>
      </c>
      <c r="AJ151" s="1989">
        <v>0</v>
      </c>
      <c r="AK151" s="1989">
        <v>0</v>
      </c>
      <c r="AL151" s="1989">
        <v>0</v>
      </c>
      <c r="AM151" s="1989">
        <v>0</v>
      </c>
      <c r="AN151" s="1989">
        <v>0</v>
      </c>
      <c r="AO151" s="1989">
        <v>1833</v>
      </c>
      <c r="AP151" s="1989">
        <v>1301</v>
      </c>
      <c r="AQ151" s="1989">
        <v>748</v>
      </c>
      <c r="AR151" s="1989">
        <v>553</v>
      </c>
      <c r="AS151" s="1989">
        <v>1656</v>
      </c>
      <c r="AT151" s="1988">
        <v>4700</v>
      </c>
      <c r="AU151" s="1991"/>
      <c r="AV151" s="1991"/>
      <c r="AX151" s="1992"/>
      <c r="AY151" s="1992"/>
      <c r="AZ151" s="1992"/>
      <c r="BA151" s="1992"/>
      <c r="BB151" s="1992"/>
      <c r="BD151" s="1992"/>
      <c r="BE151" s="1992"/>
      <c r="BG151" s="1992"/>
      <c r="BI151" s="1992"/>
      <c r="BJ151" s="1992"/>
      <c r="BK151" s="1992"/>
    </row>
    <row r="152" spans="1:63" ht="12.75" x14ac:dyDescent="0.2">
      <c r="A152" s="1984">
        <v>145</v>
      </c>
      <c r="B152" s="1995" t="s">
        <v>184</v>
      </c>
      <c r="C152" s="1994" t="s">
        <v>185</v>
      </c>
      <c r="D152" s="1987">
        <v>600133</v>
      </c>
      <c r="E152" s="1988">
        <v>283366000</v>
      </c>
      <c r="F152" s="1989">
        <v>136031308</v>
      </c>
      <c r="G152" s="1989">
        <v>-13765047</v>
      </c>
      <c r="H152" s="1989">
        <v>2931219</v>
      </c>
      <c r="I152" s="1989">
        <v>-10833828</v>
      </c>
      <c r="J152" s="1989">
        <v>-7469088</v>
      </c>
      <c r="K152" s="1989">
        <v>-210067</v>
      </c>
      <c r="L152" s="1989">
        <v>-5979</v>
      </c>
      <c r="M152" s="1989">
        <v>-102417</v>
      </c>
      <c r="N152" s="1989">
        <v>-5829608</v>
      </c>
      <c r="O152" s="1989">
        <v>-250829</v>
      </c>
      <c r="P152" s="1989">
        <v>-96739</v>
      </c>
      <c r="Q152" s="1989">
        <v>-1997</v>
      </c>
      <c r="R152" s="1989">
        <v>-2770</v>
      </c>
      <c r="S152" s="1989">
        <v>-125606</v>
      </c>
      <c r="T152" s="1989">
        <v>-100000</v>
      </c>
      <c r="U152" s="1989">
        <v>0</v>
      </c>
      <c r="V152" s="1989">
        <v>0</v>
      </c>
      <c r="W152" s="1989">
        <v>0</v>
      </c>
      <c r="X152" s="1989">
        <v>-158926</v>
      </c>
      <c r="Y152" s="1989">
        <v>0</v>
      </c>
      <c r="Z152" s="1989">
        <v>110843454</v>
      </c>
      <c r="AA152" s="1989">
        <v>-3000000</v>
      </c>
      <c r="AB152" s="1990"/>
      <c r="AC152" s="1989">
        <v>509</v>
      </c>
      <c r="AD152" s="1989">
        <v>33</v>
      </c>
      <c r="AE152" s="1989">
        <v>3</v>
      </c>
      <c r="AF152" s="1989">
        <v>3</v>
      </c>
      <c r="AG152" s="1989">
        <v>2245</v>
      </c>
      <c r="AH152" s="1989">
        <v>71</v>
      </c>
      <c r="AI152" s="1989">
        <v>28</v>
      </c>
      <c r="AJ152" s="1989">
        <v>1</v>
      </c>
      <c r="AK152" s="1989">
        <v>2</v>
      </c>
      <c r="AL152" s="1989">
        <v>40</v>
      </c>
      <c r="AM152" s="1989">
        <v>0</v>
      </c>
      <c r="AN152" s="1989">
        <v>0</v>
      </c>
      <c r="AO152" s="1989">
        <v>5824</v>
      </c>
      <c r="AP152" s="1989">
        <v>6863</v>
      </c>
      <c r="AQ152" s="1989">
        <v>5062</v>
      </c>
      <c r="AR152" s="1989">
        <v>1801</v>
      </c>
      <c r="AS152" s="1989">
        <v>2783</v>
      </c>
      <c r="AT152" s="1988">
        <v>15560</v>
      </c>
      <c r="AU152" s="1991"/>
      <c r="AV152" s="1991"/>
      <c r="AX152" s="1992"/>
      <c r="AY152" s="1992"/>
      <c r="AZ152" s="1992"/>
      <c r="BA152" s="1992"/>
      <c r="BB152" s="1992"/>
      <c r="BD152" s="1992"/>
      <c r="BE152" s="1992"/>
      <c r="BG152" s="1992"/>
      <c r="BI152" s="1992"/>
      <c r="BJ152" s="1992"/>
      <c r="BK152" s="1992"/>
    </row>
    <row r="153" spans="1:63" ht="12.75" x14ac:dyDescent="0.2">
      <c r="A153" s="1984">
        <v>146</v>
      </c>
      <c r="B153" s="1995" t="s">
        <v>186</v>
      </c>
      <c r="C153" s="1994" t="s">
        <v>187</v>
      </c>
      <c r="D153" s="1987">
        <v>143792</v>
      </c>
      <c r="E153" s="1988">
        <v>114861000</v>
      </c>
      <c r="F153" s="1989">
        <v>50387842</v>
      </c>
      <c r="G153" s="1989">
        <v>-1960018</v>
      </c>
      <c r="H153" s="1989">
        <v>1200784</v>
      </c>
      <c r="I153" s="1989">
        <v>-759234</v>
      </c>
      <c r="J153" s="1989">
        <v>-2111504</v>
      </c>
      <c r="K153" s="1989">
        <v>-15864</v>
      </c>
      <c r="L153" s="1989">
        <v>0</v>
      </c>
      <c r="M153" s="1989">
        <v>-250000</v>
      </c>
      <c r="N153" s="1989">
        <v>-902242</v>
      </c>
      <c r="O153" s="1989">
        <v>-154150</v>
      </c>
      <c r="P153" s="1989">
        <v>-1505</v>
      </c>
      <c r="Q153" s="1989">
        <v>0</v>
      </c>
      <c r="R153" s="1989">
        <v>0</v>
      </c>
      <c r="S153" s="1989">
        <v>0</v>
      </c>
      <c r="T153" s="1989">
        <v>0</v>
      </c>
      <c r="U153" s="1989">
        <v>0</v>
      </c>
      <c r="V153" s="1989">
        <v>0</v>
      </c>
      <c r="W153" s="1989">
        <v>-65000</v>
      </c>
      <c r="X153" s="1989">
        <v>-31000</v>
      </c>
      <c r="Y153" s="1989">
        <v>-1300</v>
      </c>
      <c r="Z153" s="1989">
        <v>43426431</v>
      </c>
      <c r="AA153" s="1989">
        <v>-1364385</v>
      </c>
      <c r="AB153" s="1990"/>
      <c r="AC153" s="1989">
        <v>140</v>
      </c>
      <c r="AD153" s="1989">
        <v>3</v>
      </c>
      <c r="AE153" s="1989">
        <v>0</v>
      </c>
      <c r="AF153" s="1989">
        <v>0</v>
      </c>
      <c r="AG153" s="1989">
        <v>300</v>
      </c>
      <c r="AH153" s="1989">
        <v>40</v>
      </c>
      <c r="AI153" s="1989">
        <v>2</v>
      </c>
      <c r="AJ153" s="1989">
        <v>0</v>
      </c>
      <c r="AK153" s="1989">
        <v>0</v>
      </c>
      <c r="AL153" s="1989">
        <v>0</v>
      </c>
      <c r="AM153" s="1989">
        <v>0</v>
      </c>
      <c r="AN153" s="1989">
        <v>0</v>
      </c>
      <c r="AO153" s="1989">
        <v>1365</v>
      </c>
      <c r="AP153" s="1989">
        <v>1036</v>
      </c>
      <c r="AQ153" s="1989">
        <v>726</v>
      </c>
      <c r="AR153" s="1989">
        <v>310</v>
      </c>
      <c r="AS153" s="1989">
        <v>824</v>
      </c>
      <c r="AT153" s="1988">
        <v>3300</v>
      </c>
      <c r="AU153" s="1991"/>
      <c r="AV153" s="1991"/>
      <c r="AX153" s="1992"/>
      <c r="AY153" s="1992"/>
      <c r="AZ153" s="1992"/>
      <c r="BA153" s="1992"/>
      <c r="BB153" s="1992"/>
      <c r="BD153" s="1992"/>
      <c r="BE153" s="1992"/>
      <c r="BG153" s="1992"/>
      <c r="BI153" s="1992"/>
      <c r="BJ153" s="1992"/>
      <c r="BK153" s="1992"/>
    </row>
    <row r="154" spans="1:63" ht="12.75" x14ac:dyDescent="0.2">
      <c r="A154" s="1984">
        <v>147</v>
      </c>
      <c r="B154" s="1995" t="s">
        <v>188</v>
      </c>
      <c r="C154" s="1994" t="s">
        <v>189</v>
      </c>
      <c r="D154" s="1987">
        <v>507754</v>
      </c>
      <c r="E154" s="1988">
        <v>426161000</v>
      </c>
      <c r="F154" s="1989">
        <v>149302332</v>
      </c>
      <c r="G154" s="1989">
        <v>-5759801</v>
      </c>
      <c r="H154" s="1989">
        <v>3466345</v>
      </c>
      <c r="I154" s="1989">
        <v>-2293456</v>
      </c>
      <c r="J154" s="1989">
        <v>-16594387</v>
      </c>
      <c r="K154" s="1989">
        <v>-7853</v>
      </c>
      <c r="L154" s="1989">
        <v>0</v>
      </c>
      <c r="M154" s="1989">
        <v>0</v>
      </c>
      <c r="N154" s="1989">
        <v>-1160940</v>
      </c>
      <c r="O154" s="1989">
        <v>-200005</v>
      </c>
      <c r="P154" s="1989">
        <v>-325089</v>
      </c>
      <c r="Q154" s="1989">
        <v>0</v>
      </c>
      <c r="R154" s="1989">
        <v>0</v>
      </c>
      <c r="S154" s="1989">
        <v>0</v>
      </c>
      <c r="T154" s="1989">
        <v>0</v>
      </c>
      <c r="U154" s="1989">
        <v>0</v>
      </c>
      <c r="V154" s="1989">
        <v>0</v>
      </c>
      <c r="W154" s="1989">
        <v>-25223</v>
      </c>
      <c r="X154" s="1989">
        <v>-3025</v>
      </c>
      <c r="Y154" s="1989">
        <v>0</v>
      </c>
      <c r="Z154" s="1989">
        <v>128692354</v>
      </c>
      <c r="AA154" s="1989">
        <v>-4258574</v>
      </c>
      <c r="AB154" s="1990"/>
      <c r="AC154" s="1989">
        <v>647</v>
      </c>
      <c r="AD154" s="1989">
        <v>2</v>
      </c>
      <c r="AE154" s="1989">
        <v>0</v>
      </c>
      <c r="AF154" s="1989">
        <v>0</v>
      </c>
      <c r="AG154" s="1989">
        <v>696</v>
      </c>
      <c r="AH154" s="1989">
        <v>79</v>
      </c>
      <c r="AI154" s="1989">
        <v>32</v>
      </c>
      <c r="AJ154" s="1989">
        <v>0</v>
      </c>
      <c r="AK154" s="1989">
        <v>0</v>
      </c>
      <c r="AL154" s="1989">
        <v>0</v>
      </c>
      <c r="AM154" s="1989">
        <v>0</v>
      </c>
      <c r="AN154" s="1989">
        <v>0</v>
      </c>
      <c r="AO154" s="1989">
        <v>2704</v>
      </c>
      <c r="AP154" s="1989">
        <v>2835</v>
      </c>
      <c r="AQ154" s="1989">
        <v>1583</v>
      </c>
      <c r="AR154" s="1989">
        <v>1252</v>
      </c>
      <c r="AS154" s="1989">
        <v>3178</v>
      </c>
      <c r="AT154" s="1988">
        <v>8800</v>
      </c>
      <c r="AU154" s="1991"/>
      <c r="AV154" s="1991"/>
      <c r="AX154" s="1992"/>
      <c r="AY154" s="1992"/>
      <c r="AZ154" s="1992"/>
      <c r="BA154" s="1992"/>
      <c r="BB154" s="1992"/>
      <c r="BD154" s="1992"/>
      <c r="BE154" s="1992"/>
      <c r="BG154" s="1992"/>
      <c r="BI154" s="1992"/>
      <c r="BJ154" s="1992"/>
      <c r="BK154" s="1992"/>
    </row>
    <row r="155" spans="1:63" ht="12.75" x14ac:dyDescent="0.2">
      <c r="A155" s="1984">
        <v>148</v>
      </c>
      <c r="B155" s="1995" t="s">
        <v>190</v>
      </c>
      <c r="C155" s="1994" t="s">
        <v>191</v>
      </c>
      <c r="D155" s="1987">
        <v>217329</v>
      </c>
      <c r="E155" s="1988">
        <v>159799000</v>
      </c>
      <c r="F155" s="1989">
        <v>71239478</v>
      </c>
      <c r="G155" s="1989">
        <v>-3378015</v>
      </c>
      <c r="H155" s="1989">
        <v>1792936</v>
      </c>
      <c r="I155" s="1989">
        <v>-1585079</v>
      </c>
      <c r="J155" s="1989">
        <v>-3568539</v>
      </c>
      <c r="K155" s="1989">
        <v>-44223</v>
      </c>
      <c r="L155" s="1989">
        <v>-26484</v>
      </c>
      <c r="M155" s="1989">
        <v>0</v>
      </c>
      <c r="N155" s="1989">
        <v>-1007321</v>
      </c>
      <c r="O155" s="1989">
        <v>-97738</v>
      </c>
      <c r="P155" s="1989">
        <v>-41879</v>
      </c>
      <c r="Q155" s="1989">
        <v>-2410</v>
      </c>
      <c r="R155" s="1989">
        <v>0</v>
      </c>
      <c r="S155" s="1989">
        <v>0</v>
      </c>
      <c r="T155" s="1989">
        <v>0</v>
      </c>
      <c r="U155" s="1989">
        <v>0</v>
      </c>
      <c r="V155" s="1989">
        <v>0</v>
      </c>
      <c r="W155" s="1989">
        <v>-15158</v>
      </c>
      <c r="X155" s="1989">
        <v>-19170</v>
      </c>
      <c r="Y155" s="1989">
        <v>-20045</v>
      </c>
      <c r="Z155" s="1989">
        <v>64650814</v>
      </c>
      <c r="AA155" s="1989">
        <v>-2214728</v>
      </c>
      <c r="AB155" s="1990"/>
      <c r="AC155" s="1989">
        <v>253</v>
      </c>
      <c r="AD155" s="1989">
        <v>26</v>
      </c>
      <c r="AE155" s="1989">
        <v>22</v>
      </c>
      <c r="AF155" s="1989">
        <v>0</v>
      </c>
      <c r="AG155" s="1989">
        <v>446</v>
      </c>
      <c r="AH155" s="1989">
        <v>110</v>
      </c>
      <c r="AI155" s="1989">
        <v>9</v>
      </c>
      <c r="AJ155" s="1989">
        <v>13</v>
      </c>
      <c r="AK155" s="1989">
        <v>0</v>
      </c>
      <c r="AL155" s="1989">
        <v>0</v>
      </c>
      <c r="AM155" s="1989">
        <v>0</v>
      </c>
      <c r="AN155" s="1989">
        <v>0</v>
      </c>
      <c r="AO155" s="1989">
        <v>1762</v>
      </c>
      <c r="AP155" s="1989">
        <v>2115</v>
      </c>
      <c r="AQ155" s="1989">
        <v>1627</v>
      </c>
      <c r="AR155" s="1989">
        <v>488</v>
      </c>
      <c r="AS155" s="1989">
        <v>1255</v>
      </c>
      <c r="AT155" s="1988">
        <v>5160</v>
      </c>
      <c r="AU155" s="1991"/>
      <c r="AV155" s="1991"/>
      <c r="AX155" s="1992"/>
      <c r="AY155" s="1992"/>
      <c r="AZ155" s="1992"/>
      <c r="BA155" s="1992"/>
      <c r="BB155" s="1992"/>
      <c r="BD155" s="1992"/>
      <c r="BE155" s="1992"/>
      <c r="BG155" s="1992"/>
      <c r="BI155" s="1992"/>
      <c r="BJ155" s="1992"/>
      <c r="BK155" s="1992"/>
    </row>
    <row r="156" spans="1:63" ht="12.75" x14ac:dyDescent="0.2">
      <c r="A156" s="1984">
        <v>149</v>
      </c>
      <c r="B156" s="1995" t="s">
        <v>192</v>
      </c>
      <c r="C156" s="1994" t="s">
        <v>193</v>
      </c>
      <c r="D156" s="1987">
        <v>1204810</v>
      </c>
      <c r="E156" s="1988">
        <v>907803000</v>
      </c>
      <c r="F156" s="1989">
        <v>457809844</v>
      </c>
      <c r="G156" s="1989">
        <v>-16780801</v>
      </c>
      <c r="H156" s="1989">
        <v>10617182</v>
      </c>
      <c r="I156" s="1989">
        <v>-6163619</v>
      </c>
      <c r="J156" s="1989">
        <v>-23814258</v>
      </c>
      <c r="K156" s="1989">
        <v>-318757</v>
      </c>
      <c r="L156" s="1989">
        <v>-11480</v>
      </c>
      <c r="M156" s="1989">
        <v>-500000</v>
      </c>
      <c r="N156" s="1989">
        <v>-20000000</v>
      </c>
      <c r="O156" s="1989">
        <v>-52972</v>
      </c>
      <c r="P156" s="1989">
        <v>-489891</v>
      </c>
      <c r="Q156" s="1989">
        <v>-44037</v>
      </c>
      <c r="R156" s="1989">
        <v>-6461</v>
      </c>
      <c r="S156" s="1989">
        <v>-5023</v>
      </c>
      <c r="T156" s="1989">
        <v>-670000</v>
      </c>
      <c r="U156" s="1989">
        <v>-370000</v>
      </c>
      <c r="V156" s="1989">
        <v>0</v>
      </c>
      <c r="W156" s="1989">
        <v>-50000</v>
      </c>
      <c r="X156" s="1989">
        <v>-202149</v>
      </c>
      <c r="Y156" s="1989">
        <v>-50000</v>
      </c>
      <c r="Z156" s="1989">
        <v>404931197</v>
      </c>
      <c r="AA156" s="1989">
        <v>-5682229</v>
      </c>
      <c r="AB156" s="1990"/>
      <c r="AC156" s="1989">
        <v>1130</v>
      </c>
      <c r="AD156" s="1989">
        <v>64</v>
      </c>
      <c r="AE156" s="1989">
        <v>8</v>
      </c>
      <c r="AF156" s="1989">
        <v>5</v>
      </c>
      <c r="AG156" s="1989">
        <v>2547</v>
      </c>
      <c r="AH156" s="1989">
        <v>40</v>
      </c>
      <c r="AI156" s="1989">
        <v>158</v>
      </c>
      <c r="AJ156" s="1989">
        <v>53</v>
      </c>
      <c r="AK156" s="1989">
        <v>5</v>
      </c>
      <c r="AL156" s="1989">
        <v>8</v>
      </c>
      <c r="AM156" s="1989">
        <v>4</v>
      </c>
      <c r="AN156" s="1989">
        <v>15</v>
      </c>
      <c r="AO156" s="1989">
        <v>11704</v>
      </c>
      <c r="AP156" s="1989">
        <v>8781</v>
      </c>
      <c r="AQ156" s="1989">
        <v>5503</v>
      </c>
      <c r="AR156" s="1989">
        <v>3278</v>
      </c>
      <c r="AS156" s="1989">
        <v>7255</v>
      </c>
      <c r="AT156" s="1988">
        <v>28210</v>
      </c>
      <c r="AU156" s="1991"/>
      <c r="AV156" s="1991"/>
      <c r="AX156" s="1992"/>
      <c r="AY156" s="1992"/>
      <c r="AZ156" s="1992"/>
      <c r="BA156" s="1992"/>
      <c r="BB156" s="1992"/>
      <c r="BD156" s="1992"/>
      <c r="BE156" s="1992"/>
      <c r="BG156" s="1992"/>
      <c r="BI156" s="1992"/>
      <c r="BJ156" s="1992"/>
      <c r="BK156" s="1992"/>
    </row>
    <row r="157" spans="1:63" ht="12.75" x14ac:dyDescent="0.2">
      <c r="A157" s="1984">
        <v>150</v>
      </c>
      <c r="B157" s="1996" t="s">
        <v>713</v>
      </c>
      <c r="C157" s="1994" t="s">
        <v>195</v>
      </c>
      <c r="D157" s="1987">
        <v>491838</v>
      </c>
      <c r="E157" s="1988">
        <v>308764000</v>
      </c>
      <c r="F157" s="1989">
        <v>127316034</v>
      </c>
      <c r="G157" s="1989">
        <v>-8691436</v>
      </c>
      <c r="H157" s="1989">
        <v>2829355</v>
      </c>
      <c r="I157" s="1989">
        <v>-5862081</v>
      </c>
      <c r="J157" s="1989">
        <v>-8115835</v>
      </c>
      <c r="K157" s="1989">
        <v>-43756</v>
      </c>
      <c r="L157" s="1989">
        <v>0</v>
      </c>
      <c r="M157" s="1989">
        <v>-70000</v>
      </c>
      <c r="N157" s="1989">
        <v>-2634441</v>
      </c>
      <c r="O157" s="1989">
        <v>-351166</v>
      </c>
      <c r="P157" s="1989">
        <v>-173857</v>
      </c>
      <c r="Q157" s="1989">
        <v>0</v>
      </c>
      <c r="R157" s="1989">
        <v>0</v>
      </c>
      <c r="S157" s="1989">
        <v>0</v>
      </c>
      <c r="T157" s="1989">
        <v>-400000</v>
      </c>
      <c r="U157" s="1989">
        <v>0</v>
      </c>
      <c r="V157" s="1989">
        <v>0</v>
      </c>
      <c r="W157" s="1989">
        <v>-70000</v>
      </c>
      <c r="X157" s="1989">
        <v>-109497</v>
      </c>
      <c r="Y157" s="1989">
        <v>-372</v>
      </c>
      <c r="Z157" s="1989">
        <v>107385029</v>
      </c>
      <c r="AA157" s="1989">
        <v>-1210780</v>
      </c>
      <c r="AB157" s="1990"/>
      <c r="AC157" s="1989">
        <v>438</v>
      </c>
      <c r="AD157" s="1989">
        <v>8</v>
      </c>
      <c r="AE157" s="1989">
        <v>0</v>
      </c>
      <c r="AF157" s="1989">
        <v>6</v>
      </c>
      <c r="AG157" s="1989">
        <v>1170</v>
      </c>
      <c r="AH157" s="1989">
        <v>243</v>
      </c>
      <c r="AI157" s="1989">
        <v>43</v>
      </c>
      <c r="AJ157" s="1989">
        <v>0</v>
      </c>
      <c r="AK157" s="1989">
        <v>0</v>
      </c>
      <c r="AL157" s="1989">
        <v>0</v>
      </c>
      <c r="AM157" s="1989">
        <v>0</v>
      </c>
      <c r="AN157" s="1989">
        <v>5</v>
      </c>
      <c r="AO157" s="1989">
        <v>4195</v>
      </c>
      <c r="AP157" s="1989">
        <v>4824</v>
      </c>
      <c r="AQ157" s="1989">
        <v>3485</v>
      </c>
      <c r="AR157" s="1989">
        <v>1339</v>
      </c>
      <c r="AS157" s="1989">
        <v>2970</v>
      </c>
      <c r="AT157" s="1988">
        <v>12150</v>
      </c>
      <c r="AU157" s="1991"/>
      <c r="AV157" s="1991"/>
      <c r="AX157" s="1992"/>
      <c r="AY157" s="1992"/>
      <c r="AZ157" s="1992"/>
      <c r="BA157" s="1992"/>
      <c r="BB157" s="1992"/>
      <c r="BD157" s="1992"/>
      <c r="BE157" s="1992"/>
      <c r="BG157" s="1992"/>
      <c r="BI157" s="1992"/>
      <c r="BJ157" s="1992"/>
      <c r="BK157" s="1992"/>
    </row>
    <row r="158" spans="1:63" ht="12.75" x14ac:dyDescent="0.2">
      <c r="A158" s="1984">
        <v>151</v>
      </c>
      <c r="B158" s="1995" t="s">
        <v>196</v>
      </c>
      <c r="C158" s="1994" t="s">
        <v>197</v>
      </c>
      <c r="D158" s="1987">
        <v>130669</v>
      </c>
      <c r="E158" s="1988">
        <v>70010000</v>
      </c>
      <c r="F158" s="1989">
        <v>31314427</v>
      </c>
      <c r="G158" s="1989">
        <v>-2470738</v>
      </c>
      <c r="H158" s="1989">
        <v>656018</v>
      </c>
      <c r="I158" s="1989">
        <v>-1814720</v>
      </c>
      <c r="J158" s="1989">
        <v>-2189269</v>
      </c>
      <c r="K158" s="1989">
        <v>-89907</v>
      </c>
      <c r="L158" s="1989">
        <v>-9990</v>
      </c>
      <c r="M158" s="1989">
        <v>0</v>
      </c>
      <c r="N158" s="1989">
        <v>-749716</v>
      </c>
      <c r="O158" s="1989">
        <v>-164538</v>
      </c>
      <c r="P158" s="1989">
        <v>-31478</v>
      </c>
      <c r="Q158" s="1989">
        <v>-547</v>
      </c>
      <c r="R158" s="1989">
        <v>0</v>
      </c>
      <c r="S158" s="1989">
        <v>0</v>
      </c>
      <c r="T158" s="1989">
        <v>0</v>
      </c>
      <c r="U158" s="1989">
        <v>0</v>
      </c>
      <c r="V158" s="1989">
        <v>0</v>
      </c>
      <c r="W158" s="1989">
        <v>0</v>
      </c>
      <c r="X158" s="1989">
        <v>0</v>
      </c>
      <c r="Y158" s="1989">
        <v>0</v>
      </c>
      <c r="Z158" s="1989">
        <v>26264262</v>
      </c>
      <c r="AA158" s="1989">
        <v>-299000</v>
      </c>
      <c r="AB158" s="1990"/>
      <c r="AC158" s="1989">
        <v>210</v>
      </c>
      <c r="AD158" s="1989">
        <v>23</v>
      </c>
      <c r="AE158" s="1989">
        <v>9</v>
      </c>
      <c r="AF158" s="1989">
        <v>2</v>
      </c>
      <c r="AG158" s="1989">
        <v>291</v>
      </c>
      <c r="AH158" s="1989">
        <v>98</v>
      </c>
      <c r="AI158" s="1989">
        <v>6</v>
      </c>
      <c r="AJ158" s="1989">
        <v>2</v>
      </c>
      <c r="AK158" s="1989">
        <v>0</v>
      </c>
      <c r="AL158" s="1989">
        <v>0</v>
      </c>
      <c r="AM158" s="1989">
        <v>0</v>
      </c>
      <c r="AN158" s="1989">
        <v>0</v>
      </c>
      <c r="AO158" s="1989">
        <v>1124</v>
      </c>
      <c r="AP158" s="1989">
        <v>1344</v>
      </c>
      <c r="AQ158" s="1989">
        <v>905</v>
      </c>
      <c r="AR158" s="1989">
        <v>439</v>
      </c>
      <c r="AS158" s="1989">
        <v>829</v>
      </c>
      <c r="AT158" s="1988">
        <v>3300</v>
      </c>
      <c r="AU158" s="1991"/>
      <c r="AV158" s="1991"/>
      <c r="AX158" s="1992"/>
      <c r="AY158" s="1992"/>
      <c r="AZ158" s="1992"/>
      <c r="BA158" s="1992"/>
      <c r="BB158" s="1992"/>
      <c r="BD158" s="1992"/>
      <c r="BE158" s="1992"/>
      <c r="BG158" s="1992"/>
      <c r="BI158" s="1992"/>
      <c r="BJ158" s="1992"/>
      <c r="BK158" s="1992"/>
    </row>
    <row r="159" spans="1:63" ht="12.75" x14ac:dyDescent="0.2">
      <c r="A159" s="1984">
        <v>152</v>
      </c>
      <c r="B159" s="1995" t="s">
        <v>198</v>
      </c>
      <c r="C159" s="1994" t="s">
        <v>199</v>
      </c>
      <c r="D159" s="1987">
        <v>306514</v>
      </c>
      <c r="E159" s="1988">
        <v>190351000</v>
      </c>
      <c r="F159" s="1989">
        <v>68785055</v>
      </c>
      <c r="G159" s="1989">
        <v>-4761343</v>
      </c>
      <c r="H159" s="1989">
        <v>1368828</v>
      </c>
      <c r="I159" s="1989">
        <v>-3392515</v>
      </c>
      <c r="J159" s="1989">
        <v>-6813109</v>
      </c>
      <c r="K159" s="1989">
        <v>0</v>
      </c>
      <c r="L159" s="1989">
        <v>0</v>
      </c>
      <c r="M159" s="1989">
        <v>0</v>
      </c>
      <c r="N159" s="1989">
        <v>-577235</v>
      </c>
      <c r="O159" s="1989">
        <v>0</v>
      </c>
      <c r="P159" s="1989">
        <v>0</v>
      </c>
      <c r="Q159" s="1989">
        <v>0</v>
      </c>
      <c r="R159" s="1989">
        <v>0</v>
      </c>
      <c r="S159" s="1989">
        <v>0</v>
      </c>
      <c r="T159" s="1989">
        <v>0</v>
      </c>
      <c r="U159" s="1989">
        <v>0</v>
      </c>
      <c r="V159" s="1989">
        <v>0</v>
      </c>
      <c r="W159" s="1989">
        <v>0</v>
      </c>
      <c r="X159" s="1989">
        <v>-10607</v>
      </c>
      <c r="Y159" s="1989">
        <v>0</v>
      </c>
      <c r="Z159" s="1989">
        <v>57991589</v>
      </c>
      <c r="AA159" s="1989">
        <v>-500000</v>
      </c>
      <c r="AB159" s="1990"/>
      <c r="AC159" s="1989">
        <v>328</v>
      </c>
      <c r="AD159" s="1989">
        <v>0</v>
      </c>
      <c r="AE159" s="1989">
        <v>0</v>
      </c>
      <c r="AF159" s="1989">
        <v>0</v>
      </c>
      <c r="AG159" s="1989">
        <v>680</v>
      </c>
      <c r="AH159" s="1989">
        <v>0</v>
      </c>
      <c r="AI159" s="1989">
        <v>0</v>
      </c>
      <c r="AJ159" s="1989">
        <v>0</v>
      </c>
      <c r="AK159" s="1989">
        <v>0</v>
      </c>
      <c r="AL159" s="1989">
        <v>0</v>
      </c>
      <c r="AM159" s="1989">
        <v>0</v>
      </c>
      <c r="AN159" s="1989">
        <v>0</v>
      </c>
      <c r="AO159" s="1989">
        <v>1673</v>
      </c>
      <c r="AP159" s="1989">
        <v>2189</v>
      </c>
      <c r="AQ159" s="1989">
        <v>1105</v>
      </c>
      <c r="AR159" s="1989">
        <v>1084</v>
      </c>
      <c r="AS159" s="1989">
        <v>2190</v>
      </c>
      <c r="AT159" s="1988">
        <v>5910</v>
      </c>
      <c r="AU159" s="1991"/>
      <c r="AV159" s="1991"/>
      <c r="AX159" s="1992"/>
      <c r="AY159" s="1992"/>
      <c r="AZ159" s="1992"/>
      <c r="BA159" s="1992"/>
      <c r="BB159" s="1992"/>
      <c r="BD159" s="1992"/>
      <c r="BE159" s="1992"/>
      <c r="BG159" s="1992"/>
      <c r="BI159" s="1992"/>
      <c r="BJ159" s="1992"/>
      <c r="BK159" s="1992"/>
    </row>
    <row r="160" spans="1:63" ht="12.75" x14ac:dyDescent="0.2">
      <c r="A160" s="1984">
        <v>153</v>
      </c>
      <c r="B160" s="1995" t="s">
        <v>200</v>
      </c>
      <c r="C160" s="1994" t="s">
        <v>201</v>
      </c>
      <c r="D160" s="1987">
        <v>121519</v>
      </c>
      <c r="E160" s="1988">
        <v>88816000</v>
      </c>
      <c r="F160" s="1989">
        <v>39314760</v>
      </c>
      <c r="G160" s="1989">
        <v>-1802394</v>
      </c>
      <c r="H160" s="1989">
        <v>872544</v>
      </c>
      <c r="I160" s="1989">
        <v>-929850</v>
      </c>
      <c r="J160" s="1989">
        <v>-1414265</v>
      </c>
      <c r="K160" s="1989">
        <v>-58263</v>
      </c>
      <c r="L160" s="1989">
        <v>-8159</v>
      </c>
      <c r="M160" s="1989">
        <v>-9385</v>
      </c>
      <c r="N160" s="1989">
        <v>-2246651</v>
      </c>
      <c r="O160" s="1989">
        <v>-35328</v>
      </c>
      <c r="P160" s="1989">
        <v>-41493</v>
      </c>
      <c r="Q160" s="1989">
        <v>0</v>
      </c>
      <c r="R160" s="1989">
        <v>-2847</v>
      </c>
      <c r="S160" s="1989">
        <v>-1750</v>
      </c>
      <c r="T160" s="1989">
        <v>0</v>
      </c>
      <c r="U160" s="1989">
        <v>0</v>
      </c>
      <c r="V160" s="1989">
        <v>0</v>
      </c>
      <c r="W160" s="1989">
        <v>0</v>
      </c>
      <c r="X160" s="1989">
        <v>0</v>
      </c>
      <c r="Y160" s="1989">
        <v>-14011</v>
      </c>
      <c r="Z160" s="1989">
        <v>34533108</v>
      </c>
      <c r="AA160" s="1989">
        <v>-320174</v>
      </c>
      <c r="AB160" s="1990"/>
      <c r="AC160" s="1989">
        <v>121</v>
      </c>
      <c r="AD160" s="1989">
        <v>14</v>
      </c>
      <c r="AE160" s="1989">
        <v>6</v>
      </c>
      <c r="AF160" s="1989">
        <v>0</v>
      </c>
      <c r="AG160" s="1989">
        <v>308</v>
      </c>
      <c r="AH160" s="1989">
        <v>25</v>
      </c>
      <c r="AI160" s="1989">
        <v>21</v>
      </c>
      <c r="AJ160" s="1989">
        <v>0</v>
      </c>
      <c r="AK160" s="1989">
        <v>3</v>
      </c>
      <c r="AL160" s="1989">
        <v>0</v>
      </c>
      <c r="AM160" s="1989">
        <v>0</v>
      </c>
      <c r="AN160" s="1989">
        <v>0</v>
      </c>
      <c r="AO160" s="1989">
        <v>1188</v>
      </c>
      <c r="AP160" s="1989">
        <v>1021</v>
      </c>
      <c r="AQ160" s="1989">
        <v>535</v>
      </c>
      <c r="AR160" s="1989">
        <v>486</v>
      </c>
      <c r="AS160" s="1989">
        <v>672</v>
      </c>
      <c r="AT160" s="1988">
        <v>2890</v>
      </c>
      <c r="AU160" s="1991"/>
      <c r="AV160" s="1991"/>
      <c r="AX160" s="1992"/>
      <c r="AY160" s="1992"/>
      <c r="AZ160" s="1992"/>
      <c r="BA160" s="1992"/>
      <c r="BB160" s="1992"/>
      <c r="BD160" s="1992"/>
      <c r="BE160" s="1992"/>
      <c r="BG160" s="1992"/>
      <c r="BI160" s="1992"/>
      <c r="BJ160" s="1992"/>
      <c r="BK160" s="1992"/>
    </row>
    <row r="161" spans="1:63" ht="12.75" x14ac:dyDescent="0.2">
      <c r="A161" s="1984">
        <v>154</v>
      </c>
      <c r="B161" s="1995" t="s">
        <v>202</v>
      </c>
      <c r="C161" s="1994" t="s">
        <v>203</v>
      </c>
      <c r="D161" s="1987">
        <v>145092</v>
      </c>
      <c r="E161" s="1988">
        <v>111711000</v>
      </c>
      <c r="F161" s="1989">
        <v>51178568</v>
      </c>
      <c r="G161" s="1989">
        <v>-1930027</v>
      </c>
      <c r="H161" s="1989">
        <v>1964434</v>
      </c>
      <c r="I161" s="1989">
        <v>34407</v>
      </c>
      <c r="J161" s="1989">
        <v>-4920753</v>
      </c>
      <c r="K161" s="1989">
        <v>-76099</v>
      </c>
      <c r="L161" s="1989">
        <v>0</v>
      </c>
      <c r="M161" s="1989">
        <v>0</v>
      </c>
      <c r="N161" s="1989">
        <v>-635569</v>
      </c>
      <c r="O161" s="1989">
        <v>-34033</v>
      </c>
      <c r="P161" s="1989">
        <v>-10019</v>
      </c>
      <c r="Q161" s="1989">
        <v>-2007</v>
      </c>
      <c r="R161" s="1989">
        <v>0</v>
      </c>
      <c r="S161" s="1989">
        <v>0</v>
      </c>
      <c r="T161" s="1989">
        <v>0</v>
      </c>
      <c r="U161" s="1989">
        <v>0</v>
      </c>
      <c r="V161" s="1989">
        <v>0</v>
      </c>
      <c r="W161" s="1989">
        <v>-176838</v>
      </c>
      <c r="X161" s="1989">
        <v>-132421</v>
      </c>
      <c r="Y161" s="1989">
        <v>0</v>
      </c>
      <c r="Z161" s="1989">
        <v>45109935</v>
      </c>
      <c r="AA161" s="1989">
        <v>-1500000</v>
      </c>
      <c r="AB161" s="1990"/>
      <c r="AC161" s="1989">
        <v>200</v>
      </c>
      <c r="AD161" s="1989">
        <v>9</v>
      </c>
      <c r="AE161" s="1989">
        <v>0</v>
      </c>
      <c r="AF161" s="1989">
        <v>0</v>
      </c>
      <c r="AG161" s="1989">
        <v>205</v>
      </c>
      <c r="AH161" s="1989">
        <v>31</v>
      </c>
      <c r="AI161" s="1989">
        <v>2</v>
      </c>
      <c r="AJ161" s="1989">
        <v>3</v>
      </c>
      <c r="AK161" s="1989">
        <v>0</v>
      </c>
      <c r="AL161" s="1989">
        <v>0</v>
      </c>
      <c r="AM161" s="1989">
        <v>0</v>
      </c>
      <c r="AN161" s="1989">
        <v>0</v>
      </c>
      <c r="AO161" s="1989">
        <v>1125</v>
      </c>
      <c r="AP161" s="1989">
        <v>1210</v>
      </c>
      <c r="AQ161" s="1989">
        <v>798</v>
      </c>
      <c r="AR161" s="1989">
        <v>412</v>
      </c>
      <c r="AS161" s="1989">
        <v>1050</v>
      </c>
      <c r="AT161" s="1988">
        <v>3400</v>
      </c>
      <c r="AU161" s="1991"/>
      <c r="AV161" s="1991"/>
      <c r="AX161" s="1992"/>
      <c r="AY161" s="1992"/>
      <c r="AZ161" s="1992"/>
      <c r="BA161" s="1992"/>
      <c r="BB161" s="1992"/>
      <c r="BD161" s="1992"/>
      <c r="BE161" s="1992"/>
      <c r="BG161" s="1992"/>
      <c r="BI161" s="1992"/>
      <c r="BJ161" s="1992"/>
      <c r="BK161" s="1992"/>
    </row>
    <row r="162" spans="1:63" ht="12.75" x14ac:dyDescent="0.2">
      <c r="A162" s="1984">
        <v>155</v>
      </c>
      <c r="B162" s="1995" t="s">
        <v>204</v>
      </c>
      <c r="C162" s="1994" t="s">
        <v>205</v>
      </c>
      <c r="D162" s="1987">
        <v>760155</v>
      </c>
      <c r="E162" s="1988">
        <v>524983000</v>
      </c>
      <c r="F162" s="1989">
        <v>240683553</v>
      </c>
      <c r="G162" s="1989">
        <v>-9408600</v>
      </c>
      <c r="H162" s="1989">
        <v>5845075</v>
      </c>
      <c r="I162" s="1989">
        <v>-3563525</v>
      </c>
      <c r="J162" s="1989">
        <v>-16693556</v>
      </c>
      <c r="K162" s="1989">
        <v>-4704</v>
      </c>
      <c r="L162" s="1989">
        <v>0</v>
      </c>
      <c r="M162" s="1989">
        <v>-100000</v>
      </c>
      <c r="N162" s="1989">
        <v>-16651000</v>
      </c>
      <c r="O162" s="1989">
        <v>-24119</v>
      </c>
      <c r="P162" s="1989">
        <v>-1495</v>
      </c>
      <c r="Q162" s="1989">
        <v>0</v>
      </c>
      <c r="R162" s="1989">
        <v>0</v>
      </c>
      <c r="S162" s="1989">
        <v>0</v>
      </c>
      <c r="T162" s="1989">
        <v>-236576</v>
      </c>
      <c r="U162" s="1989">
        <v>-236576</v>
      </c>
      <c r="V162" s="1989">
        <v>0</v>
      </c>
      <c r="W162" s="1989">
        <v>-50000</v>
      </c>
      <c r="X162" s="1989">
        <v>-154064</v>
      </c>
      <c r="Y162" s="1989">
        <v>-47680</v>
      </c>
      <c r="Z162" s="1989">
        <v>203408099</v>
      </c>
      <c r="AA162" s="1989">
        <v>-3121501</v>
      </c>
      <c r="AB162" s="1990"/>
      <c r="AC162" s="1989">
        <v>774</v>
      </c>
      <c r="AD162" s="1989">
        <v>2</v>
      </c>
      <c r="AE162" s="1989">
        <v>0</v>
      </c>
      <c r="AF162" s="1989">
        <v>0</v>
      </c>
      <c r="AG162" s="1989">
        <v>3466</v>
      </c>
      <c r="AH162" s="1989">
        <v>22</v>
      </c>
      <c r="AI162" s="1989">
        <v>4</v>
      </c>
      <c r="AJ162" s="1989">
        <v>0</v>
      </c>
      <c r="AK162" s="1989">
        <v>0</v>
      </c>
      <c r="AL162" s="1989">
        <v>0</v>
      </c>
      <c r="AM162" s="1989">
        <v>10</v>
      </c>
      <c r="AN162" s="1989">
        <v>0</v>
      </c>
      <c r="AO162" s="1989">
        <v>7749</v>
      </c>
      <c r="AP162" s="1989">
        <v>5184</v>
      </c>
      <c r="AQ162" s="1989">
        <v>3768</v>
      </c>
      <c r="AR162" s="1989">
        <v>1416</v>
      </c>
      <c r="AS162" s="1989">
        <v>5288</v>
      </c>
      <c r="AT162" s="1988">
        <v>18180</v>
      </c>
      <c r="AU162" s="1991"/>
      <c r="AV162" s="1991"/>
      <c r="AX162" s="1992"/>
      <c r="AY162" s="1992"/>
      <c r="AZ162" s="1992"/>
      <c r="BA162" s="1992"/>
      <c r="BB162" s="1992"/>
      <c r="BD162" s="1992"/>
      <c r="BE162" s="1992"/>
      <c r="BG162" s="1992"/>
      <c r="BI162" s="1992"/>
      <c r="BJ162" s="1992"/>
      <c r="BK162" s="1992"/>
    </row>
    <row r="163" spans="1:63" ht="12.75" x14ac:dyDescent="0.2">
      <c r="A163" s="1984">
        <v>156</v>
      </c>
      <c r="B163" s="1996" t="s">
        <v>607</v>
      </c>
      <c r="C163" s="1994" t="s">
        <v>207</v>
      </c>
      <c r="D163" s="1987">
        <v>246453</v>
      </c>
      <c r="E163" s="1988">
        <v>174387000</v>
      </c>
      <c r="F163" s="1989">
        <v>80282567</v>
      </c>
      <c r="G163" s="1989">
        <v>-3133426</v>
      </c>
      <c r="H163" s="1989">
        <v>1881665</v>
      </c>
      <c r="I163" s="1989">
        <v>-1251761</v>
      </c>
      <c r="J163" s="1989">
        <v>-5345241</v>
      </c>
      <c r="K163" s="1989">
        <v>-48180</v>
      </c>
      <c r="L163" s="1989">
        <v>0</v>
      </c>
      <c r="M163" s="1989">
        <v>-21121</v>
      </c>
      <c r="N163" s="1989">
        <v>-1839179</v>
      </c>
      <c r="O163" s="1989">
        <v>-127759</v>
      </c>
      <c r="P163" s="1989">
        <v>-60320</v>
      </c>
      <c r="Q163" s="1989">
        <v>-55</v>
      </c>
      <c r="R163" s="1989">
        <v>0</v>
      </c>
      <c r="S163" s="1989">
        <v>0</v>
      </c>
      <c r="T163" s="1989">
        <v>-2201</v>
      </c>
      <c r="U163" s="1989">
        <v>0</v>
      </c>
      <c r="V163" s="1989">
        <v>0</v>
      </c>
      <c r="W163" s="1989">
        <v>-1705</v>
      </c>
      <c r="X163" s="1989">
        <v>-6337</v>
      </c>
      <c r="Y163" s="1989">
        <v>-1065543</v>
      </c>
      <c r="Z163" s="1989">
        <v>70278524</v>
      </c>
      <c r="AA163" s="1989">
        <v>-1497260</v>
      </c>
      <c r="AB163" s="1990"/>
      <c r="AC163" s="1989">
        <v>295</v>
      </c>
      <c r="AD163" s="1989">
        <v>6</v>
      </c>
      <c r="AE163" s="1989">
        <v>0</v>
      </c>
      <c r="AF163" s="1989">
        <v>0</v>
      </c>
      <c r="AG163" s="1989">
        <v>884</v>
      </c>
      <c r="AH163" s="1989">
        <v>64</v>
      </c>
      <c r="AI163" s="1989">
        <v>15</v>
      </c>
      <c r="AJ163" s="1989">
        <v>1</v>
      </c>
      <c r="AK163" s="1989">
        <v>0</v>
      </c>
      <c r="AL163" s="1989">
        <v>0</v>
      </c>
      <c r="AM163" s="1989">
        <v>0</v>
      </c>
      <c r="AN163" s="1989">
        <v>0</v>
      </c>
      <c r="AO163" s="1989">
        <v>2462</v>
      </c>
      <c r="AP163" s="1989">
        <v>1472</v>
      </c>
      <c r="AQ163" s="1989">
        <v>806</v>
      </c>
      <c r="AR163" s="1989">
        <v>666</v>
      </c>
      <c r="AS163" s="1989">
        <v>1883</v>
      </c>
      <c r="AT163" s="1988">
        <v>5630</v>
      </c>
      <c r="AU163" s="1991"/>
      <c r="AV163" s="1991"/>
      <c r="AX163" s="1992"/>
      <c r="AY163" s="1992"/>
      <c r="AZ163" s="1992"/>
      <c r="BA163" s="1992"/>
      <c r="BB163" s="1992"/>
      <c r="BD163" s="1992"/>
      <c r="BE163" s="1992"/>
      <c r="BG163" s="1992"/>
      <c r="BI163" s="1992"/>
      <c r="BJ163" s="1992"/>
      <c r="BK163" s="1992"/>
    </row>
    <row r="164" spans="1:63" ht="12.75" x14ac:dyDescent="0.2">
      <c r="A164" s="1984">
        <v>157</v>
      </c>
      <c r="B164" s="1995" t="s">
        <v>208</v>
      </c>
      <c r="C164" s="1994" t="s">
        <v>209</v>
      </c>
      <c r="D164" s="1987">
        <v>203668</v>
      </c>
      <c r="E164" s="1988">
        <v>145721000</v>
      </c>
      <c r="F164" s="1989">
        <v>68767488</v>
      </c>
      <c r="G164" s="1989">
        <v>-2476649</v>
      </c>
      <c r="H164" s="1989">
        <v>1602753</v>
      </c>
      <c r="I164" s="1989">
        <v>-873896</v>
      </c>
      <c r="J164" s="1989">
        <v>-4073488</v>
      </c>
      <c r="K164" s="1989">
        <v>-105221</v>
      </c>
      <c r="L164" s="1989">
        <v>-3933</v>
      </c>
      <c r="M164" s="1989">
        <v>0</v>
      </c>
      <c r="N164" s="1989">
        <v>-1423356</v>
      </c>
      <c r="O164" s="1989">
        <v>-142222</v>
      </c>
      <c r="P164" s="1989">
        <v>-4911</v>
      </c>
      <c r="Q164" s="1989">
        <v>-7803</v>
      </c>
      <c r="R164" s="1989">
        <v>-3467</v>
      </c>
      <c r="S164" s="1989">
        <v>0</v>
      </c>
      <c r="T164" s="1989">
        <v>0</v>
      </c>
      <c r="U164" s="1989">
        <v>0</v>
      </c>
      <c r="V164" s="1989">
        <v>0</v>
      </c>
      <c r="W164" s="1989">
        <v>0</v>
      </c>
      <c r="X164" s="1989">
        <v>-35875</v>
      </c>
      <c r="Y164" s="1989">
        <v>-11877</v>
      </c>
      <c r="Z164" s="1989">
        <v>62081439</v>
      </c>
      <c r="AA164" s="1989">
        <v>-972000</v>
      </c>
      <c r="AB164" s="1990"/>
      <c r="AC164" s="1989">
        <v>252</v>
      </c>
      <c r="AD164" s="1989">
        <v>27</v>
      </c>
      <c r="AE164" s="1989">
        <v>5</v>
      </c>
      <c r="AF164" s="1989">
        <v>0</v>
      </c>
      <c r="AG164" s="1989">
        <v>417</v>
      </c>
      <c r="AH164" s="1989">
        <v>91</v>
      </c>
      <c r="AI164" s="1989">
        <v>3</v>
      </c>
      <c r="AJ164" s="1989">
        <v>1</v>
      </c>
      <c r="AK164" s="1989">
        <v>4</v>
      </c>
      <c r="AL164" s="1989">
        <v>0</v>
      </c>
      <c r="AM164" s="1989">
        <v>0</v>
      </c>
      <c r="AN164" s="1989">
        <v>0</v>
      </c>
      <c r="AO164" s="1989">
        <v>2143</v>
      </c>
      <c r="AP164" s="1989">
        <v>1267</v>
      </c>
      <c r="AQ164" s="1989">
        <v>741</v>
      </c>
      <c r="AR164" s="1989">
        <v>526</v>
      </c>
      <c r="AS164" s="1989">
        <v>1325</v>
      </c>
      <c r="AT164" s="1988">
        <v>4830</v>
      </c>
      <c r="AU164" s="1991"/>
      <c r="AV164" s="1991"/>
      <c r="AX164" s="1992"/>
      <c r="AY164" s="1992"/>
      <c r="AZ164" s="1992"/>
      <c r="BA164" s="1992"/>
      <c r="BB164" s="1992"/>
      <c r="BD164" s="1992"/>
      <c r="BE164" s="1992"/>
      <c r="BG164" s="1992"/>
      <c r="BI164" s="1992"/>
      <c r="BJ164" s="1992"/>
      <c r="BK164" s="1992"/>
    </row>
    <row r="165" spans="1:63" ht="12.75" x14ac:dyDescent="0.2">
      <c r="A165" s="1984">
        <v>158</v>
      </c>
      <c r="B165" s="1995" t="s">
        <v>210</v>
      </c>
      <c r="C165" s="1994" t="s">
        <v>211</v>
      </c>
      <c r="D165" s="1987">
        <v>92673</v>
      </c>
      <c r="E165" s="1988">
        <v>38397000</v>
      </c>
      <c r="F165" s="1989">
        <v>17354756</v>
      </c>
      <c r="G165" s="1989">
        <v>-1911306</v>
      </c>
      <c r="H165" s="1989">
        <v>332592</v>
      </c>
      <c r="I165" s="1989">
        <v>-1578714</v>
      </c>
      <c r="J165" s="1989">
        <v>-814758</v>
      </c>
      <c r="K165" s="1989">
        <v>-43289</v>
      </c>
      <c r="L165" s="1989">
        <v>-14276</v>
      </c>
      <c r="M165" s="1989">
        <v>-20000</v>
      </c>
      <c r="N165" s="1989">
        <v>-266152</v>
      </c>
      <c r="O165" s="1989">
        <v>-31293</v>
      </c>
      <c r="P165" s="1989">
        <v>-11653</v>
      </c>
      <c r="Q165" s="1989">
        <v>0</v>
      </c>
      <c r="R165" s="1989">
        <v>0</v>
      </c>
      <c r="S165" s="1989">
        <v>0</v>
      </c>
      <c r="T165" s="1989">
        <v>0</v>
      </c>
      <c r="U165" s="1989">
        <v>0</v>
      </c>
      <c r="V165" s="1989">
        <v>0</v>
      </c>
      <c r="W165" s="1989">
        <v>0</v>
      </c>
      <c r="X165" s="1989">
        <v>0</v>
      </c>
      <c r="Y165" s="1989">
        <v>-8115</v>
      </c>
      <c r="Z165" s="1989">
        <v>14458773</v>
      </c>
      <c r="AA165" s="1989">
        <v>-25324</v>
      </c>
      <c r="AB165" s="1990"/>
      <c r="AC165" s="1989">
        <v>77</v>
      </c>
      <c r="AD165" s="1989">
        <v>6</v>
      </c>
      <c r="AE165" s="1989">
        <v>10</v>
      </c>
      <c r="AF165" s="1989">
        <v>0</v>
      </c>
      <c r="AG165" s="1989">
        <v>119</v>
      </c>
      <c r="AH165" s="1989">
        <v>72</v>
      </c>
      <c r="AI165" s="1989">
        <v>72</v>
      </c>
      <c r="AJ165" s="1989">
        <v>0</v>
      </c>
      <c r="AK165" s="1989">
        <v>0</v>
      </c>
      <c r="AL165" s="1989">
        <v>0</v>
      </c>
      <c r="AM165" s="1989">
        <v>0</v>
      </c>
      <c r="AN165" s="1989">
        <v>0</v>
      </c>
      <c r="AO165" s="1989">
        <v>609</v>
      </c>
      <c r="AP165" s="1989">
        <v>1118</v>
      </c>
      <c r="AQ165" s="1989">
        <v>783</v>
      </c>
      <c r="AR165" s="1989">
        <v>335</v>
      </c>
      <c r="AS165" s="1989">
        <v>694</v>
      </c>
      <c r="AT165" s="1988">
        <v>2430</v>
      </c>
      <c r="AU165" s="1991"/>
      <c r="AV165" s="1991"/>
      <c r="AX165" s="1992"/>
      <c r="AY165" s="1992"/>
      <c r="AZ165" s="1992"/>
      <c r="BA165" s="1992"/>
      <c r="BB165" s="1992"/>
      <c r="BD165" s="1992"/>
      <c r="BE165" s="1992"/>
      <c r="BG165" s="1992"/>
      <c r="BI165" s="1992"/>
      <c r="BJ165" s="1992"/>
      <c r="BK165" s="1992"/>
    </row>
    <row r="166" spans="1:63" ht="12.75" x14ac:dyDescent="0.2">
      <c r="A166" s="1984">
        <v>159</v>
      </c>
      <c r="B166" s="1995" t="s">
        <v>212</v>
      </c>
      <c r="C166" s="1994" t="s">
        <v>213</v>
      </c>
      <c r="D166" s="1987">
        <v>106758</v>
      </c>
      <c r="E166" s="1988">
        <v>45446000</v>
      </c>
      <c r="F166" s="1989">
        <v>20222831</v>
      </c>
      <c r="G166" s="1989">
        <v>-2148760</v>
      </c>
      <c r="H166" s="1989">
        <v>401275</v>
      </c>
      <c r="I166" s="1989">
        <v>-1747485</v>
      </c>
      <c r="J166" s="1989">
        <v>-1667958</v>
      </c>
      <c r="K166" s="1989">
        <v>-149955</v>
      </c>
      <c r="L166" s="1989">
        <v>-59143</v>
      </c>
      <c r="M166" s="1989">
        <v>0</v>
      </c>
      <c r="N166" s="1989">
        <v>-303432</v>
      </c>
      <c r="O166" s="1989">
        <v>-88109</v>
      </c>
      <c r="P166" s="1989">
        <v>-61040</v>
      </c>
      <c r="Q166" s="1989">
        <v>-37400</v>
      </c>
      <c r="R166" s="1989">
        <v>-33985</v>
      </c>
      <c r="S166" s="1989">
        <v>-30098</v>
      </c>
      <c r="T166" s="1989">
        <v>0</v>
      </c>
      <c r="U166" s="1989">
        <v>0</v>
      </c>
      <c r="V166" s="1989">
        <v>0</v>
      </c>
      <c r="W166" s="1989">
        <v>0</v>
      </c>
      <c r="X166" s="1989">
        <v>-4162</v>
      </c>
      <c r="Y166" s="1989">
        <v>-4061</v>
      </c>
      <c r="Z166" s="1989">
        <v>16036003</v>
      </c>
      <c r="AA166" s="1989">
        <v>-504906</v>
      </c>
      <c r="AB166" s="1990"/>
      <c r="AC166" s="1989">
        <v>207</v>
      </c>
      <c r="AD166" s="1989">
        <v>12</v>
      </c>
      <c r="AE166" s="1989">
        <v>37</v>
      </c>
      <c r="AF166" s="1989">
        <v>0</v>
      </c>
      <c r="AG166" s="1989">
        <v>143</v>
      </c>
      <c r="AH166" s="1989">
        <v>120</v>
      </c>
      <c r="AI166" s="1989">
        <v>21</v>
      </c>
      <c r="AJ166" s="1989">
        <v>12</v>
      </c>
      <c r="AK166" s="1989">
        <v>31</v>
      </c>
      <c r="AL166" s="1989">
        <v>12</v>
      </c>
      <c r="AM166" s="1989">
        <v>0</v>
      </c>
      <c r="AN166" s="1989">
        <v>0</v>
      </c>
      <c r="AO166" s="1989">
        <v>837</v>
      </c>
      <c r="AP166" s="1989">
        <v>1263</v>
      </c>
      <c r="AQ166" s="1989">
        <v>957</v>
      </c>
      <c r="AR166" s="1989">
        <v>306</v>
      </c>
      <c r="AS166" s="1989">
        <v>701</v>
      </c>
      <c r="AT166" s="1988">
        <v>2830</v>
      </c>
      <c r="AU166" s="1991"/>
      <c r="AV166" s="1991"/>
      <c r="AX166" s="1992"/>
      <c r="AY166" s="1992"/>
      <c r="AZ166" s="1992"/>
      <c r="BA166" s="1992"/>
      <c r="BB166" s="1992"/>
      <c r="BD166" s="1992"/>
      <c r="BE166" s="1992"/>
      <c r="BG166" s="1992"/>
      <c r="BI166" s="1992"/>
      <c r="BJ166" s="1992"/>
      <c r="BK166" s="1992"/>
    </row>
    <row r="167" spans="1:63" ht="12.75" x14ac:dyDescent="0.2">
      <c r="A167" s="1984">
        <v>160</v>
      </c>
      <c r="B167" s="1995" t="s">
        <v>214</v>
      </c>
      <c r="C167" s="1994" t="s">
        <v>215</v>
      </c>
      <c r="D167" s="1987">
        <v>1123710</v>
      </c>
      <c r="E167" s="1988">
        <v>910648000</v>
      </c>
      <c r="F167" s="1989">
        <v>414547700</v>
      </c>
      <c r="G167" s="1989">
        <v>-11066503</v>
      </c>
      <c r="H167" s="1989">
        <v>9946247</v>
      </c>
      <c r="I167" s="1989">
        <v>-1120256</v>
      </c>
      <c r="J167" s="1989">
        <v>-23842871</v>
      </c>
      <c r="K167" s="1989">
        <v>-111344</v>
      </c>
      <c r="L167" s="1989">
        <v>0</v>
      </c>
      <c r="M167" s="1989">
        <v>0</v>
      </c>
      <c r="N167" s="1989">
        <v>-31264650</v>
      </c>
      <c r="O167" s="1989">
        <v>-2938254</v>
      </c>
      <c r="P167" s="1989">
        <v>-165875</v>
      </c>
      <c r="Q167" s="1989">
        <v>0</v>
      </c>
      <c r="R167" s="1989">
        <v>0</v>
      </c>
      <c r="S167" s="1989">
        <v>0</v>
      </c>
      <c r="T167" s="1989">
        <v>-1533306</v>
      </c>
      <c r="U167" s="1989">
        <v>-1533306</v>
      </c>
      <c r="V167" s="1989">
        <v>0</v>
      </c>
      <c r="W167" s="1989">
        <v>0</v>
      </c>
      <c r="X167" s="1989">
        <v>-175092</v>
      </c>
      <c r="Y167" s="1989">
        <v>0</v>
      </c>
      <c r="Z167" s="1989">
        <v>353396052</v>
      </c>
      <c r="AA167" s="1989">
        <v>-34414168</v>
      </c>
      <c r="AB167" s="1990"/>
      <c r="AC167" s="1989">
        <v>835</v>
      </c>
      <c r="AD167" s="1989">
        <v>11</v>
      </c>
      <c r="AE167" s="1989">
        <v>0</v>
      </c>
      <c r="AF167" s="1989">
        <v>0</v>
      </c>
      <c r="AG167" s="1989">
        <v>4832</v>
      </c>
      <c r="AH167" s="1989">
        <v>28</v>
      </c>
      <c r="AI167" s="1989">
        <v>0</v>
      </c>
      <c r="AJ167" s="1989">
        <v>11</v>
      </c>
      <c r="AK167" s="1989">
        <v>0</v>
      </c>
      <c r="AL167" s="1989">
        <v>0</v>
      </c>
      <c r="AM167" s="1989">
        <v>67</v>
      </c>
      <c r="AN167" s="1989">
        <v>1724</v>
      </c>
      <c r="AO167" s="1989">
        <v>10971</v>
      </c>
      <c r="AP167" s="1989">
        <v>5677</v>
      </c>
      <c r="AQ167" s="1989">
        <v>3594</v>
      </c>
      <c r="AR167" s="1989">
        <v>2083</v>
      </c>
      <c r="AS167" s="1989">
        <v>8165</v>
      </c>
      <c r="AT167" s="1988">
        <v>25360</v>
      </c>
      <c r="AU167" s="1991"/>
      <c r="AV167" s="1991"/>
      <c r="AX167" s="1992"/>
      <c r="AY167" s="1992"/>
      <c r="AZ167" s="1992"/>
      <c r="BA167" s="1992"/>
      <c r="BB167" s="1992"/>
      <c r="BD167" s="1992"/>
      <c r="BE167" s="1992"/>
      <c r="BG167" s="1992"/>
      <c r="BI167" s="1992"/>
      <c r="BJ167" s="1992"/>
      <c r="BK167" s="1992"/>
    </row>
    <row r="168" spans="1:63" ht="12.75" x14ac:dyDescent="0.2">
      <c r="A168" s="1984">
        <v>161</v>
      </c>
      <c r="B168" s="1995" t="s">
        <v>216</v>
      </c>
      <c r="C168" s="1994" t="s">
        <v>217</v>
      </c>
      <c r="D168" s="1987">
        <v>126789</v>
      </c>
      <c r="E168" s="1988">
        <v>74686000</v>
      </c>
      <c r="F168" s="1989">
        <v>34392492</v>
      </c>
      <c r="G168" s="1989">
        <v>-1868140</v>
      </c>
      <c r="H168" s="1989">
        <v>786259</v>
      </c>
      <c r="I168" s="1989">
        <v>-1081881</v>
      </c>
      <c r="J168" s="1989">
        <v>-2120271</v>
      </c>
      <c r="K168" s="1989">
        <v>-13717</v>
      </c>
      <c r="L168" s="1989">
        <v>0</v>
      </c>
      <c r="M168" s="1989">
        <v>0</v>
      </c>
      <c r="N168" s="1989">
        <v>-762583</v>
      </c>
      <c r="O168" s="1989">
        <v>-9000</v>
      </c>
      <c r="P168" s="1989">
        <v>-112703</v>
      </c>
      <c r="Q168" s="1989">
        <v>0</v>
      </c>
      <c r="R168" s="1989">
        <v>0</v>
      </c>
      <c r="S168" s="1989">
        <v>0</v>
      </c>
      <c r="T168" s="1989">
        <v>0</v>
      </c>
      <c r="U168" s="1989">
        <v>0</v>
      </c>
      <c r="V168" s="1989">
        <v>0</v>
      </c>
      <c r="W168" s="1989">
        <v>0</v>
      </c>
      <c r="X168" s="1989">
        <v>-5218</v>
      </c>
      <c r="Y168" s="1989">
        <v>0</v>
      </c>
      <c r="Z168" s="1989">
        <v>30199119</v>
      </c>
      <c r="AA168" s="1989">
        <v>-2000000</v>
      </c>
      <c r="AB168" s="1990"/>
      <c r="AC168" s="1989">
        <v>159</v>
      </c>
      <c r="AD168" s="1989">
        <v>3</v>
      </c>
      <c r="AE168" s="1989">
        <v>0</v>
      </c>
      <c r="AF168" s="1989">
        <v>1</v>
      </c>
      <c r="AG168" s="1989">
        <v>557</v>
      </c>
      <c r="AH168" s="1989">
        <v>7</v>
      </c>
      <c r="AI168" s="1989">
        <v>17</v>
      </c>
      <c r="AJ168" s="1989">
        <v>0</v>
      </c>
      <c r="AK168" s="1989">
        <v>0</v>
      </c>
      <c r="AL168" s="1989">
        <v>0</v>
      </c>
      <c r="AM168" s="1989">
        <v>0</v>
      </c>
      <c r="AN168" s="1989">
        <v>0</v>
      </c>
      <c r="AO168" s="1989">
        <v>1342</v>
      </c>
      <c r="AP168" s="1989">
        <v>1158</v>
      </c>
      <c r="AQ168" s="1989">
        <v>894</v>
      </c>
      <c r="AR168" s="1989">
        <v>264</v>
      </c>
      <c r="AS168" s="1989">
        <v>591</v>
      </c>
      <c r="AT168" s="1988">
        <v>3130</v>
      </c>
      <c r="AU168" s="1991"/>
      <c r="AV168" s="1991"/>
      <c r="AX168" s="1992"/>
      <c r="AY168" s="1992"/>
      <c r="AZ168" s="1992"/>
      <c r="BA168" s="1992"/>
      <c r="BB168" s="1992"/>
      <c r="BD168" s="1992"/>
      <c r="BE168" s="1992"/>
      <c r="BG168" s="1992"/>
      <c r="BI168" s="1992"/>
      <c r="BJ168" s="1992"/>
      <c r="BK168" s="1992"/>
    </row>
    <row r="169" spans="1:63" ht="12.75" x14ac:dyDescent="0.2">
      <c r="A169" s="1984">
        <v>162</v>
      </c>
      <c r="B169" s="1996" t="s">
        <v>701</v>
      </c>
      <c r="C169" s="1994" t="s">
        <v>219</v>
      </c>
      <c r="D169" s="1987">
        <v>273476</v>
      </c>
      <c r="E169" s="1988">
        <v>223146000</v>
      </c>
      <c r="F169" s="1989">
        <v>105694204</v>
      </c>
      <c r="G169" s="1989">
        <v>-4171460</v>
      </c>
      <c r="H169" s="1989">
        <v>2643438</v>
      </c>
      <c r="I169" s="1989">
        <v>-1528022</v>
      </c>
      <c r="J169" s="1989">
        <v>-7339909</v>
      </c>
      <c r="K169" s="1989">
        <v>-103421</v>
      </c>
      <c r="L169" s="1989">
        <v>-3926</v>
      </c>
      <c r="M169" s="1989">
        <v>-50000</v>
      </c>
      <c r="N169" s="1989">
        <v>-1863460</v>
      </c>
      <c r="O169" s="1989">
        <v>-369809</v>
      </c>
      <c r="P169" s="1989">
        <v>-201534</v>
      </c>
      <c r="Q169" s="1989">
        <v>-23320</v>
      </c>
      <c r="R169" s="1989">
        <v>-2420</v>
      </c>
      <c r="S169" s="1989">
        <v>0</v>
      </c>
      <c r="T169" s="1989">
        <v>0</v>
      </c>
      <c r="U169" s="1989">
        <v>0</v>
      </c>
      <c r="V169" s="1989">
        <v>0</v>
      </c>
      <c r="W169" s="1989">
        <v>-186151</v>
      </c>
      <c r="X169" s="1989">
        <v>-29945</v>
      </c>
      <c r="Y169" s="1989">
        <v>-18281</v>
      </c>
      <c r="Z169" s="1989">
        <v>94124006</v>
      </c>
      <c r="AA169" s="1989">
        <v>-1407863</v>
      </c>
      <c r="AB169" s="1990"/>
      <c r="AC169" s="1989">
        <v>325</v>
      </c>
      <c r="AD169" s="1989">
        <v>12</v>
      </c>
      <c r="AE169" s="1989">
        <v>3</v>
      </c>
      <c r="AF169" s="1989">
        <v>0</v>
      </c>
      <c r="AG169" s="1989">
        <v>389</v>
      </c>
      <c r="AH169" s="1989">
        <v>221</v>
      </c>
      <c r="AI169" s="1989">
        <v>40</v>
      </c>
      <c r="AJ169" s="1989">
        <v>10</v>
      </c>
      <c r="AK169" s="1989">
        <v>1</v>
      </c>
      <c r="AL169" s="1989">
        <v>0</v>
      </c>
      <c r="AM169" s="1989">
        <v>0</v>
      </c>
      <c r="AN169" s="1989">
        <v>0</v>
      </c>
      <c r="AO169" s="1989">
        <v>3860</v>
      </c>
      <c r="AP169" s="1989">
        <v>2143</v>
      </c>
      <c r="AQ169" s="1989">
        <v>1283</v>
      </c>
      <c r="AR169" s="1989">
        <v>860</v>
      </c>
      <c r="AS169" s="1989">
        <v>266</v>
      </c>
      <c r="AT169" s="1988">
        <v>6240</v>
      </c>
      <c r="AU169" s="1991"/>
      <c r="AV169" s="1991"/>
      <c r="AX169" s="1992"/>
      <c r="AY169" s="1992"/>
      <c r="AZ169" s="1992"/>
      <c r="BA169" s="1992"/>
      <c r="BB169" s="1992"/>
      <c r="BD169" s="1992"/>
      <c r="BE169" s="1992"/>
      <c r="BG169" s="1992"/>
      <c r="BI169" s="1992"/>
      <c r="BJ169" s="1992"/>
      <c r="BK169" s="1992"/>
    </row>
    <row r="170" spans="1:63" ht="12.75" x14ac:dyDescent="0.2">
      <c r="A170" s="1984">
        <v>163</v>
      </c>
      <c r="B170" s="1995" t="s">
        <v>220</v>
      </c>
      <c r="C170" s="1994" t="s">
        <v>221</v>
      </c>
      <c r="D170" s="1987">
        <v>62450</v>
      </c>
      <c r="E170" s="1988">
        <v>38391000</v>
      </c>
      <c r="F170" s="1989">
        <v>16681499</v>
      </c>
      <c r="G170" s="1989">
        <v>-1352400</v>
      </c>
      <c r="H170" s="1989">
        <v>407000</v>
      </c>
      <c r="I170" s="1989">
        <v>-945400</v>
      </c>
      <c r="J170" s="1989">
        <v>-1354100</v>
      </c>
      <c r="K170" s="1989">
        <v>-35471</v>
      </c>
      <c r="L170" s="1989">
        <v>-25704</v>
      </c>
      <c r="M170" s="1989">
        <v>-10000</v>
      </c>
      <c r="N170" s="1989">
        <v>-252000</v>
      </c>
      <c r="O170" s="1989">
        <v>-14280</v>
      </c>
      <c r="P170" s="1989">
        <v>-31860</v>
      </c>
      <c r="Q170" s="1989">
        <v>-308</v>
      </c>
      <c r="R170" s="1989">
        <v>-7752</v>
      </c>
      <c r="S170" s="1989">
        <v>-1236</v>
      </c>
      <c r="T170" s="1989">
        <v>-50000</v>
      </c>
      <c r="U170" s="1989">
        <v>0</v>
      </c>
      <c r="V170" s="1989">
        <v>0</v>
      </c>
      <c r="W170" s="1989">
        <v>0</v>
      </c>
      <c r="X170" s="1989">
        <v>0</v>
      </c>
      <c r="Y170" s="1989">
        <v>-12000</v>
      </c>
      <c r="Z170" s="1989">
        <v>13941388</v>
      </c>
      <c r="AA170" s="1989">
        <v>-131739</v>
      </c>
      <c r="AB170" s="1990"/>
      <c r="AC170" s="1989">
        <v>108</v>
      </c>
      <c r="AD170" s="1989">
        <v>6</v>
      </c>
      <c r="AE170" s="1989">
        <v>18</v>
      </c>
      <c r="AF170" s="1989">
        <v>0</v>
      </c>
      <c r="AG170" s="1989">
        <v>119</v>
      </c>
      <c r="AH170" s="1989">
        <v>42</v>
      </c>
      <c r="AI170" s="1989">
        <v>11</v>
      </c>
      <c r="AJ170" s="1989">
        <v>1</v>
      </c>
      <c r="AK170" s="1989">
        <v>6</v>
      </c>
      <c r="AL170" s="1989">
        <v>2</v>
      </c>
      <c r="AM170" s="1989">
        <v>0</v>
      </c>
      <c r="AN170" s="1989">
        <v>0</v>
      </c>
      <c r="AO170" s="1989">
        <v>524</v>
      </c>
      <c r="AP170" s="1989">
        <v>631</v>
      </c>
      <c r="AQ170" s="1989">
        <v>457</v>
      </c>
      <c r="AR170" s="1989">
        <v>174</v>
      </c>
      <c r="AS170" s="1989">
        <v>400</v>
      </c>
      <c r="AT170" s="1988">
        <v>1550</v>
      </c>
      <c r="AU170" s="1991"/>
      <c r="AV170" s="1991"/>
      <c r="AX170" s="1992"/>
      <c r="AY170" s="1992"/>
      <c r="AZ170" s="1992"/>
      <c r="BA170" s="1992"/>
      <c r="BB170" s="1992"/>
      <c r="BD170" s="1992"/>
      <c r="BE170" s="1992"/>
      <c r="BG170" s="1992"/>
      <c r="BI170" s="1992"/>
      <c r="BJ170" s="1992"/>
      <c r="BK170" s="1992"/>
    </row>
    <row r="171" spans="1:63" ht="12.75" x14ac:dyDescent="0.2">
      <c r="A171" s="1984">
        <v>164</v>
      </c>
      <c r="B171" s="1995" t="s">
        <v>222</v>
      </c>
      <c r="C171" s="1994" t="s">
        <v>223</v>
      </c>
      <c r="D171" s="1987">
        <v>165853</v>
      </c>
      <c r="E171" s="1988">
        <v>91483000</v>
      </c>
      <c r="F171" s="1989">
        <v>41336869</v>
      </c>
      <c r="G171" s="1989">
        <v>-3166931</v>
      </c>
      <c r="H171" s="1989">
        <v>892762</v>
      </c>
      <c r="I171" s="1989">
        <v>-2274169</v>
      </c>
      <c r="J171" s="1989">
        <v>-2943327</v>
      </c>
      <c r="K171" s="1989">
        <v>-88486</v>
      </c>
      <c r="L171" s="1989">
        <v>-38313</v>
      </c>
      <c r="M171" s="1989">
        <v>0</v>
      </c>
      <c r="N171" s="1989">
        <v>-490348</v>
      </c>
      <c r="O171" s="1989">
        <v>-51690</v>
      </c>
      <c r="P171" s="1989">
        <v>-22460</v>
      </c>
      <c r="Q171" s="1989">
        <v>-3152</v>
      </c>
      <c r="R171" s="1989">
        <v>-26385</v>
      </c>
      <c r="S171" s="1989">
        <v>-17052</v>
      </c>
      <c r="T171" s="1989">
        <v>0</v>
      </c>
      <c r="U171" s="1989">
        <v>0</v>
      </c>
      <c r="V171" s="1989">
        <v>0</v>
      </c>
      <c r="W171" s="1989">
        <v>0</v>
      </c>
      <c r="X171" s="1989">
        <v>-1447</v>
      </c>
      <c r="Y171" s="1989">
        <v>-4386</v>
      </c>
      <c r="Z171" s="1989">
        <v>35375654</v>
      </c>
      <c r="AA171" s="1989">
        <v>-2073214</v>
      </c>
      <c r="AB171" s="1990"/>
      <c r="AC171" s="1989">
        <v>282</v>
      </c>
      <c r="AD171" s="1989">
        <v>13</v>
      </c>
      <c r="AE171" s="1989">
        <v>24</v>
      </c>
      <c r="AF171" s="1989">
        <v>0</v>
      </c>
      <c r="AG171" s="1989">
        <v>326</v>
      </c>
      <c r="AH171" s="1989">
        <v>120</v>
      </c>
      <c r="AI171" s="1989">
        <v>9</v>
      </c>
      <c r="AJ171" s="1989">
        <v>6</v>
      </c>
      <c r="AK171" s="1989">
        <v>19</v>
      </c>
      <c r="AL171" s="1989">
        <v>6</v>
      </c>
      <c r="AM171" s="1989">
        <v>0</v>
      </c>
      <c r="AN171" s="1989">
        <v>0</v>
      </c>
      <c r="AO171" s="1989">
        <v>1425</v>
      </c>
      <c r="AP171" s="1989">
        <v>1721</v>
      </c>
      <c r="AQ171" s="1989">
        <v>1174</v>
      </c>
      <c r="AR171" s="1989">
        <v>547</v>
      </c>
      <c r="AS171" s="1989">
        <v>948</v>
      </c>
      <c r="AT171" s="1988">
        <v>4210</v>
      </c>
      <c r="AU171" s="1991"/>
      <c r="AV171" s="1991"/>
      <c r="AX171" s="1992"/>
      <c r="AY171" s="1992"/>
      <c r="AZ171" s="1992"/>
      <c r="BA171" s="1992"/>
      <c r="BB171" s="1992"/>
      <c r="BD171" s="1992"/>
      <c r="BE171" s="1992"/>
      <c r="BG171" s="1992"/>
      <c r="BI171" s="1992"/>
      <c r="BJ171" s="1992"/>
      <c r="BK171" s="1992"/>
    </row>
    <row r="172" spans="1:63" ht="12.75" x14ac:dyDescent="0.2">
      <c r="A172" s="1984">
        <v>165</v>
      </c>
      <c r="B172" s="1995" t="s">
        <v>224</v>
      </c>
      <c r="C172" s="1994" t="s">
        <v>225</v>
      </c>
      <c r="D172" s="1987">
        <v>264360</v>
      </c>
      <c r="E172" s="1988">
        <v>213869000</v>
      </c>
      <c r="F172" s="1989">
        <v>97643823</v>
      </c>
      <c r="G172" s="1989">
        <v>-2808303</v>
      </c>
      <c r="H172" s="1989">
        <v>2255247</v>
      </c>
      <c r="I172" s="1989">
        <v>-553056</v>
      </c>
      <c r="J172" s="1989">
        <v>-5156574</v>
      </c>
      <c r="K172" s="1989">
        <v>-108485</v>
      </c>
      <c r="L172" s="1989">
        <v>0</v>
      </c>
      <c r="M172" s="1989">
        <v>-65000</v>
      </c>
      <c r="N172" s="1989">
        <v>-769270</v>
      </c>
      <c r="O172" s="1989">
        <v>-402645</v>
      </c>
      <c r="P172" s="1989">
        <v>-114169</v>
      </c>
      <c r="Q172" s="1989">
        <v>-194</v>
      </c>
      <c r="R172" s="1989">
        <v>0</v>
      </c>
      <c r="S172" s="1989">
        <v>0</v>
      </c>
      <c r="T172" s="1989">
        <v>-200000</v>
      </c>
      <c r="U172" s="1989">
        <v>0</v>
      </c>
      <c r="V172" s="1989">
        <v>0</v>
      </c>
      <c r="W172" s="1989">
        <v>0</v>
      </c>
      <c r="X172" s="1989">
        <v>-24900</v>
      </c>
      <c r="Y172" s="1989">
        <v>-6286</v>
      </c>
      <c r="Z172" s="1989">
        <v>89538492</v>
      </c>
      <c r="AA172" s="1989">
        <v>-270296</v>
      </c>
      <c r="AB172" s="1990"/>
      <c r="AC172" s="1989">
        <v>224</v>
      </c>
      <c r="AD172" s="1989">
        <v>8</v>
      </c>
      <c r="AE172" s="1989">
        <v>0</v>
      </c>
      <c r="AF172" s="1989">
        <v>1</v>
      </c>
      <c r="AG172" s="1989">
        <v>205</v>
      </c>
      <c r="AH172" s="1989">
        <v>105</v>
      </c>
      <c r="AI172" s="1989">
        <v>17</v>
      </c>
      <c r="AJ172" s="1989">
        <v>1</v>
      </c>
      <c r="AK172" s="1989">
        <v>0</v>
      </c>
      <c r="AL172" s="1989">
        <v>0</v>
      </c>
      <c r="AM172" s="1989">
        <v>0</v>
      </c>
      <c r="AN172" s="1989">
        <v>5</v>
      </c>
      <c r="AO172" s="1989">
        <v>1974</v>
      </c>
      <c r="AP172" s="1989">
        <v>1323</v>
      </c>
      <c r="AQ172" s="1989">
        <v>529</v>
      </c>
      <c r="AR172" s="1989">
        <v>794</v>
      </c>
      <c r="AS172" s="1989">
        <v>2018</v>
      </c>
      <c r="AT172" s="1988">
        <v>5300</v>
      </c>
      <c r="AU172" s="1991"/>
      <c r="AV172" s="1991"/>
      <c r="AX172" s="1992"/>
      <c r="AY172" s="1992"/>
      <c r="AZ172" s="1992"/>
      <c r="BA172" s="1992"/>
      <c r="BB172" s="1992"/>
      <c r="BD172" s="1992"/>
      <c r="BE172" s="1992"/>
      <c r="BG172" s="1992"/>
      <c r="BI172" s="1992"/>
      <c r="BJ172" s="1992"/>
      <c r="BK172" s="1992"/>
    </row>
    <row r="173" spans="1:63" ht="12.75" x14ac:dyDescent="0.2">
      <c r="A173" s="1984">
        <v>166</v>
      </c>
      <c r="B173" s="1995" t="s">
        <v>226</v>
      </c>
      <c r="C173" s="1994" t="s">
        <v>227</v>
      </c>
      <c r="D173" s="1987">
        <v>107103</v>
      </c>
      <c r="E173" s="1988">
        <v>42139000</v>
      </c>
      <c r="F173" s="1989">
        <v>19483272</v>
      </c>
      <c r="G173" s="1989">
        <v>-2268185</v>
      </c>
      <c r="H173" s="1989">
        <v>450437</v>
      </c>
      <c r="I173" s="1989">
        <v>-1817748</v>
      </c>
      <c r="J173" s="1989">
        <v>-1294139</v>
      </c>
      <c r="K173" s="1989">
        <v>-33783</v>
      </c>
      <c r="L173" s="1989">
        <v>-26730</v>
      </c>
      <c r="M173" s="1989">
        <v>-57305</v>
      </c>
      <c r="N173" s="1989">
        <v>-399821</v>
      </c>
      <c r="O173" s="1989">
        <v>-56271</v>
      </c>
      <c r="P173" s="1989">
        <v>-2640</v>
      </c>
      <c r="Q173" s="1989">
        <v>0</v>
      </c>
      <c r="R173" s="1989">
        <v>0</v>
      </c>
      <c r="S173" s="1989">
        <v>-2256</v>
      </c>
      <c r="T173" s="1989">
        <v>0</v>
      </c>
      <c r="U173" s="1989">
        <v>0</v>
      </c>
      <c r="V173" s="1989">
        <v>0</v>
      </c>
      <c r="W173" s="1989">
        <v>-30749</v>
      </c>
      <c r="X173" s="1989">
        <v>-9500</v>
      </c>
      <c r="Y173" s="1989">
        <v>0</v>
      </c>
      <c r="Z173" s="1989">
        <v>15752330</v>
      </c>
      <c r="AA173" s="1989">
        <v>-150000</v>
      </c>
      <c r="AB173" s="1990"/>
      <c r="AC173" s="1989">
        <v>204</v>
      </c>
      <c r="AD173" s="1989">
        <v>9</v>
      </c>
      <c r="AE173" s="1989">
        <v>3</v>
      </c>
      <c r="AF173" s="1989">
        <v>5</v>
      </c>
      <c r="AG173" s="1989">
        <v>244</v>
      </c>
      <c r="AH173" s="1989">
        <v>108</v>
      </c>
      <c r="AI173" s="1989">
        <v>3</v>
      </c>
      <c r="AJ173" s="1989">
        <v>9</v>
      </c>
      <c r="AK173" s="1989">
        <v>17</v>
      </c>
      <c r="AL173" s="1989">
        <v>2</v>
      </c>
      <c r="AM173" s="1989">
        <v>0</v>
      </c>
      <c r="AN173" s="1989">
        <v>0</v>
      </c>
      <c r="AO173" s="1989">
        <v>1500</v>
      </c>
      <c r="AP173" s="1989">
        <v>1308</v>
      </c>
      <c r="AQ173" s="1989">
        <v>984</v>
      </c>
      <c r="AR173" s="1989">
        <v>324</v>
      </c>
      <c r="AS173" s="1989">
        <v>19</v>
      </c>
      <c r="AT173" s="1988">
        <v>2870</v>
      </c>
      <c r="AU173" s="1991"/>
      <c r="AV173" s="1991"/>
      <c r="AX173" s="1992"/>
      <c r="AY173" s="1992"/>
      <c r="AZ173" s="1992"/>
      <c r="BA173" s="1992"/>
      <c r="BB173" s="1992"/>
      <c r="BD173" s="1992"/>
      <c r="BE173" s="1992"/>
      <c r="BG173" s="1992"/>
      <c r="BI173" s="1992"/>
      <c r="BJ173" s="1992"/>
      <c r="BK173" s="1992"/>
    </row>
    <row r="174" spans="1:63" ht="12.75" x14ac:dyDescent="0.2">
      <c r="A174" s="1984">
        <v>167</v>
      </c>
      <c r="B174" s="1995" t="s">
        <v>228</v>
      </c>
      <c r="C174" s="1994" t="s">
        <v>229</v>
      </c>
      <c r="D174" s="1987">
        <v>127118</v>
      </c>
      <c r="E174" s="1988">
        <v>60720000</v>
      </c>
      <c r="F174" s="1989">
        <v>27171724</v>
      </c>
      <c r="G174" s="1989">
        <v>-2144941</v>
      </c>
      <c r="H174" s="1989">
        <v>581328</v>
      </c>
      <c r="I174" s="1989">
        <v>-1563613</v>
      </c>
      <c r="J174" s="1989">
        <v>-951495</v>
      </c>
      <c r="K174" s="1989">
        <v>-38335</v>
      </c>
      <c r="L174" s="1989">
        <v>-86508</v>
      </c>
      <c r="M174" s="1989">
        <v>0</v>
      </c>
      <c r="N174" s="1989">
        <v>-327975</v>
      </c>
      <c r="O174" s="1989">
        <v>-171319</v>
      </c>
      <c r="P174" s="1989">
        <v>-112276</v>
      </c>
      <c r="Q174" s="1989">
        <v>-6840</v>
      </c>
      <c r="R174" s="1989">
        <v>-86508</v>
      </c>
      <c r="S174" s="1989">
        <v>-69003</v>
      </c>
      <c r="T174" s="1989">
        <v>0</v>
      </c>
      <c r="U174" s="1989">
        <v>0</v>
      </c>
      <c r="V174" s="1989">
        <v>0</v>
      </c>
      <c r="W174" s="1989">
        <v>0</v>
      </c>
      <c r="X174" s="1989">
        <v>-3417</v>
      </c>
      <c r="Y174" s="1989">
        <v>-169</v>
      </c>
      <c r="Z174" s="1989">
        <v>23389817</v>
      </c>
      <c r="AA174" s="1989">
        <v>-544800</v>
      </c>
      <c r="AB174" s="1990"/>
      <c r="AC174" s="1989">
        <v>224</v>
      </c>
      <c r="AD174" s="1989">
        <v>9</v>
      </c>
      <c r="AE174" s="1989">
        <v>64</v>
      </c>
      <c r="AF174" s="1989">
        <v>0</v>
      </c>
      <c r="AG174" s="1989">
        <v>273</v>
      </c>
      <c r="AH174" s="1989">
        <v>195</v>
      </c>
      <c r="AI174" s="1989">
        <v>46</v>
      </c>
      <c r="AJ174" s="1989">
        <v>7</v>
      </c>
      <c r="AK174" s="1989">
        <v>64</v>
      </c>
      <c r="AL174" s="1989">
        <v>15</v>
      </c>
      <c r="AM174" s="1989">
        <v>0</v>
      </c>
      <c r="AN174" s="1989">
        <v>0</v>
      </c>
      <c r="AO174" s="1989">
        <v>1324</v>
      </c>
      <c r="AP174" s="1989">
        <v>1272</v>
      </c>
      <c r="AQ174" s="1989">
        <v>967</v>
      </c>
      <c r="AR174" s="1989">
        <v>305</v>
      </c>
      <c r="AS174" s="1989">
        <v>667</v>
      </c>
      <c r="AT174" s="1988">
        <v>3290</v>
      </c>
      <c r="AU174" s="1991"/>
      <c r="AV174" s="1991"/>
      <c r="AX174" s="1992"/>
      <c r="AY174" s="1992"/>
      <c r="AZ174" s="1992"/>
      <c r="BA174" s="1992"/>
      <c r="BB174" s="1992"/>
      <c r="BD174" s="1992"/>
      <c r="BE174" s="1992"/>
      <c r="BG174" s="1992"/>
      <c r="BI174" s="1992"/>
      <c r="BJ174" s="1992"/>
      <c r="BK174" s="1992"/>
    </row>
    <row r="175" spans="1:63" ht="12.75" x14ac:dyDescent="0.2">
      <c r="A175" s="1984">
        <v>168</v>
      </c>
      <c r="B175" s="1995" t="s">
        <v>230</v>
      </c>
      <c r="C175" s="1994" t="s">
        <v>231</v>
      </c>
      <c r="D175" s="1987">
        <v>172939</v>
      </c>
      <c r="E175" s="1988">
        <v>117764000</v>
      </c>
      <c r="F175" s="1989">
        <v>52755898</v>
      </c>
      <c r="G175" s="1989">
        <v>-2551566</v>
      </c>
      <c r="H175" s="1989">
        <v>1161393</v>
      </c>
      <c r="I175" s="1989">
        <v>-1390173</v>
      </c>
      <c r="J175" s="1989">
        <v>-3639471</v>
      </c>
      <c r="K175" s="1989">
        <v>-60614</v>
      </c>
      <c r="L175" s="1989">
        <v>-5194</v>
      </c>
      <c r="M175" s="1989">
        <v>0</v>
      </c>
      <c r="N175" s="1989">
        <v>-863712</v>
      </c>
      <c r="O175" s="1989">
        <v>-92064</v>
      </c>
      <c r="P175" s="1989">
        <v>-727597</v>
      </c>
      <c r="Q175" s="1989">
        <v>-4801</v>
      </c>
      <c r="R175" s="1989">
        <v>-5194</v>
      </c>
      <c r="S175" s="1989">
        <v>0</v>
      </c>
      <c r="T175" s="1989">
        <v>0</v>
      </c>
      <c r="U175" s="1989">
        <v>0</v>
      </c>
      <c r="V175" s="1989">
        <v>0</v>
      </c>
      <c r="W175" s="1989">
        <v>-24651</v>
      </c>
      <c r="X175" s="1989">
        <v>-2965</v>
      </c>
      <c r="Y175" s="1989">
        <v>-8149</v>
      </c>
      <c r="Z175" s="1989">
        <v>45850600</v>
      </c>
      <c r="AA175" s="1989">
        <v>-1133785</v>
      </c>
      <c r="AB175" s="1990"/>
      <c r="AC175" s="1989">
        <v>225</v>
      </c>
      <c r="AD175" s="1989">
        <v>10</v>
      </c>
      <c r="AE175" s="1989">
        <v>4</v>
      </c>
      <c r="AF175" s="1989">
        <v>0</v>
      </c>
      <c r="AG175" s="1989">
        <v>386</v>
      </c>
      <c r="AH175" s="1989">
        <v>87</v>
      </c>
      <c r="AI175" s="1989">
        <v>13</v>
      </c>
      <c r="AJ175" s="1989">
        <v>6</v>
      </c>
      <c r="AK175" s="1989">
        <v>4</v>
      </c>
      <c r="AL175" s="1989">
        <v>0</v>
      </c>
      <c r="AM175" s="1989">
        <v>0</v>
      </c>
      <c r="AN175" s="1989">
        <v>0</v>
      </c>
      <c r="AO175" s="1989">
        <v>1582</v>
      </c>
      <c r="AP175" s="1989">
        <v>1329</v>
      </c>
      <c r="AQ175" s="1989">
        <v>813</v>
      </c>
      <c r="AR175" s="1989">
        <v>516</v>
      </c>
      <c r="AS175" s="1989">
        <v>1349</v>
      </c>
      <c r="AT175" s="1988">
        <v>4190</v>
      </c>
      <c r="AU175" s="1991"/>
      <c r="AV175" s="1991"/>
      <c r="AX175" s="1992"/>
      <c r="AY175" s="1992"/>
      <c r="AZ175" s="1992"/>
      <c r="BA175" s="1992"/>
      <c r="BB175" s="1992"/>
      <c r="BD175" s="1992"/>
      <c r="BE175" s="1992"/>
      <c r="BG175" s="1992"/>
      <c r="BI175" s="1992"/>
      <c r="BJ175" s="1992"/>
      <c r="BK175" s="1992"/>
    </row>
    <row r="176" spans="1:63" ht="12.75" x14ac:dyDescent="0.2">
      <c r="A176" s="1984">
        <v>169</v>
      </c>
      <c r="B176" s="1996" t="s">
        <v>636</v>
      </c>
      <c r="C176" s="1994" t="s">
        <v>233</v>
      </c>
      <c r="D176" s="1987">
        <v>172412</v>
      </c>
      <c r="E176" s="1988">
        <v>103664000</v>
      </c>
      <c r="F176" s="1989">
        <v>52798064</v>
      </c>
      <c r="G176" s="1989">
        <v>-2501119</v>
      </c>
      <c r="H176" s="1989">
        <v>1218459</v>
      </c>
      <c r="I176" s="1989">
        <v>-1282660</v>
      </c>
      <c r="J176" s="1989">
        <v>-5470168</v>
      </c>
      <c r="K176" s="1989">
        <v>-22126</v>
      </c>
      <c r="L176" s="1989">
        <v>0</v>
      </c>
      <c r="M176" s="1989">
        <v>-8000</v>
      </c>
      <c r="N176" s="1989">
        <v>-2110000</v>
      </c>
      <c r="O176" s="1989">
        <v>-2361</v>
      </c>
      <c r="P176" s="1989">
        <v>-30000</v>
      </c>
      <c r="Q176" s="1989">
        <v>-5000</v>
      </c>
      <c r="R176" s="1989">
        <v>0</v>
      </c>
      <c r="S176" s="1989">
        <v>0</v>
      </c>
      <c r="T176" s="1989">
        <v>-894600</v>
      </c>
      <c r="U176" s="1989">
        <v>0</v>
      </c>
      <c r="V176" s="1989">
        <v>0</v>
      </c>
      <c r="W176" s="1989">
        <v>0</v>
      </c>
      <c r="X176" s="1989">
        <v>-95993</v>
      </c>
      <c r="Y176" s="1989">
        <v>0</v>
      </c>
      <c r="Z176" s="1989">
        <v>42877156</v>
      </c>
      <c r="AA176" s="1989">
        <v>-1100000</v>
      </c>
      <c r="AB176" s="1990"/>
      <c r="AC176" s="1989">
        <v>219</v>
      </c>
      <c r="AD176" s="1989">
        <v>2</v>
      </c>
      <c r="AE176" s="1989">
        <v>0</v>
      </c>
      <c r="AF176" s="1989">
        <v>810</v>
      </c>
      <c r="AG176" s="1989">
        <v>430</v>
      </c>
      <c r="AH176" s="1989">
        <v>6</v>
      </c>
      <c r="AI176" s="1989">
        <v>2</v>
      </c>
      <c r="AJ176" s="1989">
        <v>1</v>
      </c>
      <c r="AK176" s="1989">
        <v>0</v>
      </c>
      <c r="AL176" s="1989">
        <v>0</v>
      </c>
      <c r="AM176" s="1989">
        <v>0</v>
      </c>
      <c r="AN176" s="1989">
        <v>0</v>
      </c>
      <c r="AO176" s="1989">
        <v>1549</v>
      </c>
      <c r="AP176" s="1989">
        <v>1376</v>
      </c>
      <c r="AQ176" s="1989">
        <v>1029</v>
      </c>
      <c r="AR176" s="1989">
        <v>347</v>
      </c>
      <c r="AS176" s="1989">
        <v>1268</v>
      </c>
      <c r="AT176" s="1988">
        <v>4300</v>
      </c>
      <c r="AU176" s="1991"/>
      <c r="AV176" s="1991"/>
      <c r="AX176" s="1992"/>
      <c r="AY176" s="1992"/>
      <c r="AZ176" s="1992"/>
      <c r="BA176" s="1992"/>
      <c r="BB176" s="1992"/>
      <c r="BD176" s="1992"/>
      <c r="BE176" s="1992"/>
      <c r="BG176" s="1992"/>
      <c r="BI176" s="1992"/>
      <c r="BJ176" s="1992"/>
      <c r="BK176" s="1992"/>
    </row>
    <row r="177" spans="1:109" ht="12.75" x14ac:dyDescent="0.2">
      <c r="A177" s="1984">
        <v>170</v>
      </c>
      <c r="B177" s="1996" t="s">
        <v>618</v>
      </c>
      <c r="C177" s="1994" t="s">
        <v>235</v>
      </c>
      <c r="D177" s="1987">
        <v>389838</v>
      </c>
      <c r="E177" s="1988">
        <v>406266000</v>
      </c>
      <c r="F177" s="1989">
        <v>183786067</v>
      </c>
      <c r="G177" s="1989">
        <v>-3612560</v>
      </c>
      <c r="H177" s="1989">
        <v>3769809</v>
      </c>
      <c r="I177" s="1989">
        <v>157249</v>
      </c>
      <c r="J177" s="1989">
        <v>-9112319</v>
      </c>
      <c r="K177" s="1989">
        <v>-75800</v>
      </c>
      <c r="L177" s="1989">
        <v>-13260</v>
      </c>
      <c r="M177" s="1989">
        <v>-103824</v>
      </c>
      <c r="N177" s="1989">
        <v>-5306464</v>
      </c>
      <c r="O177" s="1989">
        <v>-532283</v>
      </c>
      <c r="P177" s="1989">
        <v>0</v>
      </c>
      <c r="Q177" s="1989">
        <v>-15669</v>
      </c>
      <c r="R177" s="1989">
        <v>0</v>
      </c>
      <c r="S177" s="1989">
        <v>0</v>
      </c>
      <c r="T177" s="1989">
        <v>-236112</v>
      </c>
      <c r="U177" s="1989">
        <v>0</v>
      </c>
      <c r="V177" s="1989">
        <v>0</v>
      </c>
      <c r="W177" s="1989">
        <v>-40000</v>
      </c>
      <c r="X177" s="1989">
        <v>-19808</v>
      </c>
      <c r="Y177" s="1989">
        <v>0</v>
      </c>
      <c r="Z177" s="1989">
        <v>168487777</v>
      </c>
      <c r="AA177" s="1989">
        <v>-9000000</v>
      </c>
      <c r="AB177" s="1990"/>
      <c r="AC177" s="1989">
        <v>309</v>
      </c>
      <c r="AD177" s="1989">
        <v>18</v>
      </c>
      <c r="AE177" s="1989">
        <v>33</v>
      </c>
      <c r="AF177" s="1989">
        <v>3</v>
      </c>
      <c r="AG177" s="1989">
        <v>853</v>
      </c>
      <c r="AH177" s="1989">
        <v>149</v>
      </c>
      <c r="AI177" s="1989">
        <v>0</v>
      </c>
      <c r="AJ177" s="1989">
        <v>18</v>
      </c>
      <c r="AK177" s="1989">
        <v>0</v>
      </c>
      <c r="AL177" s="1989">
        <v>0</v>
      </c>
      <c r="AM177" s="1989">
        <v>0</v>
      </c>
      <c r="AN177" s="1989">
        <v>14</v>
      </c>
      <c r="AO177" s="1989">
        <v>3428</v>
      </c>
      <c r="AP177" s="1989">
        <v>1857</v>
      </c>
      <c r="AQ177" s="1989">
        <v>1061</v>
      </c>
      <c r="AR177" s="1989">
        <v>796</v>
      </c>
      <c r="AS177" s="1989">
        <v>2174</v>
      </c>
      <c r="AT177" s="1988">
        <v>7440</v>
      </c>
      <c r="AU177" s="1991"/>
      <c r="AV177" s="1991"/>
      <c r="AX177" s="1992"/>
      <c r="AY177" s="1992"/>
      <c r="AZ177" s="1992"/>
      <c r="BA177" s="1992"/>
      <c r="BB177" s="1992"/>
      <c r="BD177" s="1992"/>
      <c r="BE177" s="1992"/>
      <c r="BG177" s="1992"/>
      <c r="BI177" s="1992"/>
      <c r="BJ177" s="1992"/>
      <c r="BK177" s="1992"/>
    </row>
    <row r="178" spans="1:109" ht="12.75" x14ac:dyDescent="0.2">
      <c r="A178" s="1984">
        <v>171</v>
      </c>
      <c r="B178" s="1995" t="s">
        <v>236</v>
      </c>
      <c r="C178" s="1994" t="s">
        <v>237</v>
      </c>
      <c r="D178" s="1987">
        <v>154884</v>
      </c>
      <c r="E178" s="1988">
        <v>110022000</v>
      </c>
      <c r="F178" s="1989">
        <v>43737812</v>
      </c>
      <c r="G178" s="1989">
        <v>-1866212</v>
      </c>
      <c r="H178" s="1989">
        <v>1006068</v>
      </c>
      <c r="I178" s="1989">
        <v>-860144</v>
      </c>
      <c r="J178" s="1989">
        <v>-2107466</v>
      </c>
      <c r="K178" s="1989">
        <v>-36430</v>
      </c>
      <c r="L178" s="1989">
        <v>-9144</v>
      </c>
      <c r="M178" s="1989">
        <v>0</v>
      </c>
      <c r="N178" s="1989">
        <v>-526323</v>
      </c>
      <c r="O178" s="1989">
        <v>-22028</v>
      </c>
      <c r="P178" s="1989">
        <v>-10479</v>
      </c>
      <c r="Q178" s="1989">
        <v>-2483</v>
      </c>
      <c r="R178" s="1989">
        <v>-7778</v>
      </c>
      <c r="S178" s="1989">
        <v>-28400</v>
      </c>
      <c r="T178" s="1989">
        <v>0</v>
      </c>
      <c r="U178" s="1989">
        <v>0</v>
      </c>
      <c r="V178" s="1989">
        <v>0</v>
      </c>
      <c r="W178" s="1989">
        <v>0</v>
      </c>
      <c r="X178" s="1989">
        <v>-6715</v>
      </c>
      <c r="Y178" s="1989">
        <v>-1711</v>
      </c>
      <c r="Z178" s="1989">
        <v>40118711</v>
      </c>
      <c r="AA178" s="1989">
        <v>-685000</v>
      </c>
      <c r="AB178" s="1990"/>
      <c r="AC178" s="1989">
        <v>182</v>
      </c>
      <c r="AD178" s="1989">
        <v>17</v>
      </c>
      <c r="AE178" s="1989">
        <v>7</v>
      </c>
      <c r="AF178" s="1989">
        <v>0</v>
      </c>
      <c r="AG178" s="1989">
        <v>213</v>
      </c>
      <c r="AH178" s="1989">
        <v>60</v>
      </c>
      <c r="AI178" s="1989">
        <v>9</v>
      </c>
      <c r="AJ178" s="1989">
        <v>13</v>
      </c>
      <c r="AK178" s="1989">
        <v>14</v>
      </c>
      <c r="AL178" s="1989">
        <v>1</v>
      </c>
      <c r="AM178" s="1989">
        <v>0</v>
      </c>
      <c r="AN178" s="1989">
        <v>0</v>
      </c>
      <c r="AO178" s="1989">
        <v>1276</v>
      </c>
      <c r="AP178" s="1989">
        <v>975</v>
      </c>
      <c r="AQ178" s="1989">
        <v>547</v>
      </c>
      <c r="AR178" s="1989">
        <v>428</v>
      </c>
      <c r="AS178" s="1989">
        <v>952</v>
      </c>
      <c r="AT178" s="1988">
        <v>3270</v>
      </c>
      <c r="AU178" s="1991"/>
      <c r="AV178" s="1991"/>
      <c r="AX178" s="1992"/>
      <c r="AY178" s="1992"/>
      <c r="AZ178" s="1992"/>
      <c r="BA178" s="1992"/>
      <c r="BB178" s="1992"/>
      <c r="BD178" s="1992"/>
      <c r="BE178" s="1992"/>
      <c r="BG178" s="1992"/>
      <c r="BI178" s="1992"/>
      <c r="BJ178" s="1992"/>
      <c r="BK178" s="1992"/>
    </row>
    <row r="179" spans="1:109" ht="12.75" x14ac:dyDescent="0.2">
      <c r="A179" s="1984">
        <v>172</v>
      </c>
      <c r="B179" s="1995" t="s">
        <v>238</v>
      </c>
      <c r="C179" s="1994" t="s">
        <v>239</v>
      </c>
      <c r="D179" s="1987">
        <v>278159</v>
      </c>
      <c r="E179" s="1988">
        <v>166613000</v>
      </c>
      <c r="F179" s="1989">
        <v>75848143</v>
      </c>
      <c r="G179" s="1989">
        <v>-4347117</v>
      </c>
      <c r="H179" s="1989">
        <v>1705888</v>
      </c>
      <c r="I179" s="1989">
        <v>-2641229</v>
      </c>
      <c r="J179" s="1989">
        <v>-3310581</v>
      </c>
      <c r="K179" s="1989">
        <v>-133176</v>
      </c>
      <c r="L179" s="1989">
        <v>-19103</v>
      </c>
      <c r="M179" s="1989">
        <v>-133974</v>
      </c>
      <c r="N179" s="1989">
        <v>-1332949</v>
      </c>
      <c r="O179" s="1989">
        <v>-107677</v>
      </c>
      <c r="P179" s="1989">
        <v>-46366</v>
      </c>
      <c r="Q179" s="1989">
        <v>0</v>
      </c>
      <c r="R179" s="1989">
        <v>-10120</v>
      </c>
      <c r="S179" s="1989">
        <v>-5592</v>
      </c>
      <c r="T179" s="1989">
        <v>-5000</v>
      </c>
      <c r="U179" s="1989">
        <v>0</v>
      </c>
      <c r="V179" s="1989">
        <v>0</v>
      </c>
      <c r="W179" s="1989">
        <v>-25000</v>
      </c>
      <c r="X179" s="1989">
        <v>-90000</v>
      </c>
      <c r="Y179" s="1989">
        <v>-9085</v>
      </c>
      <c r="Z179" s="1989">
        <v>67946291</v>
      </c>
      <c r="AA179" s="1989">
        <v>-1690476</v>
      </c>
      <c r="AB179" s="1990"/>
      <c r="AC179" s="1989">
        <v>336</v>
      </c>
      <c r="AD179" s="1989">
        <v>21</v>
      </c>
      <c r="AE179" s="1989">
        <v>11</v>
      </c>
      <c r="AF179" s="1989">
        <v>0</v>
      </c>
      <c r="AG179" s="1989">
        <v>292</v>
      </c>
      <c r="AH179" s="1989">
        <v>146</v>
      </c>
      <c r="AI179" s="1989">
        <v>10</v>
      </c>
      <c r="AJ179" s="1989">
        <v>0</v>
      </c>
      <c r="AK179" s="1989">
        <v>10</v>
      </c>
      <c r="AL179" s="1989">
        <v>1</v>
      </c>
      <c r="AM179" s="1989">
        <v>0</v>
      </c>
      <c r="AN179" s="1989">
        <v>0</v>
      </c>
      <c r="AO179" s="1989">
        <v>2043</v>
      </c>
      <c r="AP179" s="1989">
        <v>2887</v>
      </c>
      <c r="AQ179" s="1989">
        <v>2031</v>
      </c>
      <c r="AR179" s="1989">
        <v>856</v>
      </c>
      <c r="AS179" s="1989">
        <v>1555</v>
      </c>
      <c r="AT179" s="1988">
        <v>6650</v>
      </c>
      <c r="AU179" s="1991"/>
      <c r="AV179" s="1991"/>
      <c r="AX179" s="1992"/>
      <c r="AY179" s="1992"/>
      <c r="AZ179" s="1992"/>
      <c r="BA179" s="1992"/>
      <c r="BB179" s="1992"/>
      <c r="BD179" s="1992"/>
      <c r="BE179" s="1992"/>
      <c r="BG179" s="1992"/>
      <c r="BI179" s="1992"/>
      <c r="BJ179" s="1992"/>
      <c r="BK179" s="1992"/>
    </row>
    <row r="180" spans="1:109" ht="12.75" x14ac:dyDescent="0.2">
      <c r="A180" s="1984">
        <v>173</v>
      </c>
      <c r="B180" s="1995" t="s">
        <v>240</v>
      </c>
      <c r="C180" s="1994" t="s">
        <v>241</v>
      </c>
      <c r="D180" s="1987">
        <v>164307</v>
      </c>
      <c r="E180" s="1988">
        <v>103080000</v>
      </c>
      <c r="F180" s="1989">
        <v>44532533</v>
      </c>
      <c r="G180" s="1989">
        <v>-2618922</v>
      </c>
      <c r="H180" s="1989">
        <v>1003930</v>
      </c>
      <c r="I180" s="1989">
        <v>-1614992</v>
      </c>
      <c r="J180" s="1989">
        <v>-1545197</v>
      </c>
      <c r="K180" s="1989">
        <v>-70952</v>
      </c>
      <c r="L180" s="1989">
        <v>-28017</v>
      </c>
      <c r="M180" s="1989">
        <v>0</v>
      </c>
      <c r="N180" s="1989">
        <v>-679170</v>
      </c>
      <c r="O180" s="1989">
        <v>-44689</v>
      </c>
      <c r="P180" s="1989">
        <v>-145534</v>
      </c>
      <c r="Q180" s="1989">
        <v>0</v>
      </c>
      <c r="R180" s="1989">
        <v>-4497</v>
      </c>
      <c r="S180" s="1989">
        <v>0</v>
      </c>
      <c r="T180" s="1989">
        <v>0</v>
      </c>
      <c r="U180" s="1989">
        <v>0</v>
      </c>
      <c r="V180" s="1989">
        <v>0</v>
      </c>
      <c r="W180" s="1989">
        <v>0</v>
      </c>
      <c r="X180" s="1989">
        <v>0</v>
      </c>
      <c r="Y180" s="1989">
        <v>-5000</v>
      </c>
      <c r="Z180" s="1989">
        <v>40044485</v>
      </c>
      <c r="AA180" s="1989">
        <v>-1000000</v>
      </c>
      <c r="AB180" s="1990"/>
      <c r="AC180" s="1989">
        <v>207</v>
      </c>
      <c r="AD180" s="1989">
        <v>22</v>
      </c>
      <c r="AE180" s="1989">
        <v>21</v>
      </c>
      <c r="AF180" s="1989">
        <v>0</v>
      </c>
      <c r="AG180" s="1989">
        <v>350</v>
      </c>
      <c r="AH180" s="1989">
        <v>93</v>
      </c>
      <c r="AI180" s="1989">
        <v>18</v>
      </c>
      <c r="AJ180" s="1989">
        <v>0</v>
      </c>
      <c r="AK180" s="1989">
        <v>6</v>
      </c>
      <c r="AL180" s="1989">
        <v>0</v>
      </c>
      <c r="AM180" s="1989">
        <v>0</v>
      </c>
      <c r="AN180" s="1989">
        <v>0</v>
      </c>
      <c r="AO180" s="1989">
        <v>1339</v>
      </c>
      <c r="AP180" s="1989">
        <v>1530</v>
      </c>
      <c r="AQ180" s="1989">
        <v>1134</v>
      </c>
      <c r="AR180" s="1989">
        <v>396</v>
      </c>
      <c r="AS180" s="1989">
        <v>1175</v>
      </c>
      <c r="AT180" s="1988">
        <v>4000</v>
      </c>
      <c r="AU180" s="1991"/>
      <c r="AV180" s="1991"/>
      <c r="AX180" s="1992"/>
      <c r="AY180" s="1992"/>
      <c r="AZ180" s="1992"/>
      <c r="BA180" s="1992"/>
      <c r="BB180" s="1992"/>
      <c r="BD180" s="1992"/>
      <c r="BE180" s="1992"/>
      <c r="BG180" s="1992"/>
      <c r="BI180" s="1992"/>
      <c r="BJ180" s="1992"/>
      <c r="BK180" s="1992"/>
    </row>
    <row r="181" spans="1:109" ht="12.75" x14ac:dyDescent="0.2">
      <c r="A181" s="1984">
        <v>174</v>
      </c>
      <c r="B181" s="1996" t="s">
        <v>1709</v>
      </c>
      <c r="C181" s="1994" t="s">
        <v>243</v>
      </c>
      <c r="D181" s="1987">
        <v>463069</v>
      </c>
      <c r="E181" s="1988">
        <v>380179000</v>
      </c>
      <c r="F181" s="1989">
        <v>183720569</v>
      </c>
      <c r="G181" s="1989">
        <v>-5259691</v>
      </c>
      <c r="H181" s="1989">
        <v>4518906</v>
      </c>
      <c r="I181" s="1989">
        <v>-740785</v>
      </c>
      <c r="J181" s="1989">
        <v>-15138363</v>
      </c>
      <c r="K181" s="1989">
        <v>-131702</v>
      </c>
      <c r="L181" s="1989">
        <v>-1669</v>
      </c>
      <c r="M181" s="1989">
        <v>-250000</v>
      </c>
      <c r="N181" s="1989">
        <v>-9345385</v>
      </c>
      <c r="O181" s="1989">
        <v>-195947</v>
      </c>
      <c r="P181" s="1989">
        <v>-411346</v>
      </c>
      <c r="Q181" s="1989">
        <v>-27047</v>
      </c>
      <c r="R181" s="1989">
        <v>0</v>
      </c>
      <c r="S181" s="1989">
        <v>0</v>
      </c>
      <c r="T181" s="1989">
        <v>0</v>
      </c>
      <c r="U181" s="1989">
        <v>0</v>
      </c>
      <c r="V181" s="1989">
        <v>0</v>
      </c>
      <c r="W181" s="1989">
        <v>-348277</v>
      </c>
      <c r="X181" s="1989">
        <v>-120835</v>
      </c>
      <c r="Y181" s="1989">
        <v>0</v>
      </c>
      <c r="Z181" s="1989">
        <v>157009213</v>
      </c>
      <c r="AA181" s="1989">
        <v>-804731</v>
      </c>
      <c r="AB181" s="1990"/>
      <c r="AC181" s="1989">
        <v>639</v>
      </c>
      <c r="AD181" s="1989">
        <v>17</v>
      </c>
      <c r="AE181" s="1989">
        <v>2</v>
      </c>
      <c r="AF181" s="1989">
        <v>5</v>
      </c>
      <c r="AG181" s="1989">
        <v>2070</v>
      </c>
      <c r="AH181" s="1989">
        <v>38</v>
      </c>
      <c r="AI181" s="1989">
        <v>2</v>
      </c>
      <c r="AJ181" s="1989">
        <v>0</v>
      </c>
      <c r="AK181" s="1989">
        <v>0</v>
      </c>
      <c r="AL181" s="1989">
        <v>0</v>
      </c>
      <c r="AM181" s="1989">
        <v>0</v>
      </c>
      <c r="AN181" s="1989">
        <v>0</v>
      </c>
      <c r="AO181" s="1989">
        <v>4396</v>
      </c>
      <c r="AP181" s="1989">
        <v>2989</v>
      </c>
      <c r="AQ181" s="1989">
        <v>2056</v>
      </c>
      <c r="AR181" s="1989">
        <v>933</v>
      </c>
      <c r="AS181" s="1989">
        <v>3006</v>
      </c>
      <c r="AT181" s="1988">
        <v>10640</v>
      </c>
      <c r="AU181" s="1991"/>
      <c r="AV181" s="1991"/>
      <c r="AX181" s="1992"/>
      <c r="AY181" s="1992"/>
      <c r="AZ181" s="1992"/>
      <c r="BA181" s="1992"/>
      <c r="BB181" s="1992"/>
      <c r="BD181" s="1992"/>
      <c r="BE181" s="1992"/>
      <c r="BG181" s="1992"/>
      <c r="BI181" s="1992"/>
      <c r="BJ181" s="1992"/>
      <c r="BK181" s="1992"/>
    </row>
    <row r="182" spans="1:109" ht="12.75" x14ac:dyDescent="0.2">
      <c r="A182" s="1984">
        <v>175</v>
      </c>
      <c r="B182" s="1995" t="s">
        <v>244</v>
      </c>
      <c r="C182" s="1994" t="s">
        <v>245</v>
      </c>
      <c r="D182" s="1987">
        <v>137513</v>
      </c>
      <c r="E182" s="1988">
        <v>90471000</v>
      </c>
      <c r="F182" s="1989">
        <v>41240699</v>
      </c>
      <c r="G182" s="1989">
        <v>-2196018</v>
      </c>
      <c r="H182" s="1989">
        <v>793577</v>
      </c>
      <c r="I182" s="1989">
        <v>-1402441</v>
      </c>
      <c r="J182" s="1989">
        <v>-2693223</v>
      </c>
      <c r="K182" s="1989">
        <v>-14729</v>
      </c>
      <c r="L182" s="1989">
        <v>0</v>
      </c>
      <c r="M182" s="1989">
        <v>0</v>
      </c>
      <c r="N182" s="1989">
        <v>-454304</v>
      </c>
      <c r="O182" s="1989">
        <v>-13626</v>
      </c>
      <c r="P182" s="1989">
        <v>-122924</v>
      </c>
      <c r="Q182" s="1989">
        <v>0</v>
      </c>
      <c r="R182" s="1989">
        <v>0</v>
      </c>
      <c r="S182" s="1989">
        <v>0</v>
      </c>
      <c r="T182" s="1989">
        <v>0</v>
      </c>
      <c r="U182" s="1989">
        <v>0</v>
      </c>
      <c r="V182" s="1989">
        <v>0</v>
      </c>
      <c r="W182" s="1989">
        <v>0</v>
      </c>
      <c r="X182" s="1989">
        <v>-51864</v>
      </c>
      <c r="Y182" s="1989">
        <v>0</v>
      </c>
      <c r="Z182" s="1989">
        <v>36487588</v>
      </c>
      <c r="AA182" s="1989">
        <v>-1919416</v>
      </c>
      <c r="AB182" s="1990"/>
      <c r="AC182" s="1989">
        <v>146</v>
      </c>
      <c r="AD182" s="1989">
        <v>2</v>
      </c>
      <c r="AE182" s="1989">
        <v>11</v>
      </c>
      <c r="AF182" s="1989">
        <v>4</v>
      </c>
      <c r="AG182" s="1989">
        <v>294</v>
      </c>
      <c r="AH182" s="1989">
        <v>48</v>
      </c>
      <c r="AI182" s="1989">
        <v>37</v>
      </c>
      <c r="AJ182" s="1989">
        <v>0</v>
      </c>
      <c r="AK182" s="1989">
        <v>0</v>
      </c>
      <c r="AL182" s="1989">
        <v>0</v>
      </c>
      <c r="AM182" s="1989">
        <v>0</v>
      </c>
      <c r="AN182" s="1989">
        <v>0</v>
      </c>
      <c r="AO182" s="1989">
        <v>1216</v>
      </c>
      <c r="AP182" s="1989">
        <v>1229</v>
      </c>
      <c r="AQ182" s="1989">
        <v>861</v>
      </c>
      <c r="AR182" s="1989">
        <v>368</v>
      </c>
      <c r="AS182" s="1989">
        <v>884</v>
      </c>
      <c r="AT182" s="1988">
        <v>3360</v>
      </c>
      <c r="AU182" s="1991"/>
      <c r="AV182" s="1991"/>
      <c r="AX182" s="1992"/>
      <c r="AY182" s="1992"/>
      <c r="AZ182" s="1992"/>
      <c r="BA182" s="1992"/>
      <c r="BB182" s="1992"/>
      <c r="BD182" s="1992"/>
      <c r="BE182" s="1992"/>
      <c r="BG182" s="1992"/>
      <c r="BI182" s="1992"/>
      <c r="BJ182" s="1992"/>
      <c r="BK182" s="1992"/>
    </row>
    <row r="183" spans="1:109" ht="12.75" x14ac:dyDescent="0.2">
      <c r="A183" s="1984">
        <v>176</v>
      </c>
      <c r="B183" s="1995" t="s">
        <v>246</v>
      </c>
      <c r="C183" s="1994" t="s">
        <v>247</v>
      </c>
      <c r="D183" s="1987">
        <v>381427</v>
      </c>
      <c r="E183" s="1988">
        <v>385627000</v>
      </c>
      <c r="F183" s="1989">
        <v>155425107</v>
      </c>
      <c r="G183" s="1989">
        <v>-4940710</v>
      </c>
      <c r="H183" s="1989">
        <v>3661398</v>
      </c>
      <c r="I183" s="1989">
        <v>-1279312</v>
      </c>
      <c r="J183" s="1989">
        <v>-10744081</v>
      </c>
      <c r="K183" s="1989">
        <v>0</v>
      </c>
      <c r="L183" s="1989">
        <v>0</v>
      </c>
      <c r="M183" s="1989">
        <v>0</v>
      </c>
      <c r="N183" s="1989">
        <v>-3154029</v>
      </c>
      <c r="O183" s="1989">
        <v>0</v>
      </c>
      <c r="P183" s="1989">
        <v>0</v>
      </c>
      <c r="Q183" s="1989">
        <v>0</v>
      </c>
      <c r="R183" s="1989">
        <v>0</v>
      </c>
      <c r="S183" s="1989">
        <v>0</v>
      </c>
      <c r="T183" s="1989">
        <v>-240048</v>
      </c>
      <c r="U183" s="1989">
        <v>-240048</v>
      </c>
      <c r="V183" s="1989">
        <v>0</v>
      </c>
      <c r="W183" s="1989">
        <v>0</v>
      </c>
      <c r="X183" s="1989">
        <v>0</v>
      </c>
      <c r="Y183" s="1989">
        <v>-50603</v>
      </c>
      <c r="Z183" s="1989">
        <v>139957034</v>
      </c>
      <c r="AA183" s="1989">
        <v>-4672644</v>
      </c>
      <c r="AB183" s="1990"/>
      <c r="AC183" s="1989">
        <v>331</v>
      </c>
      <c r="AD183" s="1989">
        <v>0</v>
      </c>
      <c r="AE183" s="1989">
        <v>0</v>
      </c>
      <c r="AF183" s="1989">
        <v>0</v>
      </c>
      <c r="AG183" s="1989">
        <v>322</v>
      </c>
      <c r="AH183" s="1989">
        <v>0</v>
      </c>
      <c r="AI183" s="1989">
        <v>0</v>
      </c>
      <c r="AJ183" s="1989">
        <v>0</v>
      </c>
      <c r="AK183" s="1989">
        <v>0</v>
      </c>
      <c r="AL183" s="1989">
        <v>0</v>
      </c>
      <c r="AM183" s="1989">
        <v>10</v>
      </c>
      <c r="AN183" s="1989">
        <v>0</v>
      </c>
      <c r="AO183" s="1989">
        <v>2797</v>
      </c>
      <c r="AP183" s="1989">
        <v>2392</v>
      </c>
      <c r="AQ183" s="1989">
        <v>1062</v>
      </c>
      <c r="AR183" s="1989">
        <v>1330</v>
      </c>
      <c r="AS183" s="1989">
        <v>1862</v>
      </c>
      <c r="AT183" s="1988">
        <v>7300</v>
      </c>
      <c r="AU183" s="1991"/>
      <c r="AV183" s="1991"/>
      <c r="AX183" s="1992"/>
      <c r="AY183" s="1992"/>
      <c r="AZ183" s="1992"/>
      <c r="BA183" s="1992"/>
      <c r="BB183" s="1992"/>
      <c r="BD183" s="1992"/>
      <c r="BE183" s="1992"/>
      <c r="BG183" s="1992"/>
      <c r="BI183" s="1992"/>
      <c r="BJ183" s="1992"/>
      <c r="BK183" s="1992"/>
    </row>
    <row r="184" spans="1:109" ht="12.75" x14ac:dyDescent="0.2">
      <c r="A184" s="1984">
        <v>177</v>
      </c>
      <c r="B184" s="1995" t="s">
        <v>248</v>
      </c>
      <c r="C184" s="1994" t="s">
        <v>249</v>
      </c>
      <c r="D184" s="1987">
        <v>201008</v>
      </c>
      <c r="E184" s="1988">
        <v>86512000</v>
      </c>
      <c r="F184" s="1989">
        <v>42103641</v>
      </c>
      <c r="G184" s="1989">
        <v>-4650521</v>
      </c>
      <c r="H184" s="1989">
        <v>829726</v>
      </c>
      <c r="I184" s="1989">
        <v>-3820795</v>
      </c>
      <c r="J184" s="1989">
        <v>-2292599</v>
      </c>
      <c r="K184" s="1989">
        <v>-129878</v>
      </c>
      <c r="L184" s="1989">
        <v>-39518</v>
      </c>
      <c r="M184" s="1989">
        <v>-15000</v>
      </c>
      <c r="N184" s="1989">
        <v>-434360</v>
      </c>
      <c r="O184" s="1989">
        <v>-124400</v>
      </c>
      <c r="P184" s="1989">
        <v>-165427</v>
      </c>
      <c r="Q184" s="1989">
        <v>-9481</v>
      </c>
      <c r="R184" s="1989">
        <v>-15985</v>
      </c>
      <c r="S184" s="1989">
        <v>-8617</v>
      </c>
      <c r="T184" s="1989">
        <v>0</v>
      </c>
      <c r="U184" s="1989">
        <v>0</v>
      </c>
      <c r="V184" s="1989">
        <v>0</v>
      </c>
      <c r="W184" s="1989">
        <v>0</v>
      </c>
      <c r="X184" s="1989">
        <v>-9691</v>
      </c>
      <c r="Y184" s="1989">
        <v>-14281</v>
      </c>
      <c r="Z184" s="1989">
        <v>34545606</v>
      </c>
      <c r="AA184" s="1989">
        <v>-241819</v>
      </c>
      <c r="AB184" s="1990"/>
      <c r="AC184" s="1989">
        <v>274</v>
      </c>
      <c r="AD184" s="1989">
        <v>41</v>
      </c>
      <c r="AE184" s="1989">
        <v>29</v>
      </c>
      <c r="AF184" s="1989">
        <v>1</v>
      </c>
      <c r="AG184" s="1989">
        <v>178</v>
      </c>
      <c r="AH184" s="1989">
        <v>157</v>
      </c>
      <c r="AI184" s="1989">
        <v>14</v>
      </c>
      <c r="AJ184" s="1989">
        <v>39</v>
      </c>
      <c r="AK184" s="1989">
        <v>16</v>
      </c>
      <c r="AL184" s="1989">
        <v>6</v>
      </c>
      <c r="AM184" s="1989">
        <v>0</v>
      </c>
      <c r="AN184" s="1989">
        <v>0</v>
      </c>
      <c r="AO184" s="1989">
        <v>1336</v>
      </c>
      <c r="AP184" s="1989">
        <v>2535</v>
      </c>
      <c r="AQ184" s="1989">
        <v>1912</v>
      </c>
      <c r="AR184" s="1989">
        <v>623</v>
      </c>
      <c r="AS184" s="1989">
        <v>1418</v>
      </c>
      <c r="AT184" s="1988">
        <v>5320</v>
      </c>
      <c r="AU184" s="1991"/>
      <c r="AV184" s="1991"/>
      <c r="AX184" s="1992"/>
      <c r="AY184" s="1992"/>
      <c r="AZ184" s="1992"/>
      <c r="BA184" s="1992"/>
      <c r="BB184" s="1992"/>
      <c r="BD184" s="1992"/>
      <c r="BE184" s="1992"/>
      <c r="BG184" s="1992"/>
      <c r="BI184" s="1992"/>
      <c r="BJ184" s="1992"/>
      <c r="BK184" s="1992"/>
    </row>
    <row r="185" spans="1:109" ht="12.75" x14ac:dyDescent="0.2">
      <c r="A185" s="1984">
        <v>178</v>
      </c>
      <c r="B185" s="1995" t="s">
        <v>250</v>
      </c>
      <c r="C185" s="1994" t="s">
        <v>251</v>
      </c>
      <c r="D185" s="1987">
        <v>92680</v>
      </c>
      <c r="E185" s="1988">
        <v>42456000</v>
      </c>
      <c r="F185" s="1989">
        <v>18955778</v>
      </c>
      <c r="G185" s="1989">
        <v>-1864819</v>
      </c>
      <c r="H185" s="1989">
        <v>375802</v>
      </c>
      <c r="I185" s="1989">
        <v>-1489017</v>
      </c>
      <c r="J185" s="1989">
        <v>-2653334</v>
      </c>
      <c r="K185" s="1989">
        <v>0</v>
      </c>
      <c r="L185" s="1989">
        <v>-40058</v>
      </c>
      <c r="M185" s="1989">
        <v>0</v>
      </c>
      <c r="N185" s="1989">
        <v>-245617</v>
      </c>
      <c r="O185" s="1989">
        <v>-30410</v>
      </c>
      <c r="P185" s="1989">
        <v>0</v>
      </c>
      <c r="Q185" s="1989">
        <v>0</v>
      </c>
      <c r="R185" s="1989">
        <v>0</v>
      </c>
      <c r="S185" s="1989">
        <v>0</v>
      </c>
      <c r="T185" s="1989">
        <v>0</v>
      </c>
      <c r="U185" s="1989">
        <v>0</v>
      </c>
      <c r="V185" s="1989">
        <v>0</v>
      </c>
      <c r="W185" s="1989">
        <v>-33423</v>
      </c>
      <c r="X185" s="1989">
        <v>-4437</v>
      </c>
      <c r="Y185" s="1989">
        <v>-16162</v>
      </c>
      <c r="Z185" s="1989">
        <v>14443320</v>
      </c>
      <c r="AA185" s="1989">
        <v>-965496</v>
      </c>
      <c r="AB185" s="1990"/>
      <c r="AC185" s="1989">
        <v>197</v>
      </c>
      <c r="AD185" s="1989">
        <v>27</v>
      </c>
      <c r="AE185" s="1989">
        <v>0</v>
      </c>
      <c r="AF185" s="1989">
        <v>82</v>
      </c>
      <c r="AG185" s="1989">
        <v>1</v>
      </c>
      <c r="AH185" s="1989">
        <v>46</v>
      </c>
      <c r="AI185" s="1989">
        <v>0</v>
      </c>
      <c r="AJ185" s="1989">
        <v>0</v>
      </c>
      <c r="AK185" s="1989">
        <v>0</v>
      </c>
      <c r="AL185" s="1989">
        <v>0</v>
      </c>
      <c r="AM185" s="1989">
        <v>0</v>
      </c>
      <c r="AN185" s="1989">
        <v>0</v>
      </c>
      <c r="AO185" s="1989">
        <v>726</v>
      </c>
      <c r="AP185" s="1989">
        <v>1039</v>
      </c>
      <c r="AQ185" s="1989">
        <v>719</v>
      </c>
      <c r="AR185" s="1989">
        <v>320</v>
      </c>
      <c r="AS185" s="1989">
        <v>635</v>
      </c>
      <c r="AT185" s="1988">
        <v>2430</v>
      </c>
      <c r="AU185" s="1992"/>
      <c r="AV185" s="1992"/>
      <c r="AW185" s="1992"/>
      <c r="AX185" s="1992"/>
      <c r="AY185" s="1992"/>
      <c r="BA185" s="1992"/>
      <c r="BB185" s="1992"/>
      <c r="BD185" s="1992"/>
      <c r="BF185" s="1992"/>
      <c r="BG185" s="1992"/>
      <c r="BH185" s="1992"/>
      <c r="DC185" s="1939"/>
      <c r="DD185" s="1939"/>
      <c r="DE185" s="1939"/>
    </row>
    <row r="186" spans="1:109" ht="12.75" x14ac:dyDescent="0.2">
      <c r="A186" s="1984">
        <v>179</v>
      </c>
      <c r="B186" s="1995" t="s">
        <v>252</v>
      </c>
      <c r="C186" s="1994" t="s">
        <v>253</v>
      </c>
      <c r="D186" s="1987">
        <v>98640</v>
      </c>
      <c r="E186" s="1988">
        <v>44768000</v>
      </c>
      <c r="F186" s="1989">
        <v>19329270</v>
      </c>
      <c r="G186" s="1989">
        <v>-1850619</v>
      </c>
      <c r="H186" s="1989">
        <v>392235</v>
      </c>
      <c r="I186" s="1989">
        <v>-1458384</v>
      </c>
      <c r="J186" s="1989">
        <v>-562684</v>
      </c>
      <c r="K186" s="1989">
        <v>-10318</v>
      </c>
      <c r="L186" s="1989">
        <v>-9611</v>
      </c>
      <c r="M186" s="1989">
        <v>-5000</v>
      </c>
      <c r="N186" s="1989">
        <v>-342361</v>
      </c>
      <c r="O186" s="1989">
        <v>-31159</v>
      </c>
      <c r="P186" s="1989">
        <v>-16574</v>
      </c>
      <c r="Q186" s="1989">
        <v>-229</v>
      </c>
      <c r="R186" s="1989">
        <v>-1274</v>
      </c>
      <c r="S186" s="1989">
        <v>0</v>
      </c>
      <c r="T186" s="1989">
        <v>0</v>
      </c>
      <c r="U186" s="1989">
        <v>0</v>
      </c>
      <c r="V186" s="1989">
        <v>0</v>
      </c>
      <c r="W186" s="1989">
        <v>0</v>
      </c>
      <c r="X186" s="1989">
        <v>0</v>
      </c>
      <c r="Y186" s="1989">
        <v>-10647</v>
      </c>
      <c r="Z186" s="1989">
        <v>16881029</v>
      </c>
      <c r="AA186" s="1989">
        <v>-293789</v>
      </c>
      <c r="AB186" s="1990"/>
      <c r="AC186" s="1989">
        <v>103</v>
      </c>
      <c r="AD186" s="1989">
        <v>4</v>
      </c>
      <c r="AE186" s="1989">
        <v>8</v>
      </c>
      <c r="AF186" s="1989">
        <v>0</v>
      </c>
      <c r="AG186" s="1989">
        <v>112</v>
      </c>
      <c r="AH186" s="1989">
        <v>25</v>
      </c>
      <c r="AI186" s="1989">
        <v>14</v>
      </c>
      <c r="AJ186" s="1989">
        <v>1</v>
      </c>
      <c r="AK186" s="1989">
        <v>2</v>
      </c>
      <c r="AL186" s="1989">
        <v>0</v>
      </c>
      <c r="AM186" s="1989">
        <v>0</v>
      </c>
      <c r="AN186" s="1989">
        <v>0</v>
      </c>
      <c r="AO186" s="1989">
        <v>708</v>
      </c>
      <c r="AP186" s="1989">
        <v>1135</v>
      </c>
      <c r="AQ186" s="1989">
        <v>880</v>
      </c>
      <c r="AR186" s="1989">
        <v>255</v>
      </c>
      <c r="AS186" s="1989">
        <v>690</v>
      </c>
      <c r="AT186" s="1988">
        <v>2590</v>
      </c>
      <c r="AU186" s="1991"/>
      <c r="AV186" s="1991"/>
      <c r="AX186" s="1992"/>
      <c r="AY186" s="1992"/>
      <c r="AZ186" s="1992"/>
      <c r="BA186" s="1992"/>
      <c r="BB186" s="1992"/>
      <c r="BD186" s="1992"/>
      <c r="BE186" s="1992"/>
      <c r="BG186" s="1992"/>
      <c r="BI186" s="1992"/>
      <c r="BJ186" s="1992"/>
      <c r="BK186" s="1992"/>
    </row>
    <row r="187" spans="1:109" ht="12.75" x14ac:dyDescent="0.2">
      <c r="A187" s="1984">
        <v>180</v>
      </c>
      <c r="B187" s="1996" t="s">
        <v>698</v>
      </c>
      <c r="C187" s="1994" t="s">
        <v>255</v>
      </c>
      <c r="D187" s="1987">
        <v>226742</v>
      </c>
      <c r="E187" s="1988">
        <v>157039000</v>
      </c>
      <c r="F187" s="1989">
        <v>79096386</v>
      </c>
      <c r="G187" s="1989">
        <v>-3471347</v>
      </c>
      <c r="H187" s="1989">
        <v>1860739</v>
      </c>
      <c r="I187" s="1989">
        <v>-1610608</v>
      </c>
      <c r="J187" s="1989">
        <v>-3525391</v>
      </c>
      <c r="K187" s="1989">
        <v>-92283</v>
      </c>
      <c r="L187" s="1989">
        <v>-596</v>
      </c>
      <c r="M187" s="1989">
        <v>-70000</v>
      </c>
      <c r="N187" s="1989">
        <v>-1615531</v>
      </c>
      <c r="O187" s="1989">
        <v>-27080</v>
      </c>
      <c r="P187" s="1989">
        <v>-199091</v>
      </c>
      <c r="Q187" s="1989">
        <v>-2864</v>
      </c>
      <c r="R187" s="1989">
        <v>-574</v>
      </c>
      <c r="S187" s="1989">
        <v>0</v>
      </c>
      <c r="T187" s="1989">
        <v>-65728</v>
      </c>
      <c r="U187" s="1989">
        <v>-65728</v>
      </c>
      <c r="V187" s="1989">
        <v>0</v>
      </c>
      <c r="W187" s="1989">
        <v>0</v>
      </c>
      <c r="X187" s="1989">
        <v>-20667</v>
      </c>
      <c r="Y187" s="1989">
        <v>-798</v>
      </c>
      <c r="Z187" s="1989">
        <v>71865175</v>
      </c>
      <c r="AA187" s="1989">
        <v>-3602891</v>
      </c>
      <c r="AB187" s="1990"/>
      <c r="AC187" s="1989">
        <v>191</v>
      </c>
      <c r="AD187" s="1989">
        <v>12</v>
      </c>
      <c r="AE187" s="1989">
        <v>2</v>
      </c>
      <c r="AF187" s="1989">
        <v>0</v>
      </c>
      <c r="AG187" s="1989">
        <v>788</v>
      </c>
      <c r="AH187" s="1989">
        <v>35</v>
      </c>
      <c r="AI187" s="1989">
        <v>22</v>
      </c>
      <c r="AJ187" s="1989">
        <v>2</v>
      </c>
      <c r="AK187" s="1989">
        <v>2</v>
      </c>
      <c r="AL187" s="1989">
        <v>0</v>
      </c>
      <c r="AM187" s="1989">
        <v>2</v>
      </c>
      <c r="AN187" s="1989">
        <v>0</v>
      </c>
      <c r="AO187" s="1989">
        <v>1992</v>
      </c>
      <c r="AP187" s="1989">
        <v>2002</v>
      </c>
      <c r="AQ187" s="1989">
        <v>1540</v>
      </c>
      <c r="AR187" s="1989">
        <v>462</v>
      </c>
      <c r="AS187" s="1989">
        <v>1480</v>
      </c>
      <c r="AT187" s="1988">
        <v>5470</v>
      </c>
      <c r="AU187" s="1991"/>
      <c r="AV187" s="1991"/>
      <c r="AX187" s="1992"/>
      <c r="AY187" s="1992"/>
      <c r="AZ187" s="1992"/>
      <c r="BA187" s="1992"/>
      <c r="BB187" s="1992"/>
      <c r="BD187" s="1992"/>
      <c r="BE187" s="1992"/>
      <c r="BG187" s="1992"/>
      <c r="BI187" s="1992"/>
      <c r="BJ187" s="1992"/>
      <c r="BK187" s="1992"/>
    </row>
    <row r="188" spans="1:109" ht="12.75" x14ac:dyDescent="0.2">
      <c r="A188" s="1984">
        <v>181</v>
      </c>
      <c r="B188" s="1995" t="s">
        <v>256</v>
      </c>
      <c r="C188" s="1994" t="s">
        <v>257</v>
      </c>
      <c r="D188" s="1987">
        <v>179886</v>
      </c>
      <c r="E188" s="1988">
        <v>101463000</v>
      </c>
      <c r="F188" s="1989">
        <v>46331098</v>
      </c>
      <c r="G188" s="1989">
        <v>-2708344</v>
      </c>
      <c r="H188" s="1989">
        <v>993522</v>
      </c>
      <c r="I188" s="1989">
        <v>-1714822</v>
      </c>
      <c r="J188" s="1989">
        <v>-2643054</v>
      </c>
      <c r="K188" s="1989">
        <v>-107383</v>
      </c>
      <c r="L188" s="1989">
        <v>-13160</v>
      </c>
      <c r="M188" s="1989">
        <v>-19258</v>
      </c>
      <c r="N188" s="1989">
        <v>-1491638</v>
      </c>
      <c r="O188" s="1989">
        <v>-184843</v>
      </c>
      <c r="P188" s="1989">
        <v>-97551</v>
      </c>
      <c r="Q188" s="1989">
        <v>-16265</v>
      </c>
      <c r="R188" s="1989">
        <v>-12947</v>
      </c>
      <c r="S188" s="1989">
        <v>-6369</v>
      </c>
      <c r="T188" s="1989">
        <v>0</v>
      </c>
      <c r="U188" s="1989">
        <v>0</v>
      </c>
      <c r="V188" s="1989">
        <v>0</v>
      </c>
      <c r="W188" s="1989">
        <v>-2500</v>
      </c>
      <c r="X188" s="1989">
        <v>-2500</v>
      </c>
      <c r="Y188" s="1989">
        <v>-2575</v>
      </c>
      <c r="Z188" s="1989">
        <v>40145123</v>
      </c>
      <c r="AA188" s="1989">
        <v>-77000</v>
      </c>
      <c r="AB188" s="1990"/>
      <c r="AC188" s="1989">
        <v>240</v>
      </c>
      <c r="AD188" s="1989">
        <v>12</v>
      </c>
      <c r="AE188" s="1989">
        <v>13</v>
      </c>
      <c r="AF188" s="1989">
        <v>0</v>
      </c>
      <c r="AG188" s="1989">
        <v>605</v>
      </c>
      <c r="AH188" s="1989">
        <v>75</v>
      </c>
      <c r="AI188" s="1989">
        <v>34</v>
      </c>
      <c r="AJ188" s="1989">
        <v>7</v>
      </c>
      <c r="AK188" s="1989">
        <v>5</v>
      </c>
      <c r="AL188" s="1989">
        <v>5</v>
      </c>
      <c r="AM188" s="1989">
        <v>0</v>
      </c>
      <c r="AN188" s="1989">
        <v>0</v>
      </c>
      <c r="AO188" s="1989">
        <v>1499</v>
      </c>
      <c r="AP188" s="1989">
        <v>1258</v>
      </c>
      <c r="AQ188" s="1989">
        <v>713</v>
      </c>
      <c r="AR188" s="1989">
        <v>545</v>
      </c>
      <c r="AS188" s="1989">
        <v>1362</v>
      </c>
      <c r="AT188" s="1988">
        <v>4340</v>
      </c>
      <c r="AU188" s="1991"/>
      <c r="AV188" s="1991"/>
      <c r="AX188" s="1992"/>
      <c r="AY188" s="1992"/>
      <c r="AZ188" s="1992"/>
      <c r="BA188" s="1992"/>
      <c r="BB188" s="1992"/>
      <c r="BD188" s="1992"/>
      <c r="BE188" s="1992"/>
      <c r="BG188" s="1992"/>
      <c r="BI188" s="1992"/>
      <c r="BJ188" s="1992"/>
      <c r="BK188" s="1992"/>
    </row>
    <row r="189" spans="1:109" ht="12.75" x14ac:dyDescent="0.2">
      <c r="A189" s="1984">
        <v>182</v>
      </c>
      <c r="B189" s="1995" t="s">
        <v>258</v>
      </c>
      <c r="C189" s="1994" t="s">
        <v>259</v>
      </c>
      <c r="D189" s="1987">
        <v>124359</v>
      </c>
      <c r="E189" s="1988">
        <v>69347000</v>
      </c>
      <c r="F189" s="1989">
        <v>31199412</v>
      </c>
      <c r="G189" s="1989">
        <v>-2329989</v>
      </c>
      <c r="H189" s="1989">
        <v>653534</v>
      </c>
      <c r="I189" s="1989">
        <v>-1676455</v>
      </c>
      <c r="J189" s="1989">
        <v>-1674051</v>
      </c>
      <c r="K189" s="1989">
        <v>-28905</v>
      </c>
      <c r="L189" s="1989">
        <v>-43538</v>
      </c>
      <c r="M189" s="1989">
        <v>0</v>
      </c>
      <c r="N189" s="1989">
        <v>-583856</v>
      </c>
      <c r="O189" s="1989">
        <v>-64131</v>
      </c>
      <c r="P189" s="1989">
        <v>-13443</v>
      </c>
      <c r="Q189" s="1989">
        <v>0</v>
      </c>
      <c r="R189" s="1989">
        <v>-7511</v>
      </c>
      <c r="S189" s="1989">
        <v>0</v>
      </c>
      <c r="T189" s="1989">
        <v>0</v>
      </c>
      <c r="U189" s="1989">
        <v>0</v>
      </c>
      <c r="V189" s="1989">
        <v>0</v>
      </c>
      <c r="W189" s="1989">
        <v>-19159</v>
      </c>
      <c r="X189" s="1989">
        <v>-70725</v>
      </c>
      <c r="Y189" s="1989">
        <v>0</v>
      </c>
      <c r="Z189" s="1989">
        <v>27006763</v>
      </c>
      <c r="AA189" s="1989">
        <v>-793544</v>
      </c>
      <c r="AB189" s="1990"/>
      <c r="AC189" s="1989">
        <v>176</v>
      </c>
      <c r="AD189" s="1989">
        <v>3</v>
      </c>
      <c r="AE189" s="1989">
        <v>34</v>
      </c>
      <c r="AF189" s="1989">
        <v>0</v>
      </c>
      <c r="AG189" s="1989">
        <v>208</v>
      </c>
      <c r="AH189" s="1989">
        <v>110</v>
      </c>
      <c r="AI189" s="1989">
        <v>5</v>
      </c>
      <c r="AJ189" s="1989">
        <v>0</v>
      </c>
      <c r="AK189" s="1989">
        <v>12</v>
      </c>
      <c r="AL189" s="1989">
        <v>0</v>
      </c>
      <c r="AM189" s="1989">
        <v>0</v>
      </c>
      <c r="AN189" s="1989">
        <v>0</v>
      </c>
      <c r="AO189" s="1989">
        <v>1405</v>
      </c>
      <c r="AP189" s="1989">
        <v>1350</v>
      </c>
      <c r="AQ189" s="1989">
        <v>972</v>
      </c>
      <c r="AR189" s="1989">
        <v>378</v>
      </c>
      <c r="AS189" s="1989">
        <v>367</v>
      </c>
      <c r="AT189" s="1988">
        <v>3150</v>
      </c>
      <c r="AU189" s="1991"/>
      <c r="AV189" s="1991"/>
      <c r="AX189" s="1992"/>
      <c r="AY189" s="1992"/>
      <c r="AZ189" s="1992"/>
      <c r="BA189" s="1992"/>
      <c r="BB189" s="1992"/>
      <c r="BD189" s="1992"/>
      <c r="BE189" s="1992"/>
      <c r="BG189" s="1992"/>
      <c r="BI189" s="1992"/>
      <c r="BJ189" s="1992"/>
      <c r="BK189" s="1992"/>
    </row>
    <row r="190" spans="1:109" ht="12.75" x14ac:dyDescent="0.2">
      <c r="A190" s="1984">
        <v>183</v>
      </c>
      <c r="B190" s="1996" t="s">
        <v>699</v>
      </c>
      <c r="C190" s="1994" t="s">
        <v>261</v>
      </c>
      <c r="D190" s="1987">
        <v>238111</v>
      </c>
      <c r="E190" s="1988">
        <v>195612000</v>
      </c>
      <c r="F190" s="1989">
        <v>100797061</v>
      </c>
      <c r="G190" s="1989">
        <v>-3718696</v>
      </c>
      <c r="H190" s="1989">
        <v>2486797</v>
      </c>
      <c r="I190" s="1989">
        <v>-1231899</v>
      </c>
      <c r="J190" s="1989">
        <v>-2281526</v>
      </c>
      <c r="K190" s="1989">
        <v>-37583</v>
      </c>
      <c r="L190" s="1989">
        <v>-24045</v>
      </c>
      <c r="M190" s="1989">
        <v>-109000</v>
      </c>
      <c r="N190" s="1989">
        <v>-2785351</v>
      </c>
      <c r="O190" s="1989">
        <v>-85051</v>
      </c>
      <c r="P190" s="1989">
        <v>-92808</v>
      </c>
      <c r="Q190" s="1989">
        <v>-3254</v>
      </c>
      <c r="R190" s="1989">
        <v>-20874</v>
      </c>
      <c r="S190" s="1989">
        <v>-2370</v>
      </c>
      <c r="T190" s="1989">
        <v>0</v>
      </c>
      <c r="U190" s="1989">
        <v>0</v>
      </c>
      <c r="V190" s="1989">
        <v>0</v>
      </c>
      <c r="W190" s="1989">
        <v>-12450</v>
      </c>
      <c r="X190" s="1989">
        <v>-86905</v>
      </c>
      <c r="Y190" s="1989">
        <v>-5540</v>
      </c>
      <c r="Z190" s="1989">
        <v>94018405</v>
      </c>
      <c r="AA190" s="1989">
        <v>-1500000</v>
      </c>
      <c r="AB190" s="1990"/>
      <c r="AC190" s="1989">
        <v>205</v>
      </c>
      <c r="AD190" s="1989">
        <v>12</v>
      </c>
      <c r="AE190" s="1989">
        <v>11</v>
      </c>
      <c r="AF190" s="1989">
        <v>0</v>
      </c>
      <c r="AG190" s="1989">
        <v>622</v>
      </c>
      <c r="AH190" s="1989">
        <v>113</v>
      </c>
      <c r="AI190" s="1989">
        <v>26</v>
      </c>
      <c r="AJ190" s="1989">
        <v>9</v>
      </c>
      <c r="AK190" s="1989">
        <v>10</v>
      </c>
      <c r="AL190" s="1989">
        <v>3</v>
      </c>
      <c r="AM190" s="1989">
        <v>0</v>
      </c>
      <c r="AN190" s="1989">
        <v>0</v>
      </c>
      <c r="AO190" s="1989">
        <v>1802</v>
      </c>
      <c r="AP190" s="1989">
        <v>2170</v>
      </c>
      <c r="AQ190" s="1989">
        <v>1679</v>
      </c>
      <c r="AR190" s="1989">
        <v>491</v>
      </c>
      <c r="AS190" s="1989">
        <v>1487</v>
      </c>
      <c r="AT190" s="1988">
        <v>5470</v>
      </c>
      <c r="AU190" s="1991"/>
      <c r="AV190" s="1991"/>
      <c r="AX190" s="1992"/>
      <c r="AY190" s="1992"/>
      <c r="AZ190" s="1992"/>
      <c r="BA190" s="1992"/>
      <c r="BB190" s="1992"/>
      <c r="BD190" s="1992"/>
      <c r="BE190" s="1992"/>
      <c r="BG190" s="1992"/>
      <c r="BI190" s="1992"/>
      <c r="BJ190" s="1992"/>
      <c r="BK190" s="1992"/>
    </row>
    <row r="191" spans="1:109" ht="12.75" x14ac:dyDescent="0.2">
      <c r="A191" s="1984">
        <v>184</v>
      </c>
      <c r="B191" s="1995" t="s">
        <v>262</v>
      </c>
      <c r="C191" s="1994" t="s">
        <v>263</v>
      </c>
      <c r="D191" s="1987">
        <v>247838</v>
      </c>
      <c r="E191" s="1988">
        <v>78622000</v>
      </c>
      <c r="F191" s="1989">
        <v>31976293</v>
      </c>
      <c r="G191" s="1989">
        <v>-4374219</v>
      </c>
      <c r="H191" s="1989">
        <v>593454</v>
      </c>
      <c r="I191" s="1989">
        <v>-3780765</v>
      </c>
      <c r="J191" s="1989">
        <v>-1615916</v>
      </c>
      <c r="K191" s="1989">
        <v>-66797</v>
      </c>
      <c r="L191" s="1989">
        <v>-101382</v>
      </c>
      <c r="M191" s="1989">
        <v>0</v>
      </c>
      <c r="N191" s="1989">
        <v>-336101</v>
      </c>
      <c r="O191" s="1989">
        <v>-27368</v>
      </c>
      <c r="P191" s="1989">
        <v>0</v>
      </c>
      <c r="Q191" s="1989">
        <v>0</v>
      </c>
      <c r="R191" s="1989">
        <v>-4568</v>
      </c>
      <c r="S191" s="1989">
        <v>0</v>
      </c>
      <c r="T191" s="1989">
        <v>0</v>
      </c>
      <c r="U191" s="1989">
        <v>0</v>
      </c>
      <c r="V191" s="1989">
        <v>0</v>
      </c>
      <c r="W191" s="1989">
        <v>-924</v>
      </c>
      <c r="X191" s="1989">
        <v>-2210</v>
      </c>
      <c r="Y191" s="1989">
        <v>-28524</v>
      </c>
      <c r="Z191" s="1989">
        <v>26006696</v>
      </c>
      <c r="AA191" s="1989">
        <v>-140000</v>
      </c>
      <c r="AB191" s="1990"/>
      <c r="AC191" s="1989">
        <v>358</v>
      </c>
      <c r="AD191" s="1989">
        <v>36</v>
      </c>
      <c r="AE191" s="1989">
        <v>67</v>
      </c>
      <c r="AF191" s="1989">
        <v>0</v>
      </c>
      <c r="AG191" s="1989">
        <v>195</v>
      </c>
      <c r="AH191" s="1989">
        <v>42</v>
      </c>
      <c r="AI191" s="1989">
        <v>0</v>
      </c>
      <c r="AJ191" s="1989">
        <v>0</v>
      </c>
      <c r="AK191" s="1989">
        <v>2</v>
      </c>
      <c r="AL191" s="1989">
        <v>0</v>
      </c>
      <c r="AM191" s="1989">
        <v>0</v>
      </c>
      <c r="AN191" s="1989">
        <v>0</v>
      </c>
      <c r="AO191" s="1989">
        <v>1280</v>
      </c>
      <c r="AP191" s="1989">
        <v>3389</v>
      </c>
      <c r="AQ191" s="1989">
        <v>2878</v>
      </c>
      <c r="AR191" s="1989">
        <v>511</v>
      </c>
      <c r="AS191" s="1989">
        <v>2004</v>
      </c>
      <c r="AT191" s="1988">
        <v>6810</v>
      </c>
      <c r="AU191" s="1991"/>
      <c r="AV191" s="1991"/>
      <c r="AX191" s="1992"/>
      <c r="AY191" s="1992"/>
      <c r="AZ191" s="1992"/>
      <c r="BA191" s="1992"/>
      <c r="BB191" s="1992"/>
      <c r="BD191" s="1992"/>
      <c r="BE191" s="1992"/>
      <c r="BG191" s="1992"/>
      <c r="BI191" s="1992"/>
      <c r="BJ191" s="1992"/>
      <c r="BK191" s="1992"/>
    </row>
    <row r="192" spans="1:109" ht="12.75" x14ac:dyDescent="0.2">
      <c r="A192" s="1984">
        <v>185</v>
      </c>
      <c r="B192" s="1996" t="s">
        <v>606</v>
      </c>
      <c r="C192" s="1994" t="s">
        <v>265</v>
      </c>
      <c r="D192" s="1987">
        <v>261366</v>
      </c>
      <c r="E192" s="1988">
        <v>159382000</v>
      </c>
      <c r="F192" s="1989">
        <v>74881937</v>
      </c>
      <c r="G192" s="1989">
        <v>-4152955</v>
      </c>
      <c r="H192" s="1989">
        <v>1685269</v>
      </c>
      <c r="I192" s="1989">
        <v>-2467686</v>
      </c>
      <c r="J192" s="1989">
        <v>-4465896</v>
      </c>
      <c r="K192" s="1989">
        <v>-106426</v>
      </c>
      <c r="L192" s="1989">
        <v>-13967</v>
      </c>
      <c r="M192" s="1989">
        <v>-1130</v>
      </c>
      <c r="N192" s="1989">
        <v>-2012635</v>
      </c>
      <c r="O192" s="1989">
        <v>-63180</v>
      </c>
      <c r="P192" s="1989">
        <v>-652471</v>
      </c>
      <c r="Q192" s="1989">
        <v>0</v>
      </c>
      <c r="R192" s="1989">
        <v>-4217</v>
      </c>
      <c r="S192" s="1989">
        <v>-1501</v>
      </c>
      <c r="T192" s="1989">
        <v>0</v>
      </c>
      <c r="U192" s="1989">
        <v>0</v>
      </c>
      <c r="V192" s="1989">
        <v>0</v>
      </c>
      <c r="W192" s="1989">
        <v>-17992</v>
      </c>
      <c r="X192" s="1989">
        <v>-5823</v>
      </c>
      <c r="Y192" s="1989">
        <v>0</v>
      </c>
      <c r="Z192" s="1989">
        <v>64915062</v>
      </c>
      <c r="AA192" s="1989">
        <v>-1184391</v>
      </c>
      <c r="AB192" s="1990"/>
      <c r="AC192" s="1989">
        <v>350</v>
      </c>
      <c r="AD192" s="1989">
        <v>19</v>
      </c>
      <c r="AE192" s="1989">
        <v>11</v>
      </c>
      <c r="AF192" s="1989">
        <v>0</v>
      </c>
      <c r="AG192" s="1989">
        <v>340</v>
      </c>
      <c r="AH192" s="1989">
        <v>94</v>
      </c>
      <c r="AI192" s="1989">
        <v>100</v>
      </c>
      <c r="AJ192" s="1989">
        <v>0</v>
      </c>
      <c r="AK192" s="1989">
        <v>5</v>
      </c>
      <c r="AL192" s="1989">
        <v>1</v>
      </c>
      <c r="AM192" s="1989">
        <v>0</v>
      </c>
      <c r="AN192" s="1989">
        <v>0</v>
      </c>
      <c r="AO192" s="1989">
        <v>2162</v>
      </c>
      <c r="AP192" s="1989">
        <v>2185</v>
      </c>
      <c r="AQ192" s="1989">
        <v>1398</v>
      </c>
      <c r="AR192" s="1989">
        <v>787</v>
      </c>
      <c r="AS192" s="1989">
        <v>1601</v>
      </c>
      <c r="AT192" s="1988">
        <v>6210</v>
      </c>
      <c r="AU192" s="1991"/>
      <c r="AV192" s="1991"/>
      <c r="AX192" s="1992"/>
      <c r="AY192" s="1992"/>
      <c r="AZ192" s="1992"/>
      <c r="BA192" s="1992"/>
      <c r="BB192" s="1992"/>
      <c r="BD192" s="1992"/>
      <c r="BE192" s="1992"/>
      <c r="BG192" s="1992"/>
      <c r="BI192" s="1992"/>
      <c r="BJ192" s="1992"/>
      <c r="BK192" s="1992"/>
    </row>
    <row r="193" spans="1:63" ht="12.75" x14ac:dyDescent="0.2">
      <c r="A193" s="1984">
        <v>186</v>
      </c>
      <c r="B193" s="1995" t="s">
        <v>266</v>
      </c>
      <c r="C193" s="1994" t="s">
        <v>267</v>
      </c>
      <c r="D193" s="1987">
        <v>226812</v>
      </c>
      <c r="E193" s="1988">
        <v>147199000</v>
      </c>
      <c r="F193" s="1989">
        <v>71106290</v>
      </c>
      <c r="G193" s="1989">
        <v>-3589636</v>
      </c>
      <c r="H193" s="1989">
        <v>1647381</v>
      </c>
      <c r="I193" s="1989">
        <v>-1942255</v>
      </c>
      <c r="J193" s="1989">
        <v>-4241229</v>
      </c>
      <c r="K193" s="1989">
        <v>-60729</v>
      </c>
      <c r="L193" s="1989">
        <v>0</v>
      </c>
      <c r="M193" s="1989">
        <v>-150000</v>
      </c>
      <c r="N193" s="1989">
        <v>-2700000</v>
      </c>
      <c r="O193" s="1989">
        <v>-304846</v>
      </c>
      <c r="P193" s="1989">
        <v>-34269</v>
      </c>
      <c r="Q193" s="1989">
        <v>-15182</v>
      </c>
      <c r="R193" s="1989">
        <v>0</v>
      </c>
      <c r="S193" s="1989">
        <v>0</v>
      </c>
      <c r="T193" s="1989">
        <v>-68483</v>
      </c>
      <c r="U193" s="1989">
        <v>-68483</v>
      </c>
      <c r="V193" s="1989">
        <v>0</v>
      </c>
      <c r="W193" s="1989">
        <v>0</v>
      </c>
      <c r="X193" s="1989">
        <v>-80000</v>
      </c>
      <c r="Y193" s="1989">
        <v>-5000</v>
      </c>
      <c r="Z193" s="1989">
        <v>61504297</v>
      </c>
      <c r="AA193" s="1989">
        <v>-600000</v>
      </c>
      <c r="AB193" s="1990"/>
      <c r="AC193" s="1989">
        <v>253</v>
      </c>
      <c r="AD193" s="1989">
        <v>12</v>
      </c>
      <c r="AE193" s="1989">
        <v>0</v>
      </c>
      <c r="AF193" s="1989">
        <v>3</v>
      </c>
      <c r="AG193" s="1989">
        <v>705</v>
      </c>
      <c r="AH193" s="1989">
        <v>148</v>
      </c>
      <c r="AI193" s="1989">
        <v>13</v>
      </c>
      <c r="AJ193" s="1989">
        <v>12</v>
      </c>
      <c r="AK193" s="1989">
        <v>0</v>
      </c>
      <c r="AL193" s="1989">
        <v>0</v>
      </c>
      <c r="AM193" s="1989">
        <v>6</v>
      </c>
      <c r="AN193" s="1989">
        <v>0</v>
      </c>
      <c r="AO193" s="1989">
        <v>1992</v>
      </c>
      <c r="AP193" s="1989">
        <v>1950</v>
      </c>
      <c r="AQ193" s="1989">
        <v>1362</v>
      </c>
      <c r="AR193" s="1989">
        <v>588</v>
      </c>
      <c r="AS193" s="1989">
        <v>1534</v>
      </c>
      <c r="AT193" s="1988">
        <v>5560</v>
      </c>
      <c r="AU193" s="1991"/>
      <c r="AV193" s="1991"/>
      <c r="AX193" s="1992"/>
      <c r="AY193" s="1992"/>
      <c r="AZ193" s="1992"/>
      <c r="BA193" s="1992"/>
      <c r="BB193" s="1992"/>
      <c r="BD193" s="1992"/>
      <c r="BE193" s="1992"/>
      <c r="BG193" s="1992"/>
      <c r="BI193" s="1992"/>
      <c r="BJ193" s="1992"/>
      <c r="BK193" s="1992"/>
    </row>
    <row r="194" spans="1:63" ht="12.75" x14ac:dyDescent="0.2">
      <c r="A194" s="1984">
        <v>187</v>
      </c>
      <c r="B194" s="1995" t="s">
        <v>268</v>
      </c>
      <c r="C194" s="1994" t="s">
        <v>269</v>
      </c>
      <c r="D194" s="1987">
        <v>107553</v>
      </c>
      <c r="E194" s="1988">
        <v>105458000</v>
      </c>
      <c r="F194" s="1989">
        <v>47608905</v>
      </c>
      <c r="G194" s="1989">
        <v>-1433443</v>
      </c>
      <c r="H194" s="1989">
        <v>1194345</v>
      </c>
      <c r="I194" s="1989">
        <v>-239098</v>
      </c>
      <c r="J194" s="1989">
        <v>-910579</v>
      </c>
      <c r="K194" s="1989">
        <v>-31299</v>
      </c>
      <c r="L194" s="1989">
        <v>-16364</v>
      </c>
      <c r="M194" s="1989">
        <v>-100000</v>
      </c>
      <c r="N194" s="1989">
        <v>-1221996</v>
      </c>
      <c r="O194" s="1989">
        <v>-34493</v>
      </c>
      <c r="P194" s="1989">
        <v>-11274</v>
      </c>
      <c r="Q194" s="1989">
        <v>-252</v>
      </c>
      <c r="R194" s="1989">
        <v>0</v>
      </c>
      <c r="S194" s="1989">
        <v>0</v>
      </c>
      <c r="T194" s="1989">
        <v>0</v>
      </c>
      <c r="U194" s="1989">
        <v>0</v>
      </c>
      <c r="V194" s="1989">
        <v>0</v>
      </c>
      <c r="W194" s="1989">
        <v>0</v>
      </c>
      <c r="X194" s="1989">
        <v>-6701</v>
      </c>
      <c r="Y194" s="1989">
        <v>-5495</v>
      </c>
      <c r="Z194" s="1989">
        <v>45031354</v>
      </c>
      <c r="AA194" s="1989">
        <v>-1300000</v>
      </c>
      <c r="AB194" s="1990"/>
      <c r="AC194" s="1989">
        <v>110</v>
      </c>
      <c r="AD194" s="1989">
        <v>12</v>
      </c>
      <c r="AE194" s="1989">
        <v>15</v>
      </c>
      <c r="AF194" s="1989">
        <v>0</v>
      </c>
      <c r="AG194" s="1989">
        <v>275</v>
      </c>
      <c r="AH194" s="1989">
        <v>58</v>
      </c>
      <c r="AI194" s="1989">
        <v>2</v>
      </c>
      <c r="AJ194" s="1989">
        <v>5</v>
      </c>
      <c r="AK194" s="1989">
        <v>10</v>
      </c>
      <c r="AL194" s="1989">
        <v>0</v>
      </c>
      <c r="AM194" s="1989">
        <v>0</v>
      </c>
      <c r="AN194" s="1989">
        <v>0</v>
      </c>
      <c r="AO194" s="1989">
        <v>916</v>
      </c>
      <c r="AP194" s="1989">
        <v>797</v>
      </c>
      <c r="AQ194" s="1989">
        <v>557</v>
      </c>
      <c r="AR194" s="1989">
        <v>240</v>
      </c>
      <c r="AS194" s="1989">
        <v>578</v>
      </c>
      <c r="AT194" s="1988">
        <v>2250</v>
      </c>
      <c r="AU194" s="1991"/>
      <c r="AV194" s="1991"/>
      <c r="AX194" s="1992"/>
      <c r="AY194" s="1992"/>
      <c r="AZ194" s="1992"/>
      <c r="BA194" s="1992"/>
      <c r="BB194" s="1992"/>
      <c r="BD194" s="1992"/>
      <c r="BE194" s="1992"/>
      <c r="BG194" s="1992"/>
      <c r="BI194" s="1992"/>
      <c r="BJ194" s="1992"/>
      <c r="BK194" s="1992"/>
    </row>
    <row r="195" spans="1:63" ht="12.75" x14ac:dyDescent="0.2">
      <c r="A195" s="1984">
        <v>188</v>
      </c>
      <c r="B195" s="1995" t="s">
        <v>286</v>
      </c>
      <c r="C195" s="1994" t="s">
        <v>287</v>
      </c>
      <c r="D195" s="1987">
        <v>145430</v>
      </c>
      <c r="E195" s="1988">
        <v>128526000</v>
      </c>
      <c r="F195" s="1989">
        <v>56822164</v>
      </c>
      <c r="G195" s="1989">
        <v>-1981230</v>
      </c>
      <c r="H195" s="1989">
        <v>1377753</v>
      </c>
      <c r="I195" s="1989">
        <v>-603477</v>
      </c>
      <c r="J195" s="1989">
        <v>-1425509</v>
      </c>
      <c r="K195" s="1989">
        <v>-14950</v>
      </c>
      <c r="L195" s="1989">
        <v>-10013</v>
      </c>
      <c r="M195" s="1989">
        <v>-180000</v>
      </c>
      <c r="N195" s="1989">
        <v>-490750</v>
      </c>
      <c r="O195" s="1989">
        <v>-54724</v>
      </c>
      <c r="P195" s="1989">
        <v>-78073</v>
      </c>
      <c r="Q195" s="1989">
        <v>-1311</v>
      </c>
      <c r="R195" s="1989">
        <v>-9560</v>
      </c>
      <c r="S195" s="1989">
        <v>-240</v>
      </c>
      <c r="T195" s="1989">
        <v>0</v>
      </c>
      <c r="U195" s="1989">
        <v>0</v>
      </c>
      <c r="V195" s="1989">
        <v>0</v>
      </c>
      <c r="W195" s="1989">
        <v>-5400</v>
      </c>
      <c r="X195" s="1989">
        <v>0</v>
      </c>
      <c r="Y195" s="1989">
        <v>-3637</v>
      </c>
      <c r="Z195" s="1989">
        <v>53420270</v>
      </c>
      <c r="AA195" s="1989">
        <v>-1874708</v>
      </c>
      <c r="AB195" s="1990"/>
      <c r="AC195" s="1989">
        <v>130</v>
      </c>
      <c r="AD195" s="1989">
        <v>7</v>
      </c>
      <c r="AE195" s="1989">
        <v>11</v>
      </c>
      <c r="AF195" s="1989">
        <v>0</v>
      </c>
      <c r="AG195" s="1989">
        <v>178</v>
      </c>
      <c r="AH195" s="1989">
        <v>75</v>
      </c>
      <c r="AI195" s="1989">
        <v>25</v>
      </c>
      <c r="AJ195" s="1989">
        <v>3</v>
      </c>
      <c r="AK195" s="1989">
        <v>10</v>
      </c>
      <c r="AL195" s="1989">
        <v>0</v>
      </c>
      <c r="AM195" s="1989">
        <v>0</v>
      </c>
      <c r="AN195" s="1989">
        <v>3</v>
      </c>
      <c r="AO195" s="1989">
        <v>1266</v>
      </c>
      <c r="AP195" s="1989">
        <v>1193</v>
      </c>
      <c r="AQ195" s="1989">
        <v>923</v>
      </c>
      <c r="AR195" s="1989">
        <v>270</v>
      </c>
      <c r="AS195" s="1989">
        <v>771</v>
      </c>
      <c r="AT195" s="1988">
        <v>3260</v>
      </c>
      <c r="AU195" s="1991"/>
      <c r="AV195" s="1991"/>
      <c r="AX195" s="1992"/>
      <c r="AY195" s="1992"/>
      <c r="AZ195" s="1992"/>
      <c r="BA195" s="1992"/>
      <c r="BB195" s="1992"/>
      <c r="BD195" s="1992"/>
      <c r="BE195" s="1992"/>
      <c r="BG195" s="1992"/>
      <c r="BI195" s="1992"/>
      <c r="BJ195" s="1992"/>
      <c r="BK195" s="1992"/>
    </row>
    <row r="196" spans="1:63" ht="12.75" x14ac:dyDescent="0.2">
      <c r="A196" s="1984">
        <v>189</v>
      </c>
      <c r="B196" s="1995" t="s">
        <v>288</v>
      </c>
      <c r="C196" s="1994" t="s">
        <v>289</v>
      </c>
      <c r="D196" s="1987">
        <v>282973</v>
      </c>
      <c r="E196" s="1988">
        <v>240173000</v>
      </c>
      <c r="F196" s="1989">
        <v>117426017</v>
      </c>
      <c r="G196" s="1989">
        <v>-3835734</v>
      </c>
      <c r="H196" s="1989">
        <v>2897783</v>
      </c>
      <c r="I196" s="1989">
        <v>-937951</v>
      </c>
      <c r="J196" s="1989">
        <v>-7071743</v>
      </c>
      <c r="K196" s="1989">
        <v>-15902</v>
      </c>
      <c r="L196" s="1989">
        <v>0</v>
      </c>
      <c r="M196" s="1989">
        <v>-140623</v>
      </c>
      <c r="N196" s="1989">
        <v>-4110260</v>
      </c>
      <c r="O196" s="1989">
        <v>-229343</v>
      </c>
      <c r="P196" s="1989">
        <v>-216266</v>
      </c>
      <c r="Q196" s="1989">
        <v>-2982</v>
      </c>
      <c r="R196" s="1989">
        <v>0</v>
      </c>
      <c r="S196" s="1989">
        <v>0</v>
      </c>
      <c r="T196" s="1989">
        <v>-2050864</v>
      </c>
      <c r="U196" s="1989">
        <v>-2050864</v>
      </c>
      <c r="V196" s="1989">
        <v>0</v>
      </c>
      <c r="W196" s="1989">
        <v>0</v>
      </c>
      <c r="X196" s="1989">
        <v>-250695</v>
      </c>
      <c r="Y196" s="1989">
        <v>0</v>
      </c>
      <c r="Z196" s="1989">
        <v>102399388</v>
      </c>
      <c r="AA196" s="1989">
        <v>-405462</v>
      </c>
      <c r="AB196" s="1990"/>
      <c r="AC196" s="1989">
        <v>288</v>
      </c>
      <c r="AD196" s="1989">
        <v>4</v>
      </c>
      <c r="AE196" s="1989">
        <v>0</v>
      </c>
      <c r="AF196" s="1989">
        <v>2</v>
      </c>
      <c r="AG196" s="1989">
        <v>768</v>
      </c>
      <c r="AH196" s="1989">
        <v>126</v>
      </c>
      <c r="AI196" s="1989">
        <v>37</v>
      </c>
      <c r="AJ196" s="1989">
        <v>4</v>
      </c>
      <c r="AK196" s="1989">
        <v>0</v>
      </c>
      <c r="AL196" s="1989">
        <v>0</v>
      </c>
      <c r="AM196" s="1989">
        <v>129</v>
      </c>
      <c r="AN196" s="1989">
        <v>0</v>
      </c>
      <c r="AO196" s="1989">
        <v>2785</v>
      </c>
      <c r="AP196" s="1989">
        <v>1974</v>
      </c>
      <c r="AQ196" s="1989">
        <v>1099</v>
      </c>
      <c r="AR196" s="1989">
        <v>875</v>
      </c>
      <c r="AS196" s="1989">
        <v>1566</v>
      </c>
      <c r="AT196" s="1988">
        <v>6320</v>
      </c>
      <c r="AU196" s="1991"/>
      <c r="AV196" s="1991"/>
      <c r="AX196" s="1992"/>
      <c r="AY196" s="1992"/>
      <c r="AZ196" s="1992"/>
      <c r="BA196" s="1992"/>
      <c r="BB196" s="1992"/>
      <c r="BD196" s="1992"/>
      <c r="BE196" s="1992"/>
      <c r="BG196" s="1992"/>
      <c r="BI196" s="1992"/>
      <c r="BJ196" s="1992"/>
      <c r="BK196" s="1992"/>
    </row>
    <row r="197" spans="1:63" ht="12.75" x14ac:dyDescent="0.2">
      <c r="A197" s="1984">
        <v>190</v>
      </c>
      <c r="B197" s="1995" t="s">
        <v>290</v>
      </c>
      <c r="C197" s="1994" t="s">
        <v>291</v>
      </c>
      <c r="D197" s="1987">
        <v>479269</v>
      </c>
      <c r="E197" s="1988">
        <v>221344000</v>
      </c>
      <c r="F197" s="1989">
        <v>99640137</v>
      </c>
      <c r="G197" s="1989">
        <v>-8421615</v>
      </c>
      <c r="H197" s="1989">
        <v>2088466</v>
      </c>
      <c r="I197" s="1989">
        <v>-6333149</v>
      </c>
      <c r="J197" s="1989">
        <v>-6298091</v>
      </c>
      <c r="K197" s="1989">
        <v>-198184</v>
      </c>
      <c r="L197" s="1989">
        <v>-95131</v>
      </c>
      <c r="M197" s="1989">
        <v>-700000</v>
      </c>
      <c r="N197" s="1989">
        <v>-2823240</v>
      </c>
      <c r="O197" s="1989">
        <v>-627560</v>
      </c>
      <c r="P197" s="1989">
        <v>-426511</v>
      </c>
      <c r="Q197" s="1989">
        <v>-19585</v>
      </c>
      <c r="R197" s="1989">
        <v>-11345</v>
      </c>
      <c r="S197" s="1989">
        <v>-17049</v>
      </c>
      <c r="T197" s="1989">
        <v>-228096</v>
      </c>
      <c r="U197" s="1989">
        <v>-78096</v>
      </c>
      <c r="V197" s="1989">
        <v>0</v>
      </c>
      <c r="W197" s="1989">
        <v>-25000</v>
      </c>
      <c r="X197" s="1989">
        <v>-35899</v>
      </c>
      <c r="Y197" s="1989">
        <v>-28801</v>
      </c>
      <c r="Z197" s="1989">
        <v>81750111</v>
      </c>
      <c r="AA197" s="1989">
        <v>-2000000</v>
      </c>
      <c r="AB197" s="1990"/>
      <c r="AC197" s="1989">
        <v>763</v>
      </c>
      <c r="AD197" s="1989">
        <v>59</v>
      </c>
      <c r="AE197" s="1989">
        <v>87</v>
      </c>
      <c r="AF197" s="1989">
        <v>0</v>
      </c>
      <c r="AG197" s="1989">
        <v>1113</v>
      </c>
      <c r="AH197" s="1989">
        <v>413</v>
      </c>
      <c r="AI197" s="1989">
        <v>88</v>
      </c>
      <c r="AJ197" s="1989">
        <v>25</v>
      </c>
      <c r="AK197" s="1989">
        <v>11</v>
      </c>
      <c r="AL197" s="1989">
        <v>8</v>
      </c>
      <c r="AM197" s="1989">
        <v>35</v>
      </c>
      <c r="AN197" s="1989">
        <v>1</v>
      </c>
      <c r="AO197" s="1989">
        <v>3719</v>
      </c>
      <c r="AP197" s="1989">
        <v>5032</v>
      </c>
      <c r="AQ197" s="1989">
        <v>3839</v>
      </c>
      <c r="AR197" s="1989">
        <v>1193</v>
      </c>
      <c r="AS197" s="1989">
        <v>3586</v>
      </c>
      <c r="AT197" s="1988">
        <v>12550</v>
      </c>
      <c r="AU197" s="1991"/>
      <c r="AV197" s="1991"/>
      <c r="AX197" s="1992"/>
      <c r="AY197" s="1992"/>
      <c r="AZ197" s="1992"/>
      <c r="BA197" s="1992"/>
      <c r="BB197" s="1992"/>
      <c r="BD197" s="1992"/>
      <c r="BE197" s="1992"/>
      <c r="BG197" s="1992"/>
      <c r="BI197" s="1992"/>
      <c r="BJ197" s="1992"/>
      <c r="BK197" s="1992"/>
    </row>
    <row r="198" spans="1:63" ht="12.75" x14ac:dyDescent="0.2">
      <c r="A198" s="1984">
        <v>191</v>
      </c>
      <c r="B198" s="1995" t="s">
        <v>292</v>
      </c>
      <c r="C198" s="1994" t="s">
        <v>293</v>
      </c>
      <c r="D198" s="1987">
        <v>270765</v>
      </c>
      <c r="E198" s="1988">
        <v>204543000</v>
      </c>
      <c r="F198" s="1989">
        <v>92302319</v>
      </c>
      <c r="G198" s="1989">
        <v>-3826900</v>
      </c>
      <c r="H198" s="1989">
        <v>2222101</v>
      </c>
      <c r="I198" s="1989">
        <v>-1604799</v>
      </c>
      <c r="J198" s="1989">
        <v>-5901451</v>
      </c>
      <c r="K198" s="1989">
        <v>-24836</v>
      </c>
      <c r="L198" s="1989">
        <v>0</v>
      </c>
      <c r="M198" s="1989">
        <v>-25222</v>
      </c>
      <c r="N198" s="1989">
        <v>-3895110</v>
      </c>
      <c r="O198" s="1989">
        <v>-115028</v>
      </c>
      <c r="P198" s="1989">
        <v>-42913</v>
      </c>
      <c r="Q198" s="1989">
        <v>0</v>
      </c>
      <c r="R198" s="1989">
        <v>0</v>
      </c>
      <c r="S198" s="1989">
        <v>0</v>
      </c>
      <c r="T198" s="1989">
        <v>0</v>
      </c>
      <c r="U198" s="1989">
        <v>0</v>
      </c>
      <c r="V198" s="1989">
        <v>0</v>
      </c>
      <c r="W198" s="1989">
        <v>0</v>
      </c>
      <c r="X198" s="1989">
        <v>-29129</v>
      </c>
      <c r="Y198" s="1989">
        <v>-10928</v>
      </c>
      <c r="Z198" s="1989">
        <v>80652903</v>
      </c>
      <c r="AA198" s="1989">
        <v>-1713058</v>
      </c>
      <c r="AB198" s="1990"/>
      <c r="AC198" s="1989">
        <v>312</v>
      </c>
      <c r="AD198" s="1989">
        <v>3</v>
      </c>
      <c r="AE198" s="1989">
        <v>0</v>
      </c>
      <c r="AF198" s="1989">
        <v>1</v>
      </c>
      <c r="AG198" s="1989">
        <v>760</v>
      </c>
      <c r="AH198" s="1989">
        <v>73</v>
      </c>
      <c r="AI198" s="1989">
        <v>11</v>
      </c>
      <c r="AJ198" s="1989">
        <v>0</v>
      </c>
      <c r="AK198" s="1989">
        <v>0</v>
      </c>
      <c r="AL198" s="1989">
        <v>0</v>
      </c>
      <c r="AM198" s="1989">
        <v>0</v>
      </c>
      <c r="AN198" s="1989">
        <v>0</v>
      </c>
      <c r="AO198" s="1989">
        <v>3108</v>
      </c>
      <c r="AP198" s="1989">
        <v>1836</v>
      </c>
      <c r="AQ198" s="1989">
        <v>1085</v>
      </c>
      <c r="AR198" s="1989">
        <v>751</v>
      </c>
      <c r="AS198" s="1989">
        <v>1304</v>
      </c>
      <c r="AT198" s="1988">
        <v>6380</v>
      </c>
      <c r="AU198" s="1991"/>
      <c r="AV198" s="1991"/>
      <c r="AX198" s="1992"/>
      <c r="AY198" s="1992"/>
      <c r="AZ198" s="1992"/>
      <c r="BA198" s="1992"/>
      <c r="BB198" s="1992"/>
      <c r="BD198" s="1992"/>
      <c r="BE198" s="1992"/>
      <c r="BG198" s="1992"/>
      <c r="BI198" s="1992"/>
      <c r="BJ198" s="1992"/>
      <c r="BK198" s="1992"/>
    </row>
    <row r="199" spans="1:63" ht="12.75" x14ac:dyDescent="0.2">
      <c r="A199" s="1984">
        <v>192</v>
      </c>
      <c r="B199" s="1996" t="s">
        <v>733</v>
      </c>
      <c r="C199" s="1994" t="s">
        <v>295</v>
      </c>
      <c r="D199" s="1987">
        <v>493121</v>
      </c>
      <c r="E199" s="1988">
        <v>377067000</v>
      </c>
      <c r="F199" s="1989">
        <v>155083555</v>
      </c>
      <c r="G199" s="1989">
        <v>-5747000</v>
      </c>
      <c r="H199" s="1989">
        <v>3764000</v>
      </c>
      <c r="I199" s="1989">
        <v>-1983000</v>
      </c>
      <c r="J199" s="1989">
        <v>-13035609</v>
      </c>
      <c r="K199" s="1989">
        <v>-47268</v>
      </c>
      <c r="L199" s="1989">
        <v>0</v>
      </c>
      <c r="M199" s="1989">
        <v>-160000</v>
      </c>
      <c r="N199" s="1989">
        <v>-6680800</v>
      </c>
      <c r="O199" s="1989">
        <v>-193698</v>
      </c>
      <c r="P199" s="1989">
        <v>-563765</v>
      </c>
      <c r="Q199" s="1989">
        <v>-855</v>
      </c>
      <c r="R199" s="1989">
        <v>0</v>
      </c>
      <c r="S199" s="1989">
        <v>0</v>
      </c>
      <c r="T199" s="1989">
        <v>-106000</v>
      </c>
      <c r="U199" s="1989">
        <v>0</v>
      </c>
      <c r="V199" s="1989">
        <v>0</v>
      </c>
      <c r="W199" s="1989">
        <v>0</v>
      </c>
      <c r="X199" s="1989">
        <v>-50000</v>
      </c>
      <c r="Y199" s="1989">
        <v>0</v>
      </c>
      <c r="Z199" s="1989">
        <v>132262560</v>
      </c>
      <c r="AA199" s="1989">
        <v>-4347386</v>
      </c>
      <c r="AB199" s="1990"/>
      <c r="AC199" s="1989">
        <v>590</v>
      </c>
      <c r="AD199" s="1989">
        <v>8</v>
      </c>
      <c r="AE199" s="1989">
        <v>0</v>
      </c>
      <c r="AF199" s="1989">
        <v>2</v>
      </c>
      <c r="AG199" s="1989">
        <v>1726</v>
      </c>
      <c r="AH199" s="1989">
        <v>159</v>
      </c>
      <c r="AI199" s="1989">
        <v>88</v>
      </c>
      <c r="AJ199" s="1989">
        <v>1</v>
      </c>
      <c r="AK199" s="1989">
        <v>0</v>
      </c>
      <c r="AL199" s="1989">
        <v>0</v>
      </c>
      <c r="AM199" s="1989">
        <v>0</v>
      </c>
      <c r="AN199" s="1989">
        <v>3</v>
      </c>
      <c r="AO199" s="1989">
        <v>5093</v>
      </c>
      <c r="AP199" s="1989">
        <v>3372</v>
      </c>
      <c r="AQ199" s="1989">
        <v>2579</v>
      </c>
      <c r="AR199" s="1989">
        <v>793</v>
      </c>
      <c r="AS199" s="1989">
        <v>2831</v>
      </c>
      <c r="AT199" s="1988">
        <v>11400</v>
      </c>
      <c r="AU199" s="1991"/>
      <c r="AV199" s="1991"/>
      <c r="AX199" s="1992"/>
      <c r="AY199" s="1992"/>
      <c r="AZ199" s="1992"/>
      <c r="BA199" s="1992"/>
      <c r="BB199" s="1992"/>
      <c r="BD199" s="1992"/>
      <c r="BE199" s="1992"/>
      <c r="BG199" s="1992"/>
      <c r="BI199" s="1992"/>
      <c r="BJ199" s="1992"/>
      <c r="BK199" s="1992"/>
    </row>
    <row r="200" spans="1:63" ht="12.75" x14ac:dyDescent="0.2">
      <c r="A200" s="1984">
        <v>193</v>
      </c>
      <c r="B200" s="1995" t="s">
        <v>296</v>
      </c>
      <c r="C200" s="1994" t="s">
        <v>297</v>
      </c>
      <c r="D200" s="1987">
        <v>130142</v>
      </c>
      <c r="E200" s="1988">
        <v>85355000</v>
      </c>
      <c r="F200" s="1989">
        <v>41138149</v>
      </c>
      <c r="G200" s="1989">
        <v>-2002184</v>
      </c>
      <c r="H200" s="1989">
        <v>932884</v>
      </c>
      <c r="I200" s="1989">
        <v>-1069300</v>
      </c>
      <c r="J200" s="1989">
        <v>-2031841</v>
      </c>
      <c r="K200" s="1989">
        <v>-21868</v>
      </c>
      <c r="L200" s="1989">
        <v>0</v>
      </c>
      <c r="M200" s="1989">
        <v>-25000</v>
      </c>
      <c r="N200" s="1989">
        <v>-800000</v>
      </c>
      <c r="O200" s="1989">
        <v>-37936</v>
      </c>
      <c r="P200" s="1989">
        <v>-20674</v>
      </c>
      <c r="Q200" s="1989">
        <v>0</v>
      </c>
      <c r="R200" s="1989">
        <v>0</v>
      </c>
      <c r="S200" s="1989">
        <v>0</v>
      </c>
      <c r="T200" s="1989">
        <v>-50000</v>
      </c>
      <c r="U200" s="1989">
        <v>0</v>
      </c>
      <c r="V200" s="1989">
        <v>0</v>
      </c>
      <c r="W200" s="1989">
        <v>-60000</v>
      </c>
      <c r="X200" s="1989">
        <v>0</v>
      </c>
      <c r="Y200" s="1989">
        <v>-4000</v>
      </c>
      <c r="Z200" s="1989">
        <v>36973530</v>
      </c>
      <c r="AA200" s="1989">
        <v>-1029613</v>
      </c>
      <c r="AB200" s="1990"/>
      <c r="AC200" s="1989">
        <v>137</v>
      </c>
      <c r="AD200" s="1989">
        <v>4</v>
      </c>
      <c r="AE200" s="1989">
        <v>0</v>
      </c>
      <c r="AF200" s="1989">
        <v>0</v>
      </c>
      <c r="AG200" s="1989">
        <v>151</v>
      </c>
      <c r="AH200" s="1989">
        <v>19</v>
      </c>
      <c r="AI200" s="1989">
        <v>8</v>
      </c>
      <c r="AJ200" s="1989">
        <v>0</v>
      </c>
      <c r="AK200" s="1989">
        <v>0</v>
      </c>
      <c r="AL200" s="1989">
        <v>0</v>
      </c>
      <c r="AM200" s="1989">
        <v>0</v>
      </c>
      <c r="AN200" s="1989">
        <v>3</v>
      </c>
      <c r="AO200" s="1989">
        <v>1176</v>
      </c>
      <c r="AP200" s="1989">
        <v>1089</v>
      </c>
      <c r="AQ200" s="1989">
        <v>712</v>
      </c>
      <c r="AR200" s="1989">
        <v>377</v>
      </c>
      <c r="AS200" s="1989">
        <v>806</v>
      </c>
      <c r="AT200" s="1988">
        <v>3100</v>
      </c>
      <c r="AU200" s="1991"/>
      <c r="AV200" s="1991"/>
      <c r="AX200" s="1992"/>
      <c r="AY200" s="1992"/>
      <c r="AZ200" s="1992"/>
      <c r="BA200" s="1992"/>
      <c r="BB200" s="1992"/>
      <c r="BD200" s="1992"/>
      <c r="BE200" s="1992"/>
      <c r="BG200" s="1992"/>
      <c r="BI200" s="1992"/>
      <c r="BJ200" s="1992"/>
      <c r="BK200" s="1992"/>
    </row>
    <row r="201" spans="1:63" ht="12.75" x14ac:dyDescent="0.2">
      <c r="A201" s="1984">
        <v>194</v>
      </c>
      <c r="B201" s="1995" t="s">
        <v>298</v>
      </c>
      <c r="C201" s="1994" t="s">
        <v>299</v>
      </c>
      <c r="D201" s="1987">
        <v>55691</v>
      </c>
      <c r="E201" s="1988">
        <v>34487000</v>
      </c>
      <c r="F201" s="1989">
        <v>15140763</v>
      </c>
      <c r="G201" s="1989">
        <v>-1024634</v>
      </c>
      <c r="H201" s="1989">
        <v>324179</v>
      </c>
      <c r="I201" s="1989">
        <v>-700455</v>
      </c>
      <c r="J201" s="1989">
        <v>-1413496</v>
      </c>
      <c r="K201" s="1989">
        <v>0</v>
      </c>
      <c r="L201" s="1989">
        <v>0</v>
      </c>
      <c r="M201" s="1989">
        <v>-5000</v>
      </c>
      <c r="N201" s="1989">
        <v>-351821</v>
      </c>
      <c r="O201" s="1989">
        <v>-49591</v>
      </c>
      <c r="P201" s="1989">
        <v>-13518</v>
      </c>
      <c r="Q201" s="1989">
        <v>0</v>
      </c>
      <c r="R201" s="1989">
        <v>0</v>
      </c>
      <c r="S201" s="1989">
        <v>0</v>
      </c>
      <c r="T201" s="1989">
        <v>0</v>
      </c>
      <c r="U201" s="1989">
        <v>0</v>
      </c>
      <c r="V201" s="1989">
        <v>0</v>
      </c>
      <c r="W201" s="1989">
        <v>0</v>
      </c>
      <c r="X201" s="1989">
        <v>-10000</v>
      </c>
      <c r="Y201" s="1989">
        <v>0</v>
      </c>
      <c r="Z201" s="1989">
        <v>12596882</v>
      </c>
      <c r="AA201" s="1989">
        <v>-226622</v>
      </c>
      <c r="AB201" s="1990"/>
      <c r="AC201" s="1989">
        <v>63</v>
      </c>
      <c r="AD201" s="1989">
        <v>0</v>
      </c>
      <c r="AE201" s="1989">
        <v>0</v>
      </c>
      <c r="AF201" s="1989">
        <v>0</v>
      </c>
      <c r="AG201" s="1989">
        <v>108</v>
      </c>
      <c r="AH201" s="1989">
        <v>28</v>
      </c>
      <c r="AI201" s="1989">
        <v>4</v>
      </c>
      <c r="AJ201" s="1989">
        <v>0</v>
      </c>
      <c r="AK201" s="1989">
        <v>0</v>
      </c>
      <c r="AL201" s="1989">
        <v>0</v>
      </c>
      <c r="AM201" s="1989">
        <v>0</v>
      </c>
      <c r="AN201" s="1989">
        <v>0</v>
      </c>
      <c r="AO201" s="1989">
        <v>455</v>
      </c>
      <c r="AP201" s="1989">
        <v>558</v>
      </c>
      <c r="AQ201" s="1989">
        <v>379</v>
      </c>
      <c r="AR201" s="1989">
        <v>179</v>
      </c>
      <c r="AS201" s="1989">
        <v>368</v>
      </c>
      <c r="AT201" s="1988">
        <v>1380</v>
      </c>
      <c r="AU201" s="1991"/>
      <c r="AV201" s="1991"/>
      <c r="AX201" s="1992"/>
      <c r="AY201" s="1992"/>
      <c r="AZ201" s="1992"/>
      <c r="BA201" s="1992"/>
      <c r="BB201" s="1992"/>
      <c r="BD201" s="1992"/>
      <c r="BE201" s="1992"/>
      <c r="BG201" s="1992"/>
      <c r="BI201" s="1992"/>
      <c r="BJ201" s="1992"/>
      <c r="BK201" s="1992"/>
    </row>
    <row r="202" spans="1:63" ht="12.75" x14ac:dyDescent="0.2">
      <c r="A202" s="1984">
        <v>195</v>
      </c>
      <c r="B202" s="1995" t="s">
        <v>300</v>
      </c>
      <c r="C202" s="1994" t="s">
        <v>301</v>
      </c>
      <c r="D202" s="1987">
        <v>307642</v>
      </c>
      <c r="E202" s="1988">
        <v>157846000</v>
      </c>
      <c r="F202" s="1989">
        <v>75970291</v>
      </c>
      <c r="G202" s="1989">
        <v>-6008808</v>
      </c>
      <c r="H202" s="1989">
        <v>1674010</v>
      </c>
      <c r="I202" s="1989">
        <v>-4334798</v>
      </c>
      <c r="J202" s="1989">
        <v>-5648822</v>
      </c>
      <c r="K202" s="1989">
        <v>-89211</v>
      </c>
      <c r="L202" s="1989">
        <v>-10536</v>
      </c>
      <c r="M202" s="1989">
        <v>-13074</v>
      </c>
      <c r="N202" s="1989">
        <v>-2477068</v>
      </c>
      <c r="O202" s="1989">
        <v>-194508</v>
      </c>
      <c r="P202" s="1989">
        <v>-72697</v>
      </c>
      <c r="Q202" s="1989">
        <v>-152</v>
      </c>
      <c r="R202" s="1989">
        <v>-746</v>
      </c>
      <c r="S202" s="1989">
        <v>0</v>
      </c>
      <c r="T202" s="1989">
        <v>-8474</v>
      </c>
      <c r="U202" s="1989">
        <v>0</v>
      </c>
      <c r="V202" s="1989">
        <v>0</v>
      </c>
      <c r="W202" s="1989">
        <v>0</v>
      </c>
      <c r="X202" s="1989">
        <v>-90063</v>
      </c>
      <c r="Y202" s="1989">
        <v>-7355</v>
      </c>
      <c r="Z202" s="1989">
        <v>63022787</v>
      </c>
      <c r="AA202" s="1989">
        <v>-1150000</v>
      </c>
      <c r="AB202" s="1990"/>
      <c r="AC202" s="1989">
        <v>304</v>
      </c>
      <c r="AD202" s="1989">
        <v>16</v>
      </c>
      <c r="AE202" s="1989">
        <v>8</v>
      </c>
      <c r="AF202" s="1989">
        <v>0</v>
      </c>
      <c r="AG202" s="1989">
        <v>773</v>
      </c>
      <c r="AH202" s="1989">
        <v>58</v>
      </c>
      <c r="AI202" s="1989">
        <v>11</v>
      </c>
      <c r="AJ202" s="1989">
        <v>1</v>
      </c>
      <c r="AK202" s="1989">
        <v>8</v>
      </c>
      <c r="AL202" s="1989">
        <v>0</v>
      </c>
      <c r="AM202" s="1989">
        <v>0</v>
      </c>
      <c r="AN202" s="1989">
        <v>11</v>
      </c>
      <c r="AO202" s="1989">
        <v>2690</v>
      </c>
      <c r="AP202" s="1989">
        <v>3168</v>
      </c>
      <c r="AQ202" s="1989">
        <v>2226</v>
      </c>
      <c r="AR202" s="1989">
        <v>942</v>
      </c>
      <c r="AS202" s="1989">
        <v>1755</v>
      </c>
      <c r="AT202" s="1988">
        <v>7760</v>
      </c>
      <c r="AU202" s="1991"/>
      <c r="AV202" s="1991"/>
      <c r="AX202" s="1992"/>
      <c r="AY202" s="1992"/>
      <c r="AZ202" s="1992"/>
      <c r="BA202" s="1992"/>
      <c r="BB202" s="1992"/>
      <c r="BD202" s="1992"/>
      <c r="BE202" s="1992"/>
      <c r="BG202" s="1992"/>
      <c r="BI202" s="1992"/>
      <c r="BJ202" s="1992"/>
      <c r="BK202" s="1992"/>
    </row>
    <row r="203" spans="1:63" ht="12.75" x14ac:dyDescent="0.2">
      <c r="A203" s="1984">
        <v>196</v>
      </c>
      <c r="B203" s="1995" t="s">
        <v>302</v>
      </c>
      <c r="C203" s="1994" t="s">
        <v>303</v>
      </c>
      <c r="D203" s="1987">
        <v>218144</v>
      </c>
      <c r="E203" s="1988">
        <v>254890000</v>
      </c>
      <c r="F203" s="1989">
        <v>109003925</v>
      </c>
      <c r="G203" s="1989">
        <v>-1216641</v>
      </c>
      <c r="H203" s="1989">
        <v>2762488</v>
      </c>
      <c r="I203" s="1989">
        <v>1545847</v>
      </c>
      <c r="J203" s="1989">
        <v>-20634913</v>
      </c>
      <c r="K203" s="1989">
        <v>-43770</v>
      </c>
      <c r="L203" s="1989">
        <v>0</v>
      </c>
      <c r="M203" s="1989">
        <v>-20000</v>
      </c>
      <c r="N203" s="1989">
        <v>-1419536</v>
      </c>
      <c r="O203" s="1989">
        <v>0</v>
      </c>
      <c r="P203" s="1989">
        <v>-46870</v>
      </c>
      <c r="Q203" s="1989">
        <v>0</v>
      </c>
      <c r="R203" s="1989">
        <v>0</v>
      </c>
      <c r="S203" s="1989">
        <v>0</v>
      </c>
      <c r="T203" s="1989">
        <v>0</v>
      </c>
      <c r="U203" s="1989">
        <v>0</v>
      </c>
      <c r="V203" s="1989">
        <v>0</v>
      </c>
      <c r="W203" s="1989">
        <v>-19184</v>
      </c>
      <c r="X203" s="1989">
        <v>-49053</v>
      </c>
      <c r="Y203" s="1989">
        <v>-12000</v>
      </c>
      <c r="Z203" s="1989">
        <v>88304446</v>
      </c>
      <c r="AA203" s="1989">
        <v>-2757984</v>
      </c>
      <c r="AB203" s="1990"/>
      <c r="AC203" s="1989">
        <v>516</v>
      </c>
      <c r="AD203" s="1989">
        <v>6</v>
      </c>
      <c r="AE203" s="1989">
        <v>0</v>
      </c>
      <c r="AF203" s="1989">
        <v>0</v>
      </c>
      <c r="AG203" s="1989">
        <v>130</v>
      </c>
      <c r="AH203" s="1989">
        <v>16</v>
      </c>
      <c r="AI203" s="1989">
        <v>8</v>
      </c>
      <c r="AJ203" s="1989">
        <v>0</v>
      </c>
      <c r="AK203" s="1989">
        <v>0</v>
      </c>
      <c r="AL203" s="1989">
        <v>0</v>
      </c>
      <c r="AM203" s="1989">
        <v>0</v>
      </c>
      <c r="AN203" s="1989">
        <v>0</v>
      </c>
      <c r="AO203" s="1989">
        <v>2259</v>
      </c>
      <c r="AP203" s="1989">
        <v>601</v>
      </c>
      <c r="AQ203" s="1989">
        <v>306</v>
      </c>
      <c r="AR203" s="1989">
        <v>295</v>
      </c>
      <c r="AS203" s="1989">
        <v>1107</v>
      </c>
      <c r="AT203" s="1988">
        <v>4000</v>
      </c>
      <c r="AU203" s="1991"/>
      <c r="AV203" s="1991"/>
      <c r="AX203" s="1992"/>
      <c r="AY203" s="1992"/>
      <c r="AZ203" s="1992"/>
      <c r="BA203" s="1992"/>
      <c r="BB203" s="1992"/>
      <c r="BD203" s="1992"/>
      <c r="BE203" s="1992"/>
      <c r="BG203" s="1992"/>
      <c r="BI203" s="1992"/>
      <c r="BJ203" s="1992"/>
      <c r="BK203" s="1992"/>
    </row>
    <row r="204" spans="1:63" ht="12.75" x14ac:dyDescent="0.2">
      <c r="A204" s="1984">
        <v>197</v>
      </c>
      <c r="B204" s="1995" t="s">
        <v>304</v>
      </c>
      <c r="C204" s="1994" t="s">
        <v>305</v>
      </c>
      <c r="D204" s="1987">
        <v>133965</v>
      </c>
      <c r="E204" s="1988">
        <v>51569000</v>
      </c>
      <c r="F204" s="1989">
        <v>24947013</v>
      </c>
      <c r="G204" s="1989">
        <v>-2832524</v>
      </c>
      <c r="H204" s="1989">
        <v>526788</v>
      </c>
      <c r="I204" s="1989">
        <v>-2305736</v>
      </c>
      <c r="J204" s="1989">
        <v>-1084776</v>
      </c>
      <c r="K204" s="1989">
        <v>0</v>
      </c>
      <c r="L204" s="1989">
        <v>-926</v>
      </c>
      <c r="M204" s="1989">
        <v>0</v>
      </c>
      <c r="N204" s="1989">
        <v>-822975</v>
      </c>
      <c r="O204" s="1989">
        <v>-126251</v>
      </c>
      <c r="P204" s="1989">
        <v>-118295</v>
      </c>
      <c r="Q204" s="1989">
        <v>0</v>
      </c>
      <c r="R204" s="1989">
        <v>-926</v>
      </c>
      <c r="S204" s="1989">
        <v>0</v>
      </c>
      <c r="T204" s="1989">
        <v>-10500</v>
      </c>
      <c r="U204" s="1989">
        <v>0</v>
      </c>
      <c r="V204" s="1989">
        <v>0</v>
      </c>
      <c r="W204" s="1989">
        <v>0</v>
      </c>
      <c r="X204" s="1989">
        <v>0</v>
      </c>
      <c r="Y204" s="1989">
        <v>0</v>
      </c>
      <c r="Z204" s="1989">
        <v>20387220</v>
      </c>
      <c r="AA204" s="1989">
        <v>-500000</v>
      </c>
      <c r="AB204" s="1990"/>
      <c r="AC204" s="1989">
        <v>128</v>
      </c>
      <c r="AD204" s="1989">
        <v>0</v>
      </c>
      <c r="AE204" s="1989">
        <v>2</v>
      </c>
      <c r="AF204" s="1989">
        <v>0</v>
      </c>
      <c r="AG204" s="1989">
        <v>408</v>
      </c>
      <c r="AH204" s="1989">
        <v>71</v>
      </c>
      <c r="AI204" s="1989">
        <v>29</v>
      </c>
      <c r="AJ204" s="1989">
        <v>0</v>
      </c>
      <c r="AK204" s="1989">
        <v>2</v>
      </c>
      <c r="AL204" s="1989">
        <v>0</v>
      </c>
      <c r="AM204" s="1989">
        <v>0</v>
      </c>
      <c r="AN204" s="1989">
        <v>0</v>
      </c>
      <c r="AO204" s="1989">
        <v>995</v>
      </c>
      <c r="AP204" s="1989">
        <v>1703</v>
      </c>
      <c r="AQ204" s="1989">
        <v>1362</v>
      </c>
      <c r="AR204" s="1989">
        <v>341</v>
      </c>
      <c r="AS204" s="1989">
        <v>883</v>
      </c>
      <c r="AT204" s="1988">
        <v>3600</v>
      </c>
      <c r="AU204" s="1991"/>
      <c r="AV204" s="1991"/>
      <c r="AX204" s="1992"/>
      <c r="AY204" s="1992"/>
      <c r="AZ204" s="1992"/>
      <c r="BA204" s="1992"/>
      <c r="BB204" s="1992"/>
      <c r="BD204" s="1992"/>
      <c r="BE204" s="1992"/>
      <c r="BG204" s="1992"/>
      <c r="BI204" s="1992"/>
      <c r="BJ204" s="1992"/>
      <c r="BK204" s="1992"/>
    </row>
    <row r="205" spans="1:63" ht="12.75" x14ac:dyDescent="0.2">
      <c r="A205" s="1984">
        <v>198</v>
      </c>
      <c r="B205" s="1996" t="s">
        <v>623</v>
      </c>
      <c r="C205" s="1994" t="s">
        <v>307</v>
      </c>
      <c r="D205" s="1987">
        <v>268347</v>
      </c>
      <c r="E205" s="1988">
        <v>231411000</v>
      </c>
      <c r="F205" s="1989">
        <v>113624021</v>
      </c>
      <c r="G205" s="1989">
        <v>-3166067</v>
      </c>
      <c r="H205" s="1989">
        <v>2649238</v>
      </c>
      <c r="I205" s="1989">
        <v>-516829</v>
      </c>
      <c r="J205" s="1989">
        <v>-6318545</v>
      </c>
      <c r="K205" s="1989">
        <v>-42205</v>
      </c>
      <c r="L205" s="1989">
        <v>-13121</v>
      </c>
      <c r="M205" s="1989">
        <v>-69000</v>
      </c>
      <c r="N205" s="1989">
        <v>-1864029</v>
      </c>
      <c r="O205" s="1989">
        <v>-339916</v>
      </c>
      <c r="P205" s="1989">
        <v>-65727</v>
      </c>
      <c r="Q205" s="1989">
        <v>0</v>
      </c>
      <c r="R205" s="1989">
        <v>0</v>
      </c>
      <c r="S205" s="1989">
        <v>0</v>
      </c>
      <c r="T205" s="1989">
        <v>0</v>
      </c>
      <c r="U205" s="1989">
        <v>0</v>
      </c>
      <c r="V205" s="1989">
        <v>0</v>
      </c>
      <c r="W205" s="1989">
        <v>0</v>
      </c>
      <c r="X205" s="1989">
        <v>-23016</v>
      </c>
      <c r="Y205" s="1989">
        <v>0</v>
      </c>
      <c r="Z205" s="1989">
        <v>102872633</v>
      </c>
      <c r="AA205" s="1989">
        <v>-2669000</v>
      </c>
      <c r="AB205" s="1990"/>
      <c r="AC205" s="1989">
        <v>275</v>
      </c>
      <c r="AD205" s="1989">
        <v>5</v>
      </c>
      <c r="AE205" s="1989">
        <v>7</v>
      </c>
      <c r="AF205" s="1989">
        <v>0</v>
      </c>
      <c r="AG205" s="1989">
        <v>220</v>
      </c>
      <c r="AH205" s="1989">
        <v>19</v>
      </c>
      <c r="AI205" s="1989">
        <v>3</v>
      </c>
      <c r="AJ205" s="1989">
        <v>0</v>
      </c>
      <c r="AK205" s="1989">
        <v>0</v>
      </c>
      <c r="AL205" s="1989">
        <v>0</v>
      </c>
      <c r="AM205" s="1989">
        <v>0</v>
      </c>
      <c r="AN205" s="1989">
        <v>0</v>
      </c>
      <c r="AO205" s="1989">
        <v>2464</v>
      </c>
      <c r="AP205" s="1989">
        <v>1640</v>
      </c>
      <c r="AQ205" s="1989">
        <v>998</v>
      </c>
      <c r="AR205" s="1989">
        <v>642</v>
      </c>
      <c r="AS205" s="1989">
        <v>1557</v>
      </c>
      <c r="AT205" s="1988">
        <v>5800</v>
      </c>
      <c r="AU205" s="1991"/>
      <c r="AV205" s="1991"/>
      <c r="AX205" s="1992"/>
      <c r="AY205" s="1992"/>
      <c r="AZ205" s="1992"/>
      <c r="BA205" s="1992"/>
      <c r="BB205" s="1992"/>
      <c r="BD205" s="1992"/>
      <c r="BE205" s="1992"/>
      <c r="BG205" s="1992"/>
      <c r="BI205" s="1992"/>
      <c r="BJ205" s="1992"/>
      <c r="BK205" s="1992"/>
    </row>
    <row r="206" spans="1:63" ht="12.75" x14ac:dyDescent="0.2">
      <c r="A206" s="1984">
        <v>199</v>
      </c>
      <c r="B206" s="1996" t="s">
        <v>648</v>
      </c>
      <c r="C206" s="1994" t="s">
        <v>309</v>
      </c>
      <c r="D206" s="1987">
        <v>310944</v>
      </c>
      <c r="E206" s="1988">
        <v>230053000</v>
      </c>
      <c r="F206" s="1989">
        <v>111013532</v>
      </c>
      <c r="G206" s="1989">
        <v>-4617932</v>
      </c>
      <c r="H206" s="1989">
        <v>2537306</v>
      </c>
      <c r="I206" s="1989">
        <v>-2080626</v>
      </c>
      <c r="J206" s="1989">
        <v>-10151122</v>
      </c>
      <c r="K206" s="1989">
        <v>-10195</v>
      </c>
      <c r="L206" s="1989">
        <v>0</v>
      </c>
      <c r="M206" s="1989">
        <v>-1102149</v>
      </c>
      <c r="N206" s="1989">
        <v>-2207828</v>
      </c>
      <c r="O206" s="1989">
        <v>-55364</v>
      </c>
      <c r="P206" s="1989">
        <v>-39391</v>
      </c>
      <c r="Q206" s="1989">
        <v>0</v>
      </c>
      <c r="R206" s="1989">
        <v>0</v>
      </c>
      <c r="S206" s="1989">
        <v>0</v>
      </c>
      <c r="T206" s="1989">
        <v>-31569</v>
      </c>
      <c r="U206" s="1989">
        <v>0</v>
      </c>
      <c r="V206" s="1989">
        <v>0</v>
      </c>
      <c r="W206" s="1989">
        <v>-120570</v>
      </c>
      <c r="X206" s="1989">
        <v>-199044</v>
      </c>
      <c r="Y206" s="1989">
        <v>-11912</v>
      </c>
      <c r="Z206" s="1989">
        <v>96049253</v>
      </c>
      <c r="AA206" s="1989">
        <v>-918686</v>
      </c>
      <c r="AB206" s="1990"/>
      <c r="AC206" s="1989">
        <v>518</v>
      </c>
      <c r="AD206" s="1989">
        <v>1</v>
      </c>
      <c r="AE206" s="1989">
        <v>0</v>
      </c>
      <c r="AF206" s="1989">
        <v>2</v>
      </c>
      <c r="AG206" s="1989">
        <v>650</v>
      </c>
      <c r="AH206" s="1989">
        <v>27</v>
      </c>
      <c r="AI206" s="1989">
        <v>0</v>
      </c>
      <c r="AJ206" s="1989">
        <v>0</v>
      </c>
      <c r="AK206" s="1989">
        <v>0</v>
      </c>
      <c r="AL206" s="1989">
        <v>0</v>
      </c>
      <c r="AM206" s="1989">
        <v>0</v>
      </c>
      <c r="AN206" s="1989">
        <v>2</v>
      </c>
      <c r="AO206" s="1989">
        <v>2696</v>
      </c>
      <c r="AP206" s="1989">
        <v>2364</v>
      </c>
      <c r="AQ206" s="1989">
        <v>1504</v>
      </c>
      <c r="AR206" s="1989">
        <v>860</v>
      </c>
      <c r="AS206" s="1989">
        <v>2132</v>
      </c>
      <c r="AT206" s="1988">
        <v>7370</v>
      </c>
      <c r="AU206" s="1991"/>
      <c r="AV206" s="1991"/>
      <c r="AX206" s="1992"/>
      <c r="AY206" s="1992"/>
      <c r="AZ206" s="1992"/>
      <c r="BA206" s="1992"/>
      <c r="BB206" s="1992"/>
      <c r="BD206" s="1992"/>
      <c r="BE206" s="1992"/>
      <c r="BG206" s="1992"/>
      <c r="BI206" s="1992"/>
      <c r="BJ206" s="1992"/>
      <c r="BK206" s="1992"/>
    </row>
    <row r="207" spans="1:63" ht="12.75" x14ac:dyDescent="0.2">
      <c r="A207" s="1984">
        <v>200</v>
      </c>
      <c r="B207" s="1996" t="s">
        <v>654</v>
      </c>
      <c r="C207" s="1994" t="s">
        <v>311</v>
      </c>
      <c r="D207" s="1987">
        <v>230423</v>
      </c>
      <c r="E207" s="1988">
        <v>159451000</v>
      </c>
      <c r="F207" s="1989">
        <v>70042772</v>
      </c>
      <c r="G207" s="1989">
        <v>-3105110</v>
      </c>
      <c r="H207" s="1989">
        <v>1724857</v>
      </c>
      <c r="I207" s="1989">
        <v>-1380253</v>
      </c>
      <c r="J207" s="1989">
        <v>-5644394</v>
      </c>
      <c r="K207" s="1989">
        <v>-37335</v>
      </c>
      <c r="L207" s="1989">
        <v>0</v>
      </c>
      <c r="M207" s="1989">
        <v>0</v>
      </c>
      <c r="N207" s="1989">
        <v>-943997</v>
      </c>
      <c r="O207" s="1989">
        <v>-182727</v>
      </c>
      <c r="P207" s="1989">
        <v>-36132</v>
      </c>
      <c r="Q207" s="1989">
        <v>-2833</v>
      </c>
      <c r="R207" s="1989">
        <v>0</v>
      </c>
      <c r="S207" s="1989">
        <v>0</v>
      </c>
      <c r="T207" s="1989">
        <v>0</v>
      </c>
      <c r="U207" s="1989">
        <v>0</v>
      </c>
      <c r="V207" s="1989">
        <v>0</v>
      </c>
      <c r="W207" s="1989">
        <v>0</v>
      </c>
      <c r="X207" s="1989">
        <v>-9663</v>
      </c>
      <c r="Y207" s="1989">
        <v>-10520</v>
      </c>
      <c r="Z207" s="1989">
        <v>61794918</v>
      </c>
      <c r="AA207" s="1989">
        <v>-794315</v>
      </c>
      <c r="AB207" s="1990"/>
      <c r="AC207" s="1989">
        <v>178</v>
      </c>
      <c r="AD207" s="1989">
        <v>8</v>
      </c>
      <c r="AE207" s="1989">
        <v>0</v>
      </c>
      <c r="AF207" s="1989">
        <v>0</v>
      </c>
      <c r="AG207" s="1989">
        <v>182</v>
      </c>
      <c r="AH207" s="1989">
        <v>59</v>
      </c>
      <c r="AI207" s="1989">
        <v>8</v>
      </c>
      <c r="AJ207" s="1989">
        <v>5</v>
      </c>
      <c r="AK207" s="1989">
        <v>0</v>
      </c>
      <c r="AL207" s="1989">
        <v>0</v>
      </c>
      <c r="AM207" s="1989">
        <v>0</v>
      </c>
      <c r="AN207" s="1989">
        <v>0</v>
      </c>
      <c r="AO207" s="1989">
        <v>1859</v>
      </c>
      <c r="AP207" s="1989">
        <v>2382</v>
      </c>
      <c r="AQ207" s="1989">
        <v>1735</v>
      </c>
      <c r="AR207" s="1989">
        <v>647</v>
      </c>
      <c r="AS207" s="1989">
        <v>1297</v>
      </c>
      <c r="AT207" s="1988">
        <v>5560</v>
      </c>
      <c r="AU207" s="1991"/>
      <c r="AV207" s="1991"/>
      <c r="AX207" s="1992"/>
      <c r="AY207" s="1992"/>
      <c r="AZ207" s="1992"/>
      <c r="BA207" s="1992"/>
      <c r="BB207" s="1992"/>
      <c r="BD207" s="1992"/>
      <c r="BE207" s="1992"/>
      <c r="BG207" s="1992"/>
      <c r="BI207" s="1992"/>
      <c r="BJ207" s="1992"/>
      <c r="BK207" s="1992"/>
    </row>
    <row r="208" spans="1:63" ht="12.75" x14ac:dyDescent="0.2">
      <c r="A208" s="1984">
        <v>201</v>
      </c>
      <c r="B208" s="1996" t="s">
        <v>681</v>
      </c>
      <c r="C208" s="1994" t="s">
        <v>313</v>
      </c>
      <c r="D208" s="1987">
        <v>274758</v>
      </c>
      <c r="E208" s="1988">
        <v>219279000</v>
      </c>
      <c r="F208" s="1989">
        <v>97033045</v>
      </c>
      <c r="G208" s="1989">
        <v>-3786048</v>
      </c>
      <c r="H208" s="1989">
        <v>2318400</v>
      </c>
      <c r="I208" s="1989">
        <v>-1467648</v>
      </c>
      <c r="J208" s="1989">
        <v>-7512200</v>
      </c>
      <c r="K208" s="1989">
        <v>-35078</v>
      </c>
      <c r="L208" s="1989">
        <v>0</v>
      </c>
      <c r="M208" s="1989">
        <v>-80000</v>
      </c>
      <c r="N208" s="1989">
        <v>-1668800</v>
      </c>
      <c r="O208" s="1989">
        <v>-212383</v>
      </c>
      <c r="P208" s="1989">
        <v>-12000</v>
      </c>
      <c r="Q208" s="1989">
        <v>-917</v>
      </c>
      <c r="R208" s="1989">
        <v>0</v>
      </c>
      <c r="S208" s="1989">
        <v>0</v>
      </c>
      <c r="T208" s="1989">
        <v>0</v>
      </c>
      <c r="U208" s="1989">
        <v>0</v>
      </c>
      <c r="V208" s="1989">
        <v>0</v>
      </c>
      <c r="W208" s="1989">
        <v>0</v>
      </c>
      <c r="X208" s="1989">
        <v>-37000</v>
      </c>
      <c r="Y208" s="1989">
        <v>0</v>
      </c>
      <c r="Z208" s="1989">
        <v>85307019</v>
      </c>
      <c r="AA208" s="1989">
        <v>-2624101</v>
      </c>
      <c r="AB208" s="1990"/>
      <c r="AC208" s="1989">
        <v>335</v>
      </c>
      <c r="AD208" s="1989">
        <v>11</v>
      </c>
      <c r="AE208" s="1989">
        <v>0</v>
      </c>
      <c r="AF208" s="1989">
        <v>4</v>
      </c>
      <c r="AG208" s="1989">
        <v>263</v>
      </c>
      <c r="AH208" s="1989">
        <v>44</v>
      </c>
      <c r="AI208" s="1989">
        <v>5</v>
      </c>
      <c r="AJ208" s="1989">
        <v>2</v>
      </c>
      <c r="AK208" s="1989">
        <v>0</v>
      </c>
      <c r="AL208" s="1989">
        <v>0</v>
      </c>
      <c r="AM208" s="1989">
        <v>0</v>
      </c>
      <c r="AN208" s="1989">
        <v>1</v>
      </c>
      <c r="AO208" s="1989">
        <v>2709</v>
      </c>
      <c r="AP208" s="1989">
        <v>1887</v>
      </c>
      <c r="AQ208" s="1989">
        <v>1104</v>
      </c>
      <c r="AR208" s="1989">
        <v>783</v>
      </c>
      <c r="AS208" s="1989">
        <v>1430</v>
      </c>
      <c r="AT208" s="1988">
        <v>6080</v>
      </c>
      <c r="AU208" s="1991"/>
      <c r="AV208" s="1991"/>
      <c r="AX208" s="1992"/>
      <c r="AY208" s="1992"/>
      <c r="AZ208" s="1992"/>
      <c r="BA208" s="1992"/>
      <c r="BB208" s="1992"/>
      <c r="BD208" s="1992"/>
      <c r="BE208" s="1992"/>
      <c r="BG208" s="1992"/>
      <c r="BI208" s="1992"/>
      <c r="BJ208" s="1992"/>
      <c r="BK208" s="1992"/>
    </row>
    <row r="209" spans="1:63" ht="12.75" x14ac:dyDescent="0.2">
      <c r="A209" s="1984">
        <v>202</v>
      </c>
      <c r="B209" s="1995" t="s">
        <v>314</v>
      </c>
      <c r="C209" s="1994" t="s">
        <v>315</v>
      </c>
      <c r="D209" s="1987">
        <v>224997</v>
      </c>
      <c r="E209" s="1988">
        <v>153356000</v>
      </c>
      <c r="F209" s="1989">
        <v>82342718</v>
      </c>
      <c r="G209" s="1989">
        <v>-3475836</v>
      </c>
      <c r="H209" s="1989">
        <v>1951907</v>
      </c>
      <c r="I209" s="1989">
        <v>-1523929</v>
      </c>
      <c r="J209" s="1989">
        <v>-4734602</v>
      </c>
      <c r="K209" s="1989">
        <v>-107702</v>
      </c>
      <c r="L209" s="1989">
        <v>-1218</v>
      </c>
      <c r="M209" s="1989">
        <v>0</v>
      </c>
      <c r="N209" s="1989">
        <v>-1452971</v>
      </c>
      <c r="O209" s="1989">
        <v>-51667</v>
      </c>
      <c r="P209" s="1989">
        <v>-21677</v>
      </c>
      <c r="Q209" s="1989">
        <v>-5477</v>
      </c>
      <c r="R209" s="1989">
        <v>0</v>
      </c>
      <c r="S209" s="1989">
        <v>0</v>
      </c>
      <c r="T209" s="1989">
        <v>0</v>
      </c>
      <c r="U209" s="1989">
        <v>0</v>
      </c>
      <c r="V209" s="1989">
        <v>0</v>
      </c>
      <c r="W209" s="1989">
        <v>-15357</v>
      </c>
      <c r="X209" s="1989">
        <v>-198544</v>
      </c>
      <c r="Y209" s="1989">
        <v>-8580</v>
      </c>
      <c r="Z209" s="1989">
        <v>73465994</v>
      </c>
      <c r="AA209" s="1989">
        <v>-3012470</v>
      </c>
      <c r="AB209" s="1990"/>
      <c r="AC209" s="1989">
        <v>265</v>
      </c>
      <c r="AD209" s="1989">
        <v>0</v>
      </c>
      <c r="AE209" s="1989">
        <v>1</v>
      </c>
      <c r="AF209" s="1989">
        <v>0</v>
      </c>
      <c r="AG209" s="1989">
        <v>445</v>
      </c>
      <c r="AH209" s="1989">
        <v>51</v>
      </c>
      <c r="AI209" s="1989">
        <v>4</v>
      </c>
      <c r="AJ209" s="1989">
        <v>0</v>
      </c>
      <c r="AK209" s="1989">
        <v>0</v>
      </c>
      <c r="AL209" s="1989">
        <v>0</v>
      </c>
      <c r="AM209" s="1989">
        <v>0</v>
      </c>
      <c r="AN209" s="1989">
        <v>0</v>
      </c>
      <c r="AO209" s="1989">
        <v>2340</v>
      </c>
      <c r="AP209" s="1989">
        <v>1778</v>
      </c>
      <c r="AQ209" s="1989">
        <v>1171</v>
      </c>
      <c r="AR209" s="1989">
        <v>607</v>
      </c>
      <c r="AS209" s="1989">
        <v>1340</v>
      </c>
      <c r="AT209" s="1988">
        <v>5450</v>
      </c>
      <c r="AU209" s="1991"/>
      <c r="AV209" s="1991"/>
      <c r="AX209" s="1992"/>
      <c r="AY209" s="1992"/>
      <c r="AZ209" s="1992"/>
      <c r="BA209" s="1992"/>
      <c r="BB209" s="1992"/>
      <c r="BD209" s="1992"/>
      <c r="BE209" s="1992"/>
      <c r="BG209" s="1992"/>
      <c r="BI209" s="1992"/>
      <c r="BJ209" s="1992"/>
      <c r="BK209" s="1992"/>
    </row>
    <row r="210" spans="1:63" ht="12.75" x14ac:dyDescent="0.2">
      <c r="A210" s="1984">
        <v>203</v>
      </c>
      <c r="B210" s="1995" t="s">
        <v>316</v>
      </c>
      <c r="C210" s="1994" t="s">
        <v>317</v>
      </c>
      <c r="D210" s="1987">
        <v>98958</v>
      </c>
      <c r="E210" s="1988">
        <v>43607000</v>
      </c>
      <c r="F210" s="1989">
        <v>20620615</v>
      </c>
      <c r="G210" s="1989">
        <v>-1864897</v>
      </c>
      <c r="H210" s="1989">
        <v>438798</v>
      </c>
      <c r="I210" s="1989">
        <v>-1426099</v>
      </c>
      <c r="J210" s="1989">
        <v>-918249</v>
      </c>
      <c r="K210" s="1989">
        <v>-46221</v>
      </c>
      <c r="L210" s="1989">
        <v>-9095</v>
      </c>
      <c r="M210" s="1989">
        <v>0</v>
      </c>
      <c r="N210" s="1989">
        <v>-593999</v>
      </c>
      <c r="O210" s="1989">
        <v>-16793</v>
      </c>
      <c r="P210" s="1989">
        <v>-6382</v>
      </c>
      <c r="Q210" s="1989">
        <v>-1700</v>
      </c>
      <c r="R210" s="1989">
        <v>-4162</v>
      </c>
      <c r="S210" s="1989">
        <v>0</v>
      </c>
      <c r="T210" s="1989">
        <v>0</v>
      </c>
      <c r="U210" s="1989">
        <v>0</v>
      </c>
      <c r="V210" s="1989">
        <v>0</v>
      </c>
      <c r="W210" s="1989">
        <v>-14533</v>
      </c>
      <c r="X210" s="1989">
        <v>-2965</v>
      </c>
      <c r="Y210" s="1989">
        <v>-1528</v>
      </c>
      <c r="Z210" s="1989">
        <v>17578889</v>
      </c>
      <c r="AA210" s="1989">
        <v>-870000</v>
      </c>
      <c r="AB210" s="1990"/>
      <c r="AC210" s="1989">
        <v>127</v>
      </c>
      <c r="AD210" s="1989">
        <v>7</v>
      </c>
      <c r="AE210" s="1989">
        <v>10</v>
      </c>
      <c r="AF210" s="1989">
        <v>0</v>
      </c>
      <c r="AG210" s="1989">
        <v>132</v>
      </c>
      <c r="AH210" s="1989">
        <v>60</v>
      </c>
      <c r="AI210" s="1989">
        <v>5</v>
      </c>
      <c r="AJ210" s="1989">
        <v>4</v>
      </c>
      <c r="AK210" s="1989">
        <v>6</v>
      </c>
      <c r="AL210" s="1989">
        <v>0</v>
      </c>
      <c r="AM210" s="1989">
        <v>0</v>
      </c>
      <c r="AN210" s="1989">
        <v>0</v>
      </c>
      <c r="AO210" s="1989">
        <v>606</v>
      </c>
      <c r="AP210" s="1989">
        <v>1360</v>
      </c>
      <c r="AQ210" s="1989">
        <v>1020</v>
      </c>
      <c r="AR210" s="1989">
        <v>340</v>
      </c>
      <c r="AS210" s="1989">
        <v>561</v>
      </c>
      <c r="AT210" s="1988">
        <v>2610</v>
      </c>
      <c r="AU210" s="1991"/>
      <c r="AV210" s="1991"/>
      <c r="AX210" s="1992"/>
      <c r="AY210" s="1992"/>
      <c r="AZ210" s="1992"/>
      <c r="BA210" s="1992"/>
      <c r="BB210" s="1992"/>
      <c r="BD210" s="1992"/>
      <c r="BE210" s="1992"/>
      <c r="BG210" s="1992"/>
      <c r="BI210" s="1992"/>
      <c r="BJ210" s="1992"/>
      <c r="BK210" s="1992"/>
    </row>
    <row r="211" spans="1:63" ht="12.75" x14ac:dyDescent="0.2">
      <c r="A211" s="1984">
        <v>204</v>
      </c>
      <c r="B211" s="1996" t="s">
        <v>614</v>
      </c>
      <c r="C211" s="1994" t="s">
        <v>319</v>
      </c>
      <c r="D211" s="1987">
        <v>282531</v>
      </c>
      <c r="E211" s="1988">
        <v>305049000</v>
      </c>
      <c r="F211" s="1989">
        <v>119803953</v>
      </c>
      <c r="G211" s="1989">
        <v>-1919125</v>
      </c>
      <c r="H211" s="1989">
        <v>3010305</v>
      </c>
      <c r="I211" s="1989">
        <v>1091180</v>
      </c>
      <c r="J211" s="1989">
        <v>-4017633</v>
      </c>
      <c r="K211" s="1989">
        <v>-6839</v>
      </c>
      <c r="L211" s="1989">
        <v>0</v>
      </c>
      <c r="M211" s="1989">
        <v>-34714</v>
      </c>
      <c r="N211" s="1989">
        <v>-2959618</v>
      </c>
      <c r="O211" s="1989">
        <v>-51350</v>
      </c>
      <c r="P211" s="1989">
        <v>0</v>
      </c>
      <c r="Q211" s="1989">
        <v>0</v>
      </c>
      <c r="R211" s="1989">
        <v>0</v>
      </c>
      <c r="S211" s="1989">
        <v>0</v>
      </c>
      <c r="T211" s="1989">
        <v>0</v>
      </c>
      <c r="U211" s="1989">
        <v>0</v>
      </c>
      <c r="V211" s="1989">
        <v>0</v>
      </c>
      <c r="W211" s="1989">
        <v>0</v>
      </c>
      <c r="X211" s="1989">
        <v>-88590</v>
      </c>
      <c r="Y211" s="1989">
        <v>-27090</v>
      </c>
      <c r="Z211" s="1989">
        <v>113709299</v>
      </c>
      <c r="AA211" s="1989">
        <v>-5000000</v>
      </c>
      <c r="AB211" s="1990"/>
      <c r="AC211" s="1989">
        <v>253</v>
      </c>
      <c r="AD211" s="1989">
        <v>6</v>
      </c>
      <c r="AE211" s="1989">
        <v>0</v>
      </c>
      <c r="AF211" s="1989">
        <v>4</v>
      </c>
      <c r="AG211" s="1989">
        <v>584</v>
      </c>
      <c r="AH211" s="1989">
        <v>39</v>
      </c>
      <c r="AI211" s="1989">
        <v>0</v>
      </c>
      <c r="AJ211" s="1989">
        <v>0</v>
      </c>
      <c r="AK211" s="1989">
        <v>0</v>
      </c>
      <c r="AL211" s="1989">
        <v>0</v>
      </c>
      <c r="AM211" s="1989">
        <v>0</v>
      </c>
      <c r="AN211" s="1989">
        <v>0</v>
      </c>
      <c r="AO211" s="1989">
        <v>2468</v>
      </c>
      <c r="AP211" s="1989">
        <v>934</v>
      </c>
      <c r="AQ211" s="1989">
        <v>409</v>
      </c>
      <c r="AR211" s="1989">
        <v>525</v>
      </c>
      <c r="AS211" s="1989">
        <v>1643</v>
      </c>
      <c r="AT211" s="1988">
        <v>5200</v>
      </c>
      <c r="AU211" s="1991"/>
      <c r="AV211" s="1991"/>
      <c r="AX211" s="1992"/>
      <c r="AY211" s="1992"/>
      <c r="AZ211" s="1992"/>
      <c r="BA211" s="1992"/>
      <c r="BB211" s="1992"/>
      <c r="BD211" s="1992"/>
      <c r="BE211" s="1992"/>
      <c r="BG211" s="1992"/>
      <c r="BI211" s="1992"/>
      <c r="BJ211" s="1992"/>
      <c r="BK211" s="1992"/>
    </row>
    <row r="212" spans="1:63" ht="12.75" x14ac:dyDescent="0.2">
      <c r="A212" s="1984">
        <v>205</v>
      </c>
      <c r="B212" s="1995" t="s">
        <v>320</v>
      </c>
      <c r="C212" s="1994" t="s">
        <v>321</v>
      </c>
      <c r="D212" s="1987">
        <v>281336</v>
      </c>
      <c r="E212" s="1988">
        <v>157318000</v>
      </c>
      <c r="F212" s="1989">
        <v>66412870</v>
      </c>
      <c r="G212" s="1989">
        <v>-3970033</v>
      </c>
      <c r="H212" s="1989">
        <v>1290072</v>
      </c>
      <c r="I212" s="1989">
        <v>-2679961</v>
      </c>
      <c r="J212" s="1989">
        <v>-4588662</v>
      </c>
      <c r="K212" s="1989">
        <v>-119906</v>
      </c>
      <c r="L212" s="1989">
        <v>0</v>
      </c>
      <c r="M212" s="1989">
        <v>0</v>
      </c>
      <c r="N212" s="1989">
        <v>-1166483</v>
      </c>
      <c r="O212" s="1989">
        <v>-122607</v>
      </c>
      <c r="P212" s="1989">
        <v>-15488</v>
      </c>
      <c r="Q212" s="1989">
        <v>0</v>
      </c>
      <c r="R212" s="1989">
        <v>0</v>
      </c>
      <c r="S212" s="1989">
        <v>0</v>
      </c>
      <c r="T212" s="1989">
        <v>0</v>
      </c>
      <c r="U212" s="1989">
        <v>0</v>
      </c>
      <c r="V212" s="1989">
        <v>0</v>
      </c>
      <c r="W212" s="1989">
        <v>-10288</v>
      </c>
      <c r="X212" s="1989">
        <v>-36917</v>
      </c>
      <c r="Y212" s="1989">
        <v>0</v>
      </c>
      <c r="Z212" s="1989">
        <v>57672558</v>
      </c>
      <c r="AA212" s="1989">
        <v>0</v>
      </c>
      <c r="AB212" s="1990"/>
      <c r="AC212" s="1989">
        <v>262</v>
      </c>
      <c r="AD212" s="1989">
        <v>20</v>
      </c>
      <c r="AE212" s="1989">
        <v>0</v>
      </c>
      <c r="AF212" s="1989">
        <v>0</v>
      </c>
      <c r="AG212" s="1989">
        <v>701</v>
      </c>
      <c r="AH212" s="1989">
        <v>0</v>
      </c>
      <c r="AI212" s="1989">
        <v>9</v>
      </c>
      <c r="AJ212" s="1989">
        <v>0</v>
      </c>
      <c r="AK212" s="1989">
        <v>0</v>
      </c>
      <c r="AL212" s="1989">
        <v>0</v>
      </c>
      <c r="AM212" s="1989">
        <v>0</v>
      </c>
      <c r="AN212" s="1989">
        <v>0</v>
      </c>
      <c r="AO212" s="1989">
        <v>1919</v>
      </c>
      <c r="AP212" s="1989">
        <v>2016</v>
      </c>
      <c r="AQ212" s="1989">
        <v>936</v>
      </c>
      <c r="AR212" s="1989">
        <v>1080</v>
      </c>
      <c r="AS212" s="1989">
        <v>2533</v>
      </c>
      <c r="AT212" s="1988">
        <v>6520</v>
      </c>
      <c r="AU212" s="1991"/>
      <c r="AV212" s="1991"/>
      <c r="AX212" s="1992"/>
      <c r="AY212" s="1992"/>
      <c r="AZ212" s="1992"/>
      <c r="BA212" s="1992"/>
      <c r="BB212" s="1992"/>
      <c r="BD212" s="1992"/>
      <c r="BE212" s="1992"/>
      <c r="BG212" s="1992"/>
      <c r="BI212" s="1992"/>
      <c r="BJ212" s="1992"/>
      <c r="BK212" s="1992"/>
    </row>
    <row r="213" spans="1:63" ht="12.75" x14ac:dyDescent="0.2">
      <c r="A213" s="1984">
        <v>206</v>
      </c>
      <c r="B213" s="1996" t="s">
        <v>2338</v>
      </c>
      <c r="C213" s="1994" t="s">
        <v>323</v>
      </c>
      <c r="D213" s="1987">
        <v>157055</v>
      </c>
      <c r="E213" s="1988">
        <v>91853000</v>
      </c>
      <c r="F213" s="1989">
        <v>53815990</v>
      </c>
      <c r="G213" s="1989">
        <v>-2665587</v>
      </c>
      <c r="H213" s="1989">
        <v>1331912</v>
      </c>
      <c r="I213" s="1989">
        <v>-1333675</v>
      </c>
      <c r="J213" s="1989">
        <v>-2637083</v>
      </c>
      <c r="K213" s="1989">
        <v>-65864</v>
      </c>
      <c r="L213" s="1989">
        <v>-1690</v>
      </c>
      <c r="M213" s="1989">
        <v>0</v>
      </c>
      <c r="N213" s="1989">
        <v>-739065</v>
      </c>
      <c r="O213" s="1989">
        <v>-32543</v>
      </c>
      <c r="P213" s="1989">
        <v>-299646</v>
      </c>
      <c r="Q213" s="1989">
        <v>0</v>
      </c>
      <c r="R213" s="1989">
        <v>0</v>
      </c>
      <c r="S213" s="1989">
        <v>0</v>
      </c>
      <c r="T213" s="1989">
        <v>0</v>
      </c>
      <c r="U213" s="1989">
        <v>0</v>
      </c>
      <c r="V213" s="1989">
        <v>0</v>
      </c>
      <c r="W213" s="1989">
        <v>0</v>
      </c>
      <c r="X213" s="1989">
        <v>-3297</v>
      </c>
      <c r="Y213" s="1989">
        <v>0</v>
      </c>
      <c r="Z213" s="1989">
        <v>48703127</v>
      </c>
      <c r="AA213" s="1989">
        <v>-12537670</v>
      </c>
      <c r="AB213" s="1990"/>
      <c r="AC213" s="1989">
        <v>185</v>
      </c>
      <c r="AD213" s="1989">
        <v>13</v>
      </c>
      <c r="AE213" s="1989">
        <v>3</v>
      </c>
      <c r="AF213" s="1989">
        <v>0</v>
      </c>
      <c r="AG213" s="1989">
        <v>293</v>
      </c>
      <c r="AH213" s="1989">
        <v>26</v>
      </c>
      <c r="AI213" s="1989">
        <v>17</v>
      </c>
      <c r="AJ213" s="1989">
        <v>0</v>
      </c>
      <c r="AK213" s="1989">
        <v>0</v>
      </c>
      <c r="AL213" s="1989">
        <v>0</v>
      </c>
      <c r="AM213" s="1989">
        <v>2</v>
      </c>
      <c r="AN213" s="1989">
        <v>0</v>
      </c>
      <c r="AO213" s="1989">
        <v>1248</v>
      </c>
      <c r="AP213" s="1989">
        <v>1629</v>
      </c>
      <c r="AQ213" s="1989">
        <v>1278</v>
      </c>
      <c r="AR213" s="1989">
        <v>351</v>
      </c>
      <c r="AS213" s="1989">
        <v>1023</v>
      </c>
      <c r="AT213" s="1988">
        <v>3940</v>
      </c>
      <c r="AU213" s="1991"/>
      <c r="AV213" s="1991"/>
      <c r="AX213" s="1992"/>
      <c r="AY213" s="1992"/>
      <c r="AZ213" s="1992"/>
      <c r="BA213" s="1992"/>
      <c r="BB213" s="1992"/>
      <c r="BD213" s="1992"/>
      <c r="BE213" s="1992"/>
      <c r="BG213" s="1992"/>
      <c r="BI213" s="1992"/>
      <c r="BJ213" s="1992"/>
      <c r="BK213" s="1992"/>
    </row>
    <row r="214" spans="1:63" ht="12.75" x14ac:dyDescent="0.2">
      <c r="A214" s="1984">
        <v>207</v>
      </c>
      <c r="B214" s="1995" t="s">
        <v>324</v>
      </c>
      <c r="C214" s="1994" t="s">
        <v>325</v>
      </c>
      <c r="D214" s="1987">
        <v>106549</v>
      </c>
      <c r="E214" s="1988">
        <v>79437000</v>
      </c>
      <c r="F214" s="1989">
        <v>40772774</v>
      </c>
      <c r="G214" s="1989">
        <v>-1436784.39</v>
      </c>
      <c r="H214" s="1989">
        <v>975219.08</v>
      </c>
      <c r="I214" s="1989">
        <v>-461565.30999999994</v>
      </c>
      <c r="J214" s="1989">
        <v>-1211837.0900000001</v>
      </c>
      <c r="K214" s="1989">
        <v>-13776.84</v>
      </c>
      <c r="L214" s="1989">
        <v>-1416.45</v>
      </c>
      <c r="M214" s="1989">
        <v>0</v>
      </c>
      <c r="N214" s="1989">
        <v>-521747.27</v>
      </c>
      <c r="O214" s="1989">
        <v>-27635.69</v>
      </c>
      <c r="P214" s="1989">
        <v>-51170.92</v>
      </c>
      <c r="Q214" s="1989">
        <v>0</v>
      </c>
      <c r="R214" s="1989">
        <v>0</v>
      </c>
      <c r="S214" s="1989">
        <v>0</v>
      </c>
      <c r="T214" s="1989">
        <v>0</v>
      </c>
      <c r="U214" s="1989">
        <v>0</v>
      </c>
      <c r="V214" s="1989">
        <v>0</v>
      </c>
      <c r="W214" s="1989">
        <v>0</v>
      </c>
      <c r="X214" s="1989">
        <v>-4114</v>
      </c>
      <c r="Y214" s="1989">
        <v>0</v>
      </c>
      <c r="Z214" s="1989">
        <v>38479510.43</v>
      </c>
      <c r="AA214" s="1989">
        <v>-238000</v>
      </c>
      <c r="AB214" s="1990"/>
      <c r="AC214" s="1989">
        <v>83</v>
      </c>
      <c r="AD214" s="1989">
        <v>2</v>
      </c>
      <c r="AE214" s="1989">
        <v>1</v>
      </c>
      <c r="AF214" s="1989">
        <v>0</v>
      </c>
      <c r="AG214" s="1989">
        <v>159</v>
      </c>
      <c r="AH214" s="1989">
        <v>29</v>
      </c>
      <c r="AI214" s="1989">
        <v>10</v>
      </c>
      <c r="AJ214" s="1989">
        <v>0</v>
      </c>
      <c r="AK214" s="1989">
        <v>0</v>
      </c>
      <c r="AL214" s="1989">
        <v>0</v>
      </c>
      <c r="AM214" s="1989">
        <v>0</v>
      </c>
      <c r="AN214" s="1989">
        <v>0</v>
      </c>
      <c r="AO214" s="1989">
        <v>1144</v>
      </c>
      <c r="AP214" s="1989">
        <v>761</v>
      </c>
      <c r="AQ214" s="1989">
        <v>489</v>
      </c>
      <c r="AR214" s="1989">
        <v>272</v>
      </c>
      <c r="AS214" s="1989">
        <v>594</v>
      </c>
      <c r="AT214" s="1988">
        <v>2520</v>
      </c>
      <c r="AU214" s="1991"/>
      <c r="AV214" s="1991"/>
      <c r="AX214" s="1992"/>
      <c r="AY214" s="1992"/>
      <c r="AZ214" s="1992"/>
      <c r="BA214" s="1992"/>
      <c r="BB214" s="1992"/>
      <c r="BD214" s="1992"/>
      <c r="BE214" s="1992"/>
      <c r="BG214" s="1992"/>
      <c r="BI214" s="1992"/>
      <c r="BJ214" s="1992"/>
      <c r="BK214" s="1992"/>
    </row>
    <row r="215" spans="1:63" ht="12.75" x14ac:dyDescent="0.2">
      <c r="A215" s="1984">
        <v>208</v>
      </c>
      <c r="B215" s="1995" t="s">
        <v>326</v>
      </c>
      <c r="C215" s="1994" t="s">
        <v>327</v>
      </c>
      <c r="D215" s="1987">
        <v>174020</v>
      </c>
      <c r="E215" s="1988">
        <v>136377000</v>
      </c>
      <c r="F215" s="1989">
        <v>55907284</v>
      </c>
      <c r="G215" s="1989">
        <v>-1995885</v>
      </c>
      <c r="H215" s="1989">
        <v>1358979</v>
      </c>
      <c r="I215" s="1989">
        <v>-636906</v>
      </c>
      <c r="J215" s="1989">
        <v>-3259331</v>
      </c>
      <c r="K215" s="1989">
        <v>-60912</v>
      </c>
      <c r="L215" s="1989">
        <v>0</v>
      </c>
      <c r="M215" s="1989">
        <v>-35000</v>
      </c>
      <c r="N215" s="1989">
        <v>-918702</v>
      </c>
      <c r="O215" s="1989">
        <v>-65000</v>
      </c>
      <c r="P215" s="1989">
        <v>-30000</v>
      </c>
      <c r="Q215" s="1989">
        <v>-2500</v>
      </c>
      <c r="R215" s="1989">
        <v>-3000</v>
      </c>
      <c r="S215" s="1989">
        <v>0</v>
      </c>
      <c r="T215" s="1989">
        <v>0</v>
      </c>
      <c r="U215" s="1989">
        <v>0</v>
      </c>
      <c r="V215" s="1989">
        <v>0</v>
      </c>
      <c r="W215" s="1989">
        <v>-2000</v>
      </c>
      <c r="X215" s="1989">
        <v>-5000</v>
      </c>
      <c r="Y215" s="1989">
        <v>-15000</v>
      </c>
      <c r="Z215" s="1989">
        <v>50113933</v>
      </c>
      <c r="AA215" s="1989">
        <v>-1000000</v>
      </c>
      <c r="AB215" s="1990"/>
      <c r="AC215" s="1989">
        <v>190</v>
      </c>
      <c r="AD215" s="1989">
        <v>23</v>
      </c>
      <c r="AE215" s="1989">
        <v>1</v>
      </c>
      <c r="AF215" s="1989">
        <v>0</v>
      </c>
      <c r="AG215" s="1989">
        <v>362</v>
      </c>
      <c r="AH215" s="1989">
        <v>20</v>
      </c>
      <c r="AI215" s="1989">
        <v>5</v>
      </c>
      <c r="AJ215" s="1989">
        <v>1</v>
      </c>
      <c r="AK215" s="1989">
        <v>0</v>
      </c>
      <c r="AL215" s="1989">
        <v>0</v>
      </c>
      <c r="AM215" s="1989">
        <v>0</v>
      </c>
      <c r="AN215" s="1989">
        <v>0</v>
      </c>
      <c r="AO215" s="1989">
        <v>1574</v>
      </c>
      <c r="AP215" s="1989">
        <v>1001</v>
      </c>
      <c r="AQ215" s="1989">
        <v>534</v>
      </c>
      <c r="AR215" s="1989">
        <v>467</v>
      </c>
      <c r="AS215" s="1989">
        <v>573</v>
      </c>
      <c r="AT215" s="1988">
        <v>3560</v>
      </c>
      <c r="AU215" s="1991"/>
      <c r="AV215" s="1991"/>
      <c r="AX215" s="1992"/>
      <c r="AY215" s="1992"/>
      <c r="AZ215" s="1992"/>
      <c r="BA215" s="1992"/>
      <c r="BB215" s="1992"/>
      <c r="BD215" s="1992"/>
      <c r="BE215" s="1992"/>
      <c r="BG215" s="1992"/>
      <c r="BI215" s="1992"/>
      <c r="BJ215" s="1992"/>
      <c r="BK215" s="1992"/>
    </row>
    <row r="216" spans="1:63" ht="12.75" x14ac:dyDescent="0.2">
      <c r="A216" s="1984">
        <v>209</v>
      </c>
      <c r="B216" s="1995" t="s">
        <v>328</v>
      </c>
      <c r="C216" s="1994" t="s">
        <v>329</v>
      </c>
      <c r="D216" s="1987">
        <v>88997</v>
      </c>
      <c r="E216" s="1988">
        <v>40032000</v>
      </c>
      <c r="F216" s="1989">
        <v>18674219</v>
      </c>
      <c r="G216" s="1989">
        <v>-2048888</v>
      </c>
      <c r="H216" s="1989">
        <v>367882</v>
      </c>
      <c r="I216" s="1989">
        <v>-1681006</v>
      </c>
      <c r="J216" s="1989">
        <v>-1111258</v>
      </c>
      <c r="K216" s="1989">
        <v>-42230</v>
      </c>
      <c r="L216" s="1989">
        <v>-28884</v>
      </c>
      <c r="M216" s="1989">
        <v>-5959</v>
      </c>
      <c r="N216" s="1989">
        <v>-328204</v>
      </c>
      <c r="O216" s="1989">
        <v>-34165</v>
      </c>
      <c r="P216" s="1989">
        <v>-10419</v>
      </c>
      <c r="Q216" s="1989">
        <v>0</v>
      </c>
      <c r="R216" s="1989">
        <v>-5627</v>
      </c>
      <c r="S216" s="1989">
        <v>-1633</v>
      </c>
      <c r="T216" s="1989">
        <v>0</v>
      </c>
      <c r="U216" s="1989">
        <v>0</v>
      </c>
      <c r="V216" s="1989">
        <v>0</v>
      </c>
      <c r="W216" s="1989">
        <v>-4905</v>
      </c>
      <c r="X216" s="1989">
        <v>-27616</v>
      </c>
      <c r="Y216" s="1989">
        <v>-28424</v>
      </c>
      <c r="Z216" s="1989">
        <v>15363889</v>
      </c>
      <c r="AA216" s="1989">
        <v>-238241</v>
      </c>
      <c r="AB216" s="1990"/>
      <c r="AC216" s="1989">
        <v>125</v>
      </c>
      <c r="AD216" s="1989">
        <v>4</v>
      </c>
      <c r="AE216" s="1989">
        <v>20</v>
      </c>
      <c r="AF216" s="1989">
        <v>1</v>
      </c>
      <c r="AG216" s="1989">
        <v>160</v>
      </c>
      <c r="AH216" s="1989">
        <v>51</v>
      </c>
      <c r="AI216" s="1989">
        <v>5</v>
      </c>
      <c r="AJ216" s="1989">
        <v>0</v>
      </c>
      <c r="AK216" s="1989">
        <v>6</v>
      </c>
      <c r="AL216" s="1989">
        <v>1</v>
      </c>
      <c r="AM216" s="1989">
        <v>0</v>
      </c>
      <c r="AN216" s="1989">
        <v>0</v>
      </c>
      <c r="AO216" s="1989">
        <v>640</v>
      </c>
      <c r="AP216" s="1989">
        <v>1135</v>
      </c>
      <c r="AQ216" s="1989">
        <v>782</v>
      </c>
      <c r="AR216" s="1989">
        <v>353</v>
      </c>
      <c r="AS216" s="1989">
        <v>545</v>
      </c>
      <c r="AT216" s="1988">
        <v>2340</v>
      </c>
      <c r="AU216" s="1991"/>
      <c r="AV216" s="1991"/>
      <c r="AX216" s="1992"/>
      <c r="AY216" s="1992"/>
      <c r="AZ216" s="1992"/>
      <c r="BA216" s="1992"/>
      <c r="BB216" s="1992"/>
      <c r="BD216" s="1992"/>
      <c r="BE216" s="1992"/>
      <c r="BG216" s="1992"/>
      <c r="BI216" s="1992"/>
      <c r="BJ216" s="1992"/>
      <c r="BK216" s="1992"/>
    </row>
    <row r="217" spans="1:63" ht="12.75" x14ac:dyDescent="0.2">
      <c r="A217" s="1984">
        <v>210</v>
      </c>
      <c r="B217" s="1995" t="s">
        <v>330</v>
      </c>
      <c r="C217" s="1994" t="s">
        <v>331</v>
      </c>
      <c r="D217" s="1987">
        <v>287918</v>
      </c>
      <c r="E217" s="1988">
        <v>229827000</v>
      </c>
      <c r="F217" s="1989">
        <v>97980013</v>
      </c>
      <c r="G217" s="1989">
        <v>-2295741</v>
      </c>
      <c r="H217" s="1989">
        <v>2149195</v>
      </c>
      <c r="I217" s="1989">
        <v>-146546</v>
      </c>
      <c r="J217" s="1989">
        <v>-9074152</v>
      </c>
      <c r="K217" s="1989">
        <v>-53282</v>
      </c>
      <c r="L217" s="1989">
        <v>0</v>
      </c>
      <c r="M217" s="1989">
        <v>0</v>
      </c>
      <c r="N217" s="1989">
        <v>-1514820</v>
      </c>
      <c r="O217" s="1989">
        <v>-250148</v>
      </c>
      <c r="P217" s="1989">
        <v>-158901</v>
      </c>
      <c r="Q217" s="1989">
        <v>-4051</v>
      </c>
      <c r="R217" s="1989">
        <v>0</v>
      </c>
      <c r="S217" s="1989">
        <v>0</v>
      </c>
      <c r="T217" s="1989">
        <v>0</v>
      </c>
      <c r="U217" s="1989">
        <v>0</v>
      </c>
      <c r="V217" s="1989">
        <v>0</v>
      </c>
      <c r="W217" s="1989">
        <v>0</v>
      </c>
      <c r="X217" s="1989">
        <v>-75734</v>
      </c>
      <c r="Y217" s="1989">
        <v>-6009</v>
      </c>
      <c r="Z217" s="1989">
        <v>86696370</v>
      </c>
      <c r="AA217" s="1989">
        <v>-1563000</v>
      </c>
      <c r="AB217" s="1990"/>
      <c r="AC217" s="1989">
        <v>310</v>
      </c>
      <c r="AD217" s="1989">
        <v>10</v>
      </c>
      <c r="AE217" s="1989">
        <v>0</v>
      </c>
      <c r="AF217" s="1989">
        <v>1</v>
      </c>
      <c r="AG217" s="1989">
        <v>310</v>
      </c>
      <c r="AH217" s="1989">
        <v>94</v>
      </c>
      <c r="AI217" s="1989">
        <v>40</v>
      </c>
      <c r="AJ217" s="1989">
        <v>2</v>
      </c>
      <c r="AK217" s="1989">
        <v>0</v>
      </c>
      <c r="AL217" s="1989">
        <v>0</v>
      </c>
      <c r="AM217" s="1989">
        <v>0</v>
      </c>
      <c r="AN217" s="1989">
        <v>0</v>
      </c>
      <c r="AO217" s="1989">
        <v>2187</v>
      </c>
      <c r="AP217" s="1989">
        <v>1173</v>
      </c>
      <c r="AQ217" s="1989">
        <v>452</v>
      </c>
      <c r="AR217" s="1989">
        <v>721</v>
      </c>
      <c r="AS217" s="1989">
        <v>2431</v>
      </c>
      <c r="AT217" s="1988">
        <v>5800</v>
      </c>
      <c r="AU217" s="1991"/>
      <c r="AV217" s="1991"/>
      <c r="AX217" s="1992"/>
      <c r="AY217" s="1992"/>
      <c r="AZ217" s="1992"/>
      <c r="BA217" s="1992"/>
      <c r="BB217" s="1992"/>
      <c r="BD217" s="1992"/>
      <c r="BE217" s="1992"/>
      <c r="BG217" s="1992"/>
      <c r="BI217" s="1992"/>
      <c r="BJ217" s="1992"/>
      <c r="BK217" s="1992"/>
    </row>
    <row r="218" spans="1:63" ht="12.75" x14ac:dyDescent="0.2">
      <c r="A218" s="1984">
        <v>211</v>
      </c>
      <c r="B218" s="1995" t="s">
        <v>332</v>
      </c>
      <c r="C218" s="1994" t="s">
        <v>333</v>
      </c>
      <c r="D218" s="1987">
        <v>98663</v>
      </c>
      <c r="E218" s="1988">
        <v>38130000</v>
      </c>
      <c r="F218" s="1989">
        <v>16727606</v>
      </c>
      <c r="G218" s="1989">
        <v>-1906809</v>
      </c>
      <c r="H218" s="1989">
        <v>305060</v>
      </c>
      <c r="I218" s="1989">
        <v>-1601749</v>
      </c>
      <c r="J218" s="1989">
        <v>-587000</v>
      </c>
      <c r="K218" s="1989">
        <v>-50428</v>
      </c>
      <c r="L218" s="1989">
        <v>-44728</v>
      </c>
      <c r="M218" s="1989">
        <v>0</v>
      </c>
      <c r="N218" s="1989">
        <v>-192281</v>
      </c>
      <c r="O218" s="1989">
        <v>-61052</v>
      </c>
      <c r="P218" s="1989">
        <v>-7197</v>
      </c>
      <c r="Q218" s="1989">
        <v>-3065</v>
      </c>
      <c r="R218" s="1989">
        <v>-22756</v>
      </c>
      <c r="S218" s="1989">
        <v>0</v>
      </c>
      <c r="T218" s="1989">
        <v>0</v>
      </c>
      <c r="U218" s="1989">
        <v>0</v>
      </c>
      <c r="V218" s="1989">
        <v>0</v>
      </c>
      <c r="W218" s="1989">
        <v>-6461</v>
      </c>
      <c r="X218" s="1989">
        <v>0</v>
      </c>
      <c r="Y218" s="1989">
        <v>0</v>
      </c>
      <c r="Z218" s="1989">
        <v>14130889</v>
      </c>
      <c r="AA218" s="1989">
        <v>-664000</v>
      </c>
      <c r="AB218" s="1990"/>
      <c r="AC218" s="1989">
        <v>129</v>
      </c>
      <c r="AD218" s="1989">
        <v>7</v>
      </c>
      <c r="AE218" s="1989">
        <v>39</v>
      </c>
      <c r="AF218" s="1989">
        <v>0</v>
      </c>
      <c r="AG218" s="1989">
        <v>102</v>
      </c>
      <c r="AH218" s="1989">
        <v>87</v>
      </c>
      <c r="AI218" s="1989">
        <v>4</v>
      </c>
      <c r="AJ218" s="1989">
        <v>3</v>
      </c>
      <c r="AK218" s="1989">
        <v>30</v>
      </c>
      <c r="AL218" s="1989">
        <v>0</v>
      </c>
      <c r="AM218" s="1989">
        <v>0</v>
      </c>
      <c r="AN218" s="1989">
        <v>0</v>
      </c>
      <c r="AO218" s="1989">
        <v>563</v>
      </c>
      <c r="AP218" s="1989">
        <v>1269</v>
      </c>
      <c r="AQ218" s="1989">
        <v>1051</v>
      </c>
      <c r="AR218" s="1989">
        <v>218</v>
      </c>
      <c r="AS218" s="1989">
        <v>24</v>
      </c>
      <c r="AT218" s="1988">
        <v>2650</v>
      </c>
      <c r="AU218" s="1991"/>
      <c r="AV218" s="1991"/>
      <c r="AX218" s="1992"/>
      <c r="AY218" s="1992"/>
      <c r="AZ218" s="1992"/>
      <c r="BA218" s="1992"/>
      <c r="BB218" s="1992"/>
      <c r="BD218" s="1992"/>
      <c r="BE218" s="1992"/>
      <c r="BG218" s="1992"/>
      <c r="BI218" s="1992"/>
      <c r="BJ218" s="1992"/>
      <c r="BK218" s="1992"/>
    </row>
    <row r="219" spans="1:63" ht="12.75" x14ac:dyDescent="0.2">
      <c r="A219" s="1984">
        <v>212</v>
      </c>
      <c r="B219" s="1995" t="s">
        <v>334</v>
      </c>
      <c r="C219" s="1994" t="s">
        <v>335</v>
      </c>
      <c r="D219" s="1987">
        <v>281477</v>
      </c>
      <c r="E219" s="1988">
        <v>166810000</v>
      </c>
      <c r="F219" s="1989">
        <v>78906241</v>
      </c>
      <c r="G219" s="1989">
        <v>-5362851</v>
      </c>
      <c r="H219" s="1989">
        <v>1818872</v>
      </c>
      <c r="I219" s="1989">
        <v>-3543979</v>
      </c>
      <c r="J219" s="1989">
        <v>-3412479</v>
      </c>
      <c r="K219" s="1989">
        <v>-96985</v>
      </c>
      <c r="L219" s="1989">
        <v>0</v>
      </c>
      <c r="M219" s="1989">
        <v>-2502</v>
      </c>
      <c r="N219" s="1989">
        <v>-3133294</v>
      </c>
      <c r="O219" s="1989">
        <v>-243638</v>
      </c>
      <c r="P219" s="1989">
        <v>-97265</v>
      </c>
      <c r="Q219" s="1989">
        <v>-9261</v>
      </c>
      <c r="R219" s="1989">
        <v>0</v>
      </c>
      <c r="S219" s="1989">
        <v>0</v>
      </c>
      <c r="T219" s="1989">
        <v>-100000</v>
      </c>
      <c r="U219" s="1989">
        <v>0</v>
      </c>
      <c r="V219" s="1989">
        <v>0</v>
      </c>
      <c r="W219" s="1989">
        <v>-5336</v>
      </c>
      <c r="X219" s="1989">
        <v>-128994</v>
      </c>
      <c r="Y219" s="1989">
        <v>-17162</v>
      </c>
      <c r="Z219" s="1989">
        <v>67615346</v>
      </c>
      <c r="AA219" s="1989">
        <v>-2930000</v>
      </c>
      <c r="AB219" s="1990"/>
      <c r="AC219" s="1989">
        <v>294</v>
      </c>
      <c r="AD219" s="1989">
        <v>13</v>
      </c>
      <c r="AE219" s="1989">
        <v>0</v>
      </c>
      <c r="AF219" s="1989">
        <v>1</v>
      </c>
      <c r="AG219" s="1989">
        <v>967</v>
      </c>
      <c r="AH219" s="1989">
        <v>68</v>
      </c>
      <c r="AI219" s="1989">
        <v>29</v>
      </c>
      <c r="AJ219" s="1989">
        <v>8</v>
      </c>
      <c r="AK219" s="1989">
        <v>0</v>
      </c>
      <c r="AL219" s="1989">
        <v>0</v>
      </c>
      <c r="AM219" s="1989">
        <v>0</v>
      </c>
      <c r="AN219" s="1989">
        <v>12</v>
      </c>
      <c r="AO219" s="1989">
        <v>2500</v>
      </c>
      <c r="AP219" s="1989">
        <v>2772</v>
      </c>
      <c r="AQ219" s="1989">
        <v>1883</v>
      </c>
      <c r="AR219" s="1989">
        <v>889</v>
      </c>
      <c r="AS219" s="1989">
        <v>1660</v>
      </c>
      <c r="AT219" s="1988">
        <v>6900</v>
      </c>
      <c r="AU219" s="1991"/>
      <c r="AV219" s="1991"/>
      <c r="AX219" s="1992"/>
      <c r="AY219" s="1992"/>
      <c r="AZ219" s="1992"/>
      <c r="BA219" s="1992"/>
      <c r="BB219" s="1992"/>
      <c r="BD219" s="1992"/>
      <c r="BE219" s="1992"/>
      <c r="BG219" s="1992"/>
      <c r="BI219" s="1992"/>
      <c r="BJ219" s="1992"/>
      <c r="BK219" s="1992"/>
    </row>
    <row r="220" spans="1:63" ht="12.75" x14ac:dyDescent="0.2">
      <c r="A220" s="1984">
        <v>213</v>
      </c>
      <c r="B220" s="1995" t="s">
        <v>336</v>
      </c>
      <c r="C220" s="1994" t="s">
        <v>337</v>
      </c>
      <c r="D220" s="1987">
        <v>84456</v>
      </c>
      <c r="E220" s="1988">
        <v>43334000</v>
      </c>
      <c r="F220" s="1989">
        <v>19653504</v>
      </c>
      <c r="G220" s="1989">
        <v>-1733610</v>
      </c>
      <c r="H220" s="1989">
        <v>393066</v>
      </c>
      <c r="I220" s="1989">
        <v>-1340544</v>
      </c>
      <c r="J220" s="1989">
        <v>-1285297</v>
      </c>
      <c r="K220" s="1989">
        <v>-13627</v>
      </c>
      <c r="L220" s="1989">
        <v>-267</v>
      </c>
      <c r="M220" s="1989">
        <v>0</v>
      </c>
      <c r="N220" s="1989">
        <v>-475569</v>
      </c>
      <c r="O220" s="1989">
        <v>-12342</v>
      </c>
      <c r="P220" s="1989">
        <v>0</v>
      </c>
      <c r="Q220" s="1989">
        <v>-173</v>
      </c>
      <c r="R220" s="1989">
        <v>0</v>
      </c>
      <c r="S220" s="1989">
        <v>0</v>
      </c>
      <c r="T220" s="1989">
        <v>0</v>
      </c>
      <c r="U220" s="1989">
        <v>0</v>
      </c>
      <c r="V220" s="1989">
        <v>0</v>
      </c>
      <c r="W220" s="1989">
        <v>0</v>
      </c>
      <c r="X220" s="1989">
        <v>0</v>
      </c>
      <c r="Y220" s="1989">
        <v>-6981</v>
      </c>
      <c r="Z220" s="1989">
        <v>16418704</v>
      </c>
      <c r="AA220" s="1989">
        <v>-140000</v>
      </c>
      <c r="AB220" s="1990"/>
      <c r="AC220" s="1989">
        <v>105</v>
      </c>
      <c r="AD220" s="1989">
        <v>5</v>
      </c>
      <c r="AE220" s="1989">
        <v>1</v>
      </c>
      <c r="AF220" s="1989">
        <v>0</v>
      </c>
      <c r="AG220" s="1989">
        <v>76</v>
      </c>
      <c r="AH220" s="1989">
        <v>25</v>
      </c>
      <c r="AI220" s="1989">
        <v>0</v>
      </c>
      <c r="AJ220" s="1989">
        <v>1</v>
      </c>
      <c r="AK220" s="1989">
        <v>0</v>
      </c>
      <c r="AL220" s="1989">
        <v>0</v>
      </c>
      <c r="AM220" s="1989">
        <v>0</v>
      </c>
      <c r="AN220" s="1989">
        <v>0</v>
      </c>
      <c r="AO220" s="1989">
        <v>623</v>
      </c>
      <c r="AP220" s="1989">
        <v>917</v>
      </c>
      <c r="AQ220" s="1989">
        <v>541</v>
      </c>
      <c r="AR220" s="1989">
        <v>376</v>
      </c>
      <c r="AS220" s="1989">
        <v>596</v>
      </c>
      <c r="AT220" s="1988">
        <v>2140</v>
      </c>
      <c r="AU220" s="1991"/>
      <c r="AV220" s="1991"/>
      <c r="AX220" s="1992"/>
      <c r="AY220" s="1992"/>
      <c r="AZ220" s="1992"/>
      <c r="BA220" s="1992"/>
      <c r="BB220" s="1992"/>
      <c r="BD220" s="1992"/>
      <c r="BE220" s="1992"/>
      <c r="BG220" s="1992"/>
      <c r="BI220" s="1992"/>
      <c r="BJ220" s="1992"/>
      <c r="BK220" s="1992"/>
    </row>
    <row r="221" spans="1:63" ht="12.75" x14ac:dyDescent="0.2">
      <c r="A221" s="1984">
        <v>214</v>
      </c>
      <c r="B221" s="1995" t="s">
        <v>338</v>
      </c>
      <c r="C221" s="1994" t="s">
        <v>339</v>
      </c>
      <c r="D221" s="1987">
        <v>98815</v>
      </c>
      <c r="E221" s="1988">
        <v>35286000</v>
      </c>
      <c r="F221" s="1989">
        <v>17668915</v>
      </c>
      <c r="G221" s="1989">
        <v>-2068377</v>
      </c>
      <c r="H221" s="1989">
        <v>355177</v>
      </c>
      <c r="I221" s="1989">
        <v>-1713200</v>
      </c>
      <c r="J221" s="1989">
        <v>-497064</v>
      </c>
      <c r="K221" s="1989">
        <v>-47102</v>
      </c>
      <c r="L221" s="1989">
        <v>0</v>
      </c>
      <c r="M221" s="1989">
        <v>0</v>
      </c>
      <c r="N221" s="1989">
        <v>-542160</v>
      </c>
      <c r="O221" s="1989">
        <v>-48652</v>
      </c>
      <c r="P221" s="1989">
        <v>-28324</v>
      </c>
      <c r="Q221" s="1989">
        <v>-2804</v>
      </c>
      <c r="R221" s="1989">
        <v>0</v>
      </c>
      <c r="S221" s="1989">
        <v>0</v>
      </c>
      <c r="T221" s="1989">
        <v>0</v>
      </c>
      <c r="U221" s="1989">
        <v>0</v>
      </c>
      <c r="V221" s="1989">
        <v>0</v>
      </c>
      <c r="W221" s="1989">
        <v>0</v>
      </c>
      <c r="X221" s="1989">
        <v>-3000</v>
      </c>
      <c r="Y221" s="1989">
        <v>-4700</v>
      </c>
      <c r="Z221" s="1989">
        <v>14712909</v>
      </c>
      <c r="AA221" s="1989">
        <v>-250000</v>
      </c>
      <c r="AB221" s="1990"/>
      <c r="AC221" s="1989">
        <v>84</v>
      </c>
      <c r="AD221" s="1989">
        <v>11</v>
      </c>
      <c r="AE221" s="1989">
        <v>0</v>
      </c>
      <c r="AF221" s="1989">
        <v>0</v>
      </c>
      <c r="AG221" s="1989">
        <v>299</v>
      </c>
      <c r="AH221" s="1989">
        <v>47</v>
      </c>
      <c r="AI221" s="1989">
        <v>8</v>
      </c>
      <c r="AJ221" s="1989">
        <v>7</v>
      </c>
      <c r="AK221" s="1989">
        <v>0</v>
      </c>
      <c r="AL221" s="1989">
        <v>0</v>
      </c>
      <c r="AM221" s="1989">
        <v>0</v>
      </c>
      <c r="AN221" s="1989">
        <v>0</v>
      </c>
      <c r="AO221" s="1989">
        <v>867</v>
      </c>
      <c r="AP221" s="1989">
        <v>1200</v>
      </c>
      <c r="AQ221" s="1989">
        <v>928</v>
      </c>
      <c r="AR221" s="1989">
        <v>272</v>
      </c>
      <c r="AS221" s="1989">
        <v>536</v>
      </c>
      <c r="AT221" s="1988">
        <v>2680</v>
      </c>
      <c r="AU221" s="1991"/>
      <c r="AV221" s="1991"/>
      <c r="AX221" s="1992"/>
      <c r="AY221" s="1992"/>
      <c r="AZ221" s="1992"/>
      <c r="BA221" s="1992"/>
      <c r="BB221" s="1992"/>
      <c r="BD221" s="1992"/>
      <c r="BE221" s="1992"/>
      <c r="BG221" s="1992"/>
      <c r="BI221" s="1992"/>
      <c r="BJ221" s="1992"/>
      <c r="BK221" s="1992"/>
    </row>
    <row r="222" spans="1:63" ht="12.75" x14ac:dyDescent="0.2">
      <c r="A222" s="1984">
        <v>215</v>
      </c>
      <c r="B222" s="1995" t="s">
        <v>340</v>
      </c>
      <c r="C222" s="1994" t="s">
        <v>341</v>
      </c>
      <c r="D222" s="1987">
        <v>146049</v>
      </c>
      <c r="E222" s="1988">
        <v>54568000</v>
      </c>
      <c r="F222" s="1989">
        <v>23326273</v>
      </c>
      <c r="G222" s="1989">
        <v>-2968585</v>
      </c>
      <c r="H222" s="1989">
        <v>430744</v>
      </c>
      <c r="I222" s="1989">
        <v>-2537841</v>
      </c>
      <c r="J222" s="1989">
        <v>-2239039</v>
      </c>
      <c r="K222" s="1989">
        <v>-69325</v>
      </c>
      <c r="L222" s="1989">
        <v>-32988</v>
      </c>
      <c r="M222" s="1989">
        <v>0</v>
      </c>
      <c r="N222" s="1989">
        <v>-252707</v>
      </c>
      <c r="O222" s="1989">
        <v>-51797</v>
      </c>
      <c r="P222" s="1989">
        <v>0</v>
      </c>
      <c r="Q222" s="1989">
        <v>-5617</v>
      </c>
      <c r="R222" s="1989">
        <v>-7418</v>
      </c>
      <c r="S222" s="1989">
        <v>0</v>
      </c>
      <c r="T222" s="1989">
        <v>0</v>
      </c>
      <c r="U222" s="1989">
        <v>0</v>
      </c>
      <c r="V222" s="1989">
        <v>0</v>
      </c>
      <c r="W222" s="1989">
        <v>0</v>
      </c>
      <c r="X222" s="1989">
        <v>-8200</v>
      </c>
      <c r="Y222" s="1989">
        <v>-13547</v>
      </c>
      <c r="Z222" s="1989">
        <v>18107794</v>
      </c>
      <c r="AA222" s="1989">
        <v>-350000</v>
      </c>
      <c r="AB222" s="1990"/>
      <c r="AC222" s="1989">
        <v>244</v>
      </c>
      <c r="AD222" s="1989">
        <v>26</v>
      </c>
      <c r="AE222" s="1989">
        <v>24</v>
      </c>
      <c r="AF222" s="1989">
        <v>0</v>
      </c>
      <c r="AG222" s="1989">
        <v>398</v>
      </c>
      <c r="AH222" s="1989">
        <v>74</v>
      </c>
      <c r="AI222" s="1989">
        <v>0</v>
      </c>
      <c r="AJ222" s="1989">
        <v>15</v>
      </c>
      <c r="AK222" s="1989">
        <v>5</v>
      </c>
      <c r="AL222" s="1989">
        <v>0</v>
      </c>
      <c r="AM222" s="1989">
        <v>0</v>
      </c>
      <c r="AN222" s="1989">
        <v>0</v>
      </c>
      <c r="AO222" s="1989">
        <v>1143</v>
      </c>
      <c r="AP222" s="1989">
        <v>1721</v>
      </c>
      <c r="AQ222" s="1989">
        <v>1225</v>
      </c>
      <c r="AR222" s="1989">
        <v>496</v>
      </c>
      <c r="AS222" s="1989">
        <v>989</v>
      </c>
      <c r="AT222" s="1988">
        <v>3900</v>
      </c>
      <c r="AU222" s="1991"/>
      <c r="AV222" s="1991"/>
      <c r="AX222" s="1992"/>
      <c r="AY222" s="1992"/>
      <c r="AZ222" s="1992"/>
      <c r="BA222" s="1992"/>
      <c r="BB222" s="1992"/>
      <c r="BD222" s="1992"/>
      <c r="BE222" s="1992"/>
      <c r="BG222" s="1992"/>
      <c r="BI222" s="1992"/>
      <c r="BJ222" s="1992"/>
      <c r="BK222" s="1992"/>
    </row>
    <row r="223" spans="1:63" ht="12.75" x14ac:dyDescent="0.2">
      <c r="A223" s="1984">
        <v>216</v>
      </c>
      <c r="B223" s="1995" t="s">
        <v>342</v>
      </c>
      <c r="C223" s="1994" t="s">
        <v>343</v>
      </c>
      <c r="D223" s="1987">
        <v>302614</v>
      </c>
      <c r="E223" s="1988">
        <v>186120000</v>
      </c>
      <c r="F223" s="1989">
        <v>90953745</v>
      </c>
      <c r="G223" s="1989">
        <v>-5287262</v>
      </c>
      <c r="H223" s="1989">
        <v>2098721</v>
      </c>
      <c r="I223" s="1989">
        <v>-3188541</v>
      </c>
      <c r="J223" s="1989">
        <v>-4516649</v>
      </c>
      <c r="K223" s="1989">
        <v>-14555</v>
      </c>
      <c r="L223" s="1989">
        <v>-13469</v>
      </c>
      <c r="M223" s="1989">
        <v>-66346</v>
      </c>
      <c r="N223" s="1989">
        <v>-2124652</v>
      </c>
      <c r="O223" s="1989">
        <v>-92428</v>
      </c>
      <c r="P223" s="1989">
        <v>-641029</v>
      </c>
      <c r="Q223" s="1989">
        <v>-3639</v>
      </c>
      <c r="R223" s="1989">
        <v>0</v>
      </c>
      <c r="S223" s="1989">
        <v>0</v>
      </c>
      <c r="T223" s="1989">
        <v>-368593</v>
      </c>
      <c r="U223" s="1989">
        <v>-356453</v>
      </c>
      <c r="V223" s="1989">
        <v>0</v>
      </c>
      <c r="W223" s="1989">
        <v>-18950</v>
      </c>
      <c r="X223" s="1989">
        <v>-167972</v>
      </c>
      <c r="Y223" s="1989">
        <v>-5874</v>
      </c>
      <c r="Z223" s="1989">
        <v>79231048</v>
      </c>
      <c r="AA223" s="1989">
        <v>-3866949</v>
      </c>
      <c r="AB223" s="1990"/>
      <c r="AC223" s="1989">
        <v>341</v>
      </c>
      <c r="AD223" s="1989">
        <v>9</v>
      </c>
      <c r="AE223" s="1989">
        <v>13</v>
      </c>
      <c r="AF223" s="1989">
        <v>1</v>
      </c>
      <c r="AG223" s="1989">
        <v>446</v>
      </c>
      <c r="AH223" s="1989">
        <v>54</v>
      </c>
      <c r="AI223" s="1989">
        <v>18</v>
      </c>
      <c r="AJ223" s="1989">
        <v>9</v>
      </c>
      <c r="AK223" s="1989">
        <v>0</v>
      </c>
      <c r="AL223" s="1989">
        <v>0</v>
      </c>
      <c r="AM223" s="1989">
        <v>57</v>
      </c>
      <c r="AN223" s="1989">
        <v>0</v>
      </c>
      <c r="AO223" s="1989">
        <v>2148</v>
      </c>
      <c r="AP223" s="1989">
        <v>4581</v>
      </c>
      <c r="AQ223" s="1989">
        <v>2289</v>
      </c>
      <c r="AR223" s="1989">
        <v>2292</v>
      </c>
      <c r="AS223" s="1989">
        <v>742</v>
      </c>
      <c r="AT223" s="1988">
        <v>7510</v>
      </c>
      <c r="AU223" s="1991"/>
      <c r="AV223" s="1991"/>
      <c r="AX223" s="1992"/>
      <c r="AY223" s="1992"/>
      <c r="AZ223" s="1992"/>
      <c r="BA223" s="1992"/>
      <c r="BB223" s="1992"/>
      <c r="BD223" s="1992"/>
      <c r="BE223" s="1992"/>
      <c r="BG223" s="1992"/>
      <c r="BI223" s="1992"/>
      <c r="BJ223" s="1992"/>
      <c r="BK223" s="1992"/>
    </row>
    <row r="224" spans="1:63" ht="12.75" x14ac:dyDescent="0.2">
      <c r="A224" s="1984">
        <v>217</v>
      </c>
      <c r="B224" s="1995" t="s">
        <v>344</v>
      </c>
      <c r="C224" s="1994" t="s">
        <v>345</v>
      </c>
      <c r="D224" s="1987">
        <v>135863</v>
      </c>
      <c r="E224" s="1988">
        <v>115556000</v>
      </c>
      <c r="F224" s="1989">
        <v>55174536</v>
      </c>
      <c r="G224" s="1989">
        <v>-1885539</v>
      </c>
      <c r="H224" s="1989">
        <v>1280824</v>
      </c>
      <c r="I224" s="1989">
        <v>-604715</v>
      </c>
      <c r="J224" s="1989">
        <v>-2789533</v>
      </c>
      <c r="K224" s="1989">
        <v>-75882</v>
      </c>
      <c r="L224" s="1989">
        <v>-12541</v>
      </c>
      <c r="M224" s="1989">
        <v>-200000</v>
      </c>
      <c r="N224" s="1989">
        <v>-2265725</v>
      </c>
      <c r="O224" s="1989">
        <v>-94973</v>
      </c>
      <c r="P224" s="1989">
        <v>-24871</v>
      </c>
      <c r="Q224" s="1989">
        <v>0</v>
      </c>
      <c r="R224" s="1989">
        <v>0</v>
      </c>
      <c r="S224" s="1989">
        <v>0</v>
      </c>
      <c r="T224" s="1989">
        <v>0</v>
      </c>
      <c r="U224" s="1989">
        <v>0</v>
      </c>
      <c r="V224" s="1989">
        <v>0</v>
      </c>
      <c r="W224" s="1989">
        <v>-248997</v>
      </c>
      <c r="X224" s="1989">
        <v>-4054</v>
      </c>
      <c r="Y224" s="1989">
        <v>0</v>
      </c>
      <c r="Z224" s="1989">
        <v>48906064</v>
      </c>
      <c r="AA224" s="1989">
        <v>-1079048</v>
      </c>
      <c r="AB224" s="1990"/>
      <c r="AC224" s="1989">
        <v>182</v>
      </c>
      <c r="AD224" s="1989">
        <v>11</v>
      </c>
      <c r="AE224" s="1989">
        <v>9</v>
      </c>
      <c r="AF224" s="1989">
        <v>4</v>
      </c>
      <c r="AG224" s="1989">
        <v>212</v>
      </c>
      <c r="AH224" s="1989">
        <v>63</v>
      </c>
      <c r="AI224" s="1989">
        <v>2</v>
      </c>
      <c r="AJ224" s="1989">
        <v>0</v>
      </c>
      <c r="AK224" s="1989">
        <v>0</v>
      </c>
      <c r="AL224" s="1989">
        <v>0</v>
      </c>
      <c r="AM224" s="1989">
        <v>0</v>
      </c>
      <c r="AN224" s="1989">
        <v>0</v>
      </c>
      <c r="AO224" s="1989">
        <v>1193</v>
      </c>
      <c r="AP224" s="1989">
        <v>1062</v>
      </c>
      <c r="AQ224" s="1989">
        <v>739</v>
      </c>
      <c r="AR224" s="1989">
        <v>323</v>
      </c>
      <c r="AS224" s="1989">
        <v>684</v>
      </c>
      <c r="AT224" s="1988">
        <v>3000</v>
      </c>
      <c r="AU224" s="1991"/>
      <c r="AV224" s="1991"/>
      <c r="AX224" s="1992"/>
      <c r="AY224" s="1992"/>
      <c r="AZ224" s="1992"/>
      <c r="BA224" s="1992"/>
      <c r="BB224" s="1992"/>
      <c r="BD224" s="1992"/>
      <c r="BE224" s="1992"/>
      <c r="BG224" s="1992"/>
      <c r="BI224" s="1992"/>
      <c r="BJ224" s="1992"/>
      <c r="BK224" s="1992"/>
    </row>
    <row r="225" spans="1:63" ht="12.75" x14ac:dyDescent="0.2">
      <c r="A225" s="1984">
        <v>218</v>
      </c>
      <c r="B225" s="1995" t="s">
        <v>346</v>
      </c>
      <c r="C225" s="1994" t="s">
        <v>347</v>
      </c>
      <c r="D225" s="1987">
        <v>131332</v>
      </c>
      <c r="E225" s="1988">
        <v>133900000</v>
      </c>
      <c r="F225" s="1989">
        <v>50806325</v>
      </c>
      <c r="G225" s="1989">
        <v>-1286837</v>
      </c>
      <c r="H225" s="1989">
        <v>1250065</v>
      </c>
      <c r="I225" s="1989">
        <v>-36772</v>
      </c>
      <c r="J225" s="1989">
        <v>-3111838</v>
      </c>
      <c r="K225" s="1989">
        <v>-37943</v>
      </c>
      <c r="L225" s="1989">
        <v>-1694</v>
      </c>
      <c r="M225" s="1989">
        <v>-5000</v>
      </c>
      <c r="N225" s="1989">
        <v>-1352913</v>
      </c>
      <c r="O225" s="1989">
        <v>-20506</v>
      </c>
      <c r="P225" s="1989">
        <v>-3497</v>
      </c>
      <c r="Q225" s="1989">
        <v>0</v>
      </c>
      <c r="R225" s="1989">
        <v>-2668</v>
      </c>
      <c r="S225" s="1989">
        <v>0</v>
      </c>
      <c r="T225" s="1989">
        <v>0</v>
      </c>
      <c r="U225" s="1989">
        <v>0</v>
      </c>
      <c r="V225" s="1989">
        <v>0</v>
      </c>
      <c r="W225" s="1989">
        <v>0</v>
      </c>
      <c r="X225" s="1989">
        <v>0</v>
      </c>
      <c r="Y225" s="1989">
        <v>0</v>
      </c>
      <c r="Z225" s="1989">
        <v>46233494</v>
      </c>
      <c r="AA225" s="1989">
        <v>-1414000</v>
      </c>
      <c r="AB225" s="1990"/>
      <c r="AC225" s="1989">
        <v>113</v>
      </c>
      <c r="AD225" s="1989">
        <v>11</v>
      </c>
      <c r="AE225" s="1989">
        <v>1</v>
      </c>
      <c r="AF225" s="1989">
        <v>0</v>
      </c>
      <c r="AG225" s="1989">
        <v>249</v>
      </c>
      <c r="AH225" s="1989">
        <v>30</v>
      </c>
      <c r="AI225" s="1989">
        <v>9</v>
      </c>
      <c r="AJ225" s="1989">
        <v>0</v>
      </c>
      <c r="AK225" s="1989">
        <v>1</v>
      </c>
      <c r="AL225" s="1989">
        <v>0</v>
      </c>
      <c r="AM225" s="1989">
        <v>0</v>
      </c>
      <c r="AN225" s="1989">
        <v>0</v>
      </c>
      <c r="AO225" s="1989">
        <v>1018</v>
      </c>
      <c r="AP225" s="1989">
        <v>669</v>
      </c>
      <c r="AQ225" s="1989">
        <v>363</v>
      </c>
      <c r="AR225" s="1989">
        <v>306</v>
      </c>
      <c r="AS225" s="1989">
        <v>728</v>
      </c>
      <c r="AT225" s="1988">
        <v>2410</v>
      </c>
      <c r="AU225" s="1991"/>
      <c r="AV225" s="1991"/>
      <c r="AX225" s="1992"/>
      <c r="AY225" s="1992"/>
      <c r="AZ225" s="1992"/>
      <c r="BA225" s="1992"/>
      <c r="BB225" s="1992"/>
      <c r="BD225" s="1992"/>
      <c r="BE225" s="1992"/>
      <c r="BG225" s="1992"/>
      <c r="BI225" s="1992"/>
      <c r="BJ225" s="1992"/>
      <c r="BK225" s="1992"/>
    </row>
    <row r="226" spans="1:63" ht="12.75" x14ac:dyDescent="0.2">
      <c r="A226" s="1984">
        <v>219</v>
      </c>
      <c r="B226" s="1995" t="s">
        <v>348</v>
      </c>
      <c r="C226" s="1994" t="s">
        <v>349</v>
      </c>
      <c r="D226" s="1987">
        <v>111888</v>
      </c>
      <c r="E226" s="1988">
        <v>69508000</v>
      </c>
      <c r="F226" s="1989">
        <v>33851897</v>
      </c>
      <c r="G226" s="1989">
        <v>-1980469</v>
      </c>
      <c r="H226" s="1989">
        <v>764363</v>
      </c>
      <c r="I226" s="1989">
        <v>-1216106</v>
      </c>
      <c r="J226" s="1989">
        <v>-2743766</v>
      </c>
      <c r="K226" s="1989">
        <v>-89647</v>
      </c>
      <c r="L226" s="1989">
        <v>-5918</v>
      </c>
      <c r="M226" s="1989">
        <v>0</v>
      </c>
      <c r="N226" s="1989">
        <v>-230476</v>
      </c>
      <c r="O226" s="1989">
        <v>-20569</v>
      </c>
      <c r="P226" s="1989">
        <v>-314238</v>
      </c>
      <c r="Q226" s="1989">
        <v>0</v>
      </c>
      <c r="R226" s="1989">
        <v>-447</v>
      </c>
      <c r="S226" s="1989">
        <v>-882</v>
      </c>
      <c r="T226" s="1989">
        <v>0</v>
      </c>
      <c r="U226" s="1989">
        <v>0</v>
      </c>
      <c r="V226" s="1989">
        <v>0</v>
      </c>
      <c r="W226" s="1989">
        <v>-10000</v>
      </c>
      <c r="X226" s="1989">
        <v>-10000</v>
      </c>
      <c r="Y226" s="1989">
        <v>-2692</v>
      </c>
      <c r="Z226" s="1989">
        <v>28913928</v>
      </c>
      <c r="AA226" s="1989">
        <v>-1826628</v>
      </c>
      <c r="AB226" s="1990"/>
      <c r="AC226" s="1989">
        <v>143</v>
      </c>
      <c r="AD226" s="1989">
        <v>19</v>
      </c>
      <c r="AE226" s="1989">
        <v>10</v>
      </c>
      <c r="AF226" s="1989">
        <v>0</v>
      </c>
      <c r="AG226" s="1989">
        <v>142</v>
      </c>
      <c r="AH226" s="1989">
        <v>59</v>
      </c>
      <c r="AI226" s="1989">
        <v>27</v>
      </c>
      <c r="AJ226" s="1989">
        <v>0</v>
      </c>
      <c r="AK226" s="1989">
        <v>3</v>
      </c>
      <c r="AL226" s="1989">
        <v>0</v>
      </c>
      <c r="AM226" s="1989">
        <v>0</v>
      </c>
      <c r="AN226" s="1989">
        <v>0</v>
      </c>
      <c r="AO226" s="1989">
        <v>748</v>
      </c>
      <c r="AP226" s="1989">
        <v>1149</v>
      </c>
      <c r="AQ226" s="1989">
        <v>838</v>
      </c>
      <c r="AR226" s="1989">
        <v>311</v>
      </c>
      <c r="AS226" s="1989">
        <v>796</v>
      </c>
      <c r="AT226" s="1988">
        <v>2730</v>
      </c>
      <c r="AU226" s="1991"/>
      <c r="AV226" s="1991"/>
      <c r="AX226" s="1992"/>
      <c r="AY226" s="1992"/>
      <c r="AZ226" s="1992"/>
      <c r="BA226" s="1992"/>
      <c r="BB226" s="1992"/>
      <c r="BD226" s="1992"/>
      <c r="BE226" s="1992"/>
      <c r="BG226" s="1992"/>
      <c r="BI226" s="1992"/>
      <c r="BJ226" s="1992"/>
      <c r="BK226" s="1992"/>
    </row>
    <row r="227" spans="1:63" ht="12.75" x14ac:dyDescent="0.2">
      <c r="A227" s="1984">
        <v>220</v>
      </c>
      <c r="B227" s="1995" t="s">
        <v>350</v>
      </c>
      <c r="C227" s="1994" t="s">
        <v>351</v>
      </c>
      <c r="D227" s="1987">
        <v>120627</v>
      </c>
      <c r="E227" s="1988">
        <v>119697000</v>
      </c>
      <c r="F227" s="1989">
        <v>53148274</v>
      </c>
      <c r="G227" s="1989">
        <v>-1256033</v>
      </c>
      <c r="H227" s="1989">
        <v>1289464</v>
      </c>
      <c r="I227" s="1989">
        <v>33431</v>
      </c>
      <c r="J227" s="1989">
        <v>-1620031</v>
      </c>
      <c r="K227" s="1989">
        <v>-15785</v>
      </c>
      <c r="L227" s="1989">
        <v>0</v>
      </c>
      <c r="M227" s="1989">
        <v>-257282</v>
      </c>
      <c r="N227" s="1989">
        <v>-1540176</v>
      </c>
      <c r="O227" s="1989">
        <v>-65848</v>
      </c>
      <c r="P227" s="1989">
        <v>-313662</v>
      </c>
      <c r="Q227" s="1989">
        <v>-3946</v>
      </c>
      <c r="R227" s="1989">
        <v>0</v>
      </c>
      <c r="S227" s="1989">
        <v>0</v>
      </c>
      <c r="T227" s="1989">
        <v>0</v>
      </c>
      <c r="U227" s="1989">
        <v>0</v>
      </c>
      <c r="V227" s="1989">
        <v>0</v>
      </c>
      <c r="W227" s="1989">
        <v>0</v>
      </c>
      <c r="X227" s="1989">
        <v>-56410</v>
      </c>
      <c r="Y227" s="1989">
        <v>-2418</v>
      </c>
      <c r="Z227" s="1989">
        <v>49306147</v>
      </c>
      <c r="AA227" s="1989">
        <v>-1432025</v>
      </c>
      <c r="AB227" s="1990"/>
      <c r="AC227" s="1989">
        <v>113</v>
      </c>
      <c r="AD227" s="1989">
        <v>5</v>
      </c>
      <c r="AE227" s="1989">
        <v>0</v>
      </c>
      <c r="AF227" s="1989">
        <v>1</v>
      </c>
      <c r="AG227" s="1989">
        <v>276</v>
      </c>
      <c r="AH227" s="1989">
        <v>51</v>
      </c>
      <c r="AI227" s="1989">
        <v>16</v>
      </c>
      <c r="AJ227" s="1989">
        <v>5</v>
      </c>
      <c r="AK227" s="1989">
        <v>0</v>
      </c>
      <c r="AL227" s="1989">
        <v>0</v>
      </c>
      <c r="AM227" s="1989">
        <v>0</v>
      </c>
      <c r="AN227" s="1989">
        <v>0</v>
      </c>
      <c r="AO227" s="1989">
        <v>1149</v>
      </c>
      <c r="AP227" s="1989">
        <v>632</v>
      </c>
      <c r="AQ227" s="1989">
        <v>380</v>
      </c>
      <c r="AR227" s="1989">
        <v>252</v>
      </c>
      <c r="AS227" s="1989">
        <v>676</v>
      </c>
      <c r="AT227" s="1988">
        <v>2460</v>
      </c>
      <c r="AU227" s="1991"/>
      <c r="AV227" s="1991"/>
      <c r="AX227" s="1992"/>
      <c r="AY227" s="1992"/>
      <c r="AZ227" s="1992"/>
      <c r="BA227" s="1992"/>
      <c r="BB227" s="1992"/>
      <c r="BD227" s="1992"/>
      <c r="BE227" s="1992"/>
      <c r="BG227" s="1992"/>
      <c r="BI227" s="1992"/>
      <c r="BJ227" s="1992"/>
      <c r="BK227" s="1992"/>
    </row>
    <row r="228" spans="1:63" ht="12.75" x14ac:dyDescent="0.2">
      <c r="A228" s="1984">
        <v>221</v>
      </c>
      <c r="B228" s="1996" t="s">
        <v>716</v>
      </c>
      <c r="C228" s="1994" t="s">
        <v>353</v>
      </c>
      <c r="D228" s="1987">
        <v>58754</v>
      </c>
      <c r="E228" s="1988">
        <v>31447000</v>
      </c>
      <c r="F228" s="1989">
        <v>13190194</v>
      </c>
      <c r="G228" s="1989">
        <v>-1036711</v>
      </c>
      <c r="H228" s="1989">
        <v>274780</v>
      </c>
      <c r="I228" s="1989">
        <v>-761931</v>
      </c>
      <c r="J228" s="1989">
        <v>-1272704</v>
      </c>
      <c r="K228" s="1989">
        <v>-22445</v>
      </c>
      <c r="L228" s="1989">
        <v>-11501</v>
      </c>
      <c r="M228" s="1989">
        <v>-40000</v>
      </c>
      <c r="N228" s="1989">
        <v>-149736</v>
      </c>
      <c r="O228" s="1989">
        <v>-40947</v>
      </c>
      <c r="P228" s="1989">
        <v>-41740</v>
      </c>
      <c r="Q228" s="1989">
        <v>-1640</v>
      </c>
      <c r="R228" s="1989">
        <v>-11501</v>
      </c>
      <c r="S228" s="1989">
        <v>-1573</v>
      </c>
      <c r="T228" s="1989">
        <v>0</v>
      </c>
      <c r="U228" s="1989">
        <v>0</v>
      </c>
      <c r="V228" s="1989">
        <v>0</v>
      </c>
      <c r="W228" s="1989">
        <v>0</v>
      </c>
      <c r="X228" s="1989">
        <v>-7401</v>
      </c>
      <c r="Y228" s="1989">
        <v>0</v>
      </c>
      <c r="Z228" s="1989">
        <v>10827075</v>
      </c>
      <c r="AA228" s="1989">
        <v>-131069</v>
      </c>
      <c r="AB228" s="1990"/>
      <c r="AC228" s="1989">
        <v>79</v>
      </c>
      <c r="AD228" s="1989">
        <v>7</v>
      </c>
      <c r="AE228" s="1989">
        <v>11</v>
      </c>
      <c r="AF228" s="1989">
        <v>0</v>
      </c>
      <c r="AG228" s="1989">
        <v>59</v>
      </c>
      <c r="AH228" s="1989">
        <v>39</v>
      </c>
      <c r="AI228" s="1989">
        <v>19</v>
      </c>
      <c r="AJ228" s="1989">
        <v>0</v>
      </c>
      <c r="AK228" s="1989">
        <v>11</v>
      </c>
      <c r="AL228" s="1989">
        <v>1</v>
      </c>
      <c r="AM228" s="1989">
        <v>0</v>
      </c>
      <c r="AN228" s="1989">
        <v>0</v>
      </c>
      <c r="AO228" s="1989">
        <v>371</v>
      </c>
      <c r="AP228" s="1989">
        <v>616</v>
      </c>
      <c r="AQ228" s="1989">
        <v>460</v>
      </c>
      <c r="AR228" s="1989">
        <v>156</v>
      </c>
      <c r="AS228" s="1989">
        <v>467</v>
      </c>
      <c r="AT228" s="1988">
        <v>1500</v>
      </c>
      <c r="AU228" s="1991"/>
      <c r="AV228" s="1991"/>
      <c r="AX228" s="1992"/>
      <c r="AY228" s="1992"/>
      <c r="AZ228" s="1992"/>
      <c r="BA228" s="1992"/>
      <c r="BB228" s="1992"/>
      <c r="BD228" s="1992"/>
      <c r="BE228" s="1992"/>
      <c r="BG228" s="1992"/>
      <c r="BI228" s="1992"/>
      <c r="BJ228" s="1992"/>
      <c r="BK228" s="1992"/>
    </row>
    <row r="229" spans="1:63" ht="12.75" x14ac:dyDescent="0.2">
      <c r="A229" s="1984">
        <v>222</v>
      </c>
      <c r="B229" s="1995" t="s">
        <v>354</v>
      </c>
      <c r="C229" s="1994" t="s">
        <v>355</v>
      </c>
      <c r="D229" s="1987">
        <v>110030</v>
      </c>
      <c r="E229" s="1988">
        <v>48714000</v>
      </c>
      <c r="F229" s="1989">
        <v>20881227</v>
      </c>
      <c r="G229" s="1989">
        <v>-2220000</v>
      </c>
      <c r="H229" s="1989">
        <v>407500</v>
      </c>
      <c r="I229" s="1989">
        <v>-1812500</v>
      </c>
      <c r="J229" s="1989">
        <v>-879000</v>
      </c>
      <c r="K229" s="1989">
        <v>-30000</v>
      </c>
      <c r="L229" s="1989">
        <v>-51000</v>
      </c>
      <c r="M229" s="1989">
        <v>0</v>
      </c>
      <c r="N229" s="1989">
        <v>-410000</v>
      </c>
      <c r="O229" s="1989">
        <v>-82000</v>
      </c>
      <c r="P229" s="1989">
        <v>-63000</v>
      </c>
      <c r="Q229" s="1989">
        <v>-2500</v>
      </c>
      <c r="R229" s="1989">
        <v>-5800</v>
      </c>
      <c r="S229" s="1989">
        <v>-3100</v>
      </c>
      <c r="T229" s="1989">
        <v>0</v>
      </c>
      <c r="U229" s="1989">
        <v>0</v>
      </c>
      <c r="V229" s="1989">
        <v>0</v>
      </c>
      <c r="W229" s="1989">
        <v>0</v>
      </c>
      <c r="X229" s="1989">
        <v>-12000</v>
      </c>
      <c r="Y229" s="1989">
        <v>0</v>
      </c>
      <c r="Z229" s="1989">
        <v>17530327</v>
      </c>
      <c r="AA229" s="1989">
        <v>-410000</v>
      </c>
      <c r="AB229" s="1990"/>
      <c r="AC229" s="1989">
        <v>162</v>
      </c>
      <c r="AD229" s="1989">
        <v>3</v>
      </c>
      <c r="AE229" s="1989">
        <v>34</v>
      </c>
      <c r="AF229" s="1989">
        <v>0</v>
      </c>
      <c r="AG229" s="1989">
        <v>131</v>
      </c>
      <c r="AH229" s="1989">
        <v>106</v>
      </c>
      <c r="AI229" s="1989">
        <v>49</v>
      </c>
      <c r="AJ229" s="1989">
        <v>2</v>
      </c>
      <c r="AK229" s="1989">
        <v>8</v>
      </c>
      <c r="AL229" s="1989">
        <v>1</v>
      </c>
      <c r="AM229" s="1989">
        <v>0</v>
      </c>
      <c r="AN229" s="1989">
        <v>1</v>
      </c>
      <c r="AO229" s="1989">
        <v>798</v>
      </c>
      <c r="AP229" s="1989">
        <v>1235</v>
      </c>
      <c r="AQ229" s="1989">
        <v>944</v>
      </c>
      <c r="AR229" s="1989">
        <v>291</v>
      </c>
      <c r="AS229" s="1989">
        <v>845</v>
      </c>
      <c r="AT229" s="1988">
        <v>2900</v>
      </c>
      <c r="AU229" s="1991"/>
      <c r="AV229" s="1991"/>
      <c r="AX229" s="1992"/>
      <c r="AY229" s="1992"/>
      <c r="AZ229" s="1992"/>
      <c r="BA229" s="1992"/>
      <c r="BB229" s="1992"/>
      <c r="BD229" s="1992"/>
      <c r="BE229" s="1992"/>
      <c r="BG229" s="1992"/>
      <c r="BI229" s="1992"/>
      <c r="BJ229" s="1992"/>
      <c r="BK229" s="1992"/>
    </row>
    <row r="230" spans="1:63" ht="12.75" x14ac:dyDescent="0.2">
      <c r="A230" s="1984">
        <v>223</v>
      </c>
      <c r="B230" s="1995" t="s">
        <v>356</v>
      </c>
      <c r="C230" s="1994" t="s">
        <v>357</v>
      </c>
      <c r="D230" s="1987">
        <v>449977</v>
      </c>
      <c r="E230" s="1988">
        <v>239862000</v>
      </c>
      <c r="F230" s="1989">
        <v>120228850</v>
      </c>
      <c r="G230" s="1989">
        <v>-4663556</v>
      </c>
      <c r="H230" s="1989">
        <v>2793757</v>
      </c>
      <c r="I230" s="1989">
        <v>-1869799</v>
      </c>
      <c r="J230" s="1989">
        <v>-6778440</v>
      </c>
      <c r="K230" s="1989">
        <v>-117346</v>
      </c>
      <c r="L230" s="1989">
        <v>0</v>
      </c>
      <c r="M230" s="1989">
        <v>0</v>
      </c>
      <c r="N230" s="1989">
        <v>-5600000</v>
      </c>
      <c r="O230" s="1989">
        <v>-126000</v>
      </c>
      <c r="P230" s="1989">
        <v>-176000</v>
      </c>
      <c r="Q230" s="1989">
        <v>-2000</v>
      </c>
      <c r="R230" s="1989">
        <v>0</v>
      </c>
      <c r="S230" s="1989">
        <v>0</v>
      </c>
      <c r="T230" s="1989">
        <v>0</v>
      </c>
      <c r="U230" s="1989">
        <v>0</v>
      </c>
      <c r="V230" s="1989">
        <v>0</v>
      </c>
      <c r="W230" s="1989">
        <v>0</v>
      </c>
      <c r="X230" s="1989">
        <v>0</v>
      </c>
      <c r="Y230" s="1989">
        <v>0</v>
      </c>
      <c r="Z230" s="1989">
        <v>105559265</v>
      </c>
      <c r="AA230" s="1989">
        <v>-4948032</v>
      </c>
      <c r="AB230" s="1990"/>
      <c r="AC230" s="1989">
        <v>376</v>
      </c>
      <c r="AD230" s="1989">
        <v>13</v>
      </c>
      <c r="AE230" s="1989">
        <v>0</v>
      </c>
      <c r="AF230" s="1989">
        <v>0</v>
      </c>
      <c r="AG230" s="1989">
        <v>3540</v>
      </c>
      <c r="AH230" s="1989">
        <v>180</v>
      </c>
      <c r="AI230" s="1989">
        <v>65</v>
      </c>
      <c r="AJ230" s="1989">
        <v>80</v>
      </c>
      <c r="AK230" s="1989">
        <v>0</v>
      </c>
      <c r="AL230" s="1989">
        <v>0</v>
      </c>
      <c r="AM230" s="1989">
        <v>0</v>
      </c>
      <c r="AN230" s="1989">
        <v>0</v>
      </c>
      <c r="AO230" s="1989">
        <v>5738</v>
      </c>
      <c r="AP230" s="1989">
        <v>2298</v>
      </c>
      <c r="AQ230" s="1989">
        <v>1464</v>
      </c>
      <c r="AR230" s="1989">
        <v>834</v>
      </c>
      <c r="AS230" s="1989">
        <v>3061</v>
      </c>
      <c r="AT230" s="1988">
        <v>11270</v>
      </c>
      <c r="AU230" s="1991"/>
      <c r="AV230" s="1991"/>
      <c r="AX230" s="1992"/>
      <c r="AY230" s="1992"/>
      <c r="AZ230" s="1992"/>
      <c r="BA230" s="1992"/>
      <c r="BB230" s="1992"/>
      <c r="BD230" s="1992"/>
      <c r="BE230" s="1992"/>
      <c r="BG230" s="1992"/>
      <c r="BI230" s="1992"/>
      <c r="BJ230" s="1992"/>
      <c r="BK230" s="1992"/>
    </row>
    <row r="231" spans="1:63" ht="12.75" x14ac:dyDescent="0.2">
      <c r="A231" s="1984">
        <v>224</v>
      </c>
      <c r="B231" s="1995" t="s">
        <v>358</v>
      </c>
      <c r="C231" s="1994" t="s">
        <v>359</v>
      </c>
      <c r="D231" s="1987">
        <v>443826</v>
      </c>
      <c r="E231" s="1988">
        <v>254677000</v>
      </c>
      <c r="F231" s="1989">
        <v>124606991</v>
      </c>
      <c r="G231" s="1989">
        <v>-8132207</v>
      </c>
      <c r="H231" s="1989">
        <v>2776179</v>
      </c>
      <c r="I231" s="1989">
        <v>-5356028</v>
      </c>
      <c r="J231" s="1989">
        <v>-5728525</v>
      </c>
      <c r="K231" s="1989">
        <v>-98426</v>
      </c>
      <c r="L231" s="1989">
        <v>0</v>
      </c>
      <c r="M231" s="1989">
        <v>-150000</v>
      </c>
      <c r="N231" s="1989">
        <v>-3923722</v>
      </c>
      <c r="O231" s="1989">
        <v>-443376</v>
      </c>
      <c r="P231" s="1989">
        <v>-355668</v>
      </c>
      <c r="Q231" s="1989">
        <v>-2828</v>
      </c>
      <c r="R231" s="1989">
        <v>0</v>
      </c>
      <c r="S231" s="1989">
        <v>0</v>
      </c>
      <c r="T231" s="1989">
        <v>0</v>
      </c>
      <c r="U231" s="1989">
        <v>0</v>
      </c>
      <c r="V231" s="1989">
        <v>0</v>
      </c>
      <c r="W231" s="1989">
        <v>-19904</v>
      </c>
      <c r="X231" s="1989">
        <v>-118121</v>
      </c>
      <c r="Y231" s="1989">
        <v>-11600</v>
      </c>
      <c r="Z231" s="1989">
        <v>108398793</v>
      </c>
      <c r="AA231" s="1989">
        <v>-980000</v>
      </c>
      <c r="AB231" s="1990"/>
      <c r="AC231" s="1989">
        <v>339</v>
      </c>
      <c r="AD231" s="1989">
        <v>9</v>
      </c>
      <c r="AE231" s="1989">
        <v>0</v>
      </c>
      <c r="AF231" s="1989">
        <v>9</v>
      </c>
      <c r="AG231" s="1989">
        <v>1260</v>
      </c>
      <c r="AH231" s="1989">
        <v>197</v>
      </c>
      <c r="AI231" s="1989">
        <v>22</v>
      </c>
      <c r="AJ231" s="1989">
        <v>3</v>
      </c>
      <c r="AK231" s="1989">
        <v>0</v>
      </c>
      <c r="AL231" s="1989">
        <v>0</v>
      </c>
      <c r="AM231" s="1989">
        <v>0</v>
      </c>
      <c r="AN231" s="1989">
        <v>0</v>
      </c>
      <c r="AO231" s="1989">
        <v>3710</v>
      </c>
      <c r="AP231" s="1989">
        <v>4167</v>
      </c>
      <c r="AQ231" s="1989">
        <v>2737</v>
      </c>
      <c r="AR231" s="1989">
        <v>1430</v>
      </c>
      <c r="AS231" s="1989">
        <v>3002</v>
      </c>
      <c r="AT231" s="1988">
        <v>11000</v>
      </c>
      <c r="AU231" s="1991"/>
      <c r="AV231" s="1991"/>
      <c r="AX231" s="1992"/>
      <c r="AY231" s="1992"/>
      <c r="AZ231" s="1992"/>
      <c r="BA231" s="1992"/>
      <c r="BB231" s="1992"/>
      <c r="BD231" s="1992"/>
      <c r="BE231" s="1992"/>
      <c r="BG231" s="1992"/>
      <c r="BI231" s="1992"/>
      <c r="BJ231" s="1992"/>
      <c r="BK231" s="1992"/>
    </row>
    <row r="232" spans="1:63" ht="12.75" x14ac:dyDescent="0.2">
      <c r="A232" s="1984">
        <v>225</v>
      </c>
      <c r="B232" s="1995" t="s">
        <v>360</v>
      </c>
      <c r="C232" s="1994" t="s">
        <v>361</v>
      </c>
      <c r="D232" s="1987">
        <v>259507</v>
      </c>
      <c r="E232" s="1988">
        <v>102543000</v>
      </c>
      <c r="F232" s="1989">
        <v>42818190</v>
      </c>
      <c r="G232" s="1989">
        <v>-5752082</v>
      </c>
      <c r="H232" s="1989">
        <v>833979</v>
      </c>
      <c r="I232" s="1989">
        <v>-4918103</v>
      </c>
      <c r="J232" s="1989">
        <v>-1679025</v>
      </c>
      <c r="K232" s="1989">
        <v>-152915</v>
      </c>
      <c r="L232" s="1989">
        <v>-27857</v>
      </c>
      <c r="M232" s="1989">
        <v>0</v>
      </c>
      <c r="N232" s="1989">
        <v>-409452</v>
      </c>
      <c r="O232" s="1989">
        <v>-143730</v>
      </c>
      <c r="P232" s="1989">
        <v>-71393</v>
      </c>
      <c r="Q232" s="1989">
        <v>0</v>
      </c>
      <c r="R232" s="1989">
        <v>-1500</v>
      </c>
      <c r="S232" s="1989">
        <v>0</v>
      </c>
      <c r="T232" s="1989">
        <v>0</v>
      </c>
      <c r="U232" s="1989">
        <v>0</v>
      </c>
      <c r="V232" s="1989">
        <v>0</v>
      </c>
      <c r="W232" s="1989">
        <v>-30000</v>
      </c>
      <c r="X232" s="1989">
        <v>-30000</v>
      </c>
      <c r="Y232" s="1989">
        <v>-25500</v>
      </c>
      <c r="Z232" s="1989">
        <v>35064315</v>
      </c>
      <c r="AA232" s="1989">
        <v>-1500000</v>
      </c>
      <c r="AB232" s="1990"/>
      <c r="AC232" s="1989">
        <v>282</v>
      </c>
      <c r="AD232" s="1989">
        <v>30</v>
      </c>
      <c r="AE232" s="1989">
        <v>20</v>
      </c>
      <c r="AF232" s="1989">
        <v>0</v>
      </c>
      <c r="AG232" s="1989">
        <v>251</v>
      </c>
      <c r="AH232" s="1989">
        <v>160</v>
      </c>
      <c r="AI232" s="1989">
        <v>64</v>
      </c>
      <c r="AJ232" s="1989">
        <v>0</v>
      </c>
      <c r="AK232" s="1989">
        <v>0</v>
      </c>
      <c r="AL232" s="1989">
        <v>0</v>
      </c>
      <c r="AM232" s="1989">
        <v>0</v>
      </c>
      <c r="AN232" s="1989">
        <v>0</v>
      </c>
      <c r="AO232" s="1989">
        <v>1508</v>
      </c>
      <c r="AP232" s="1989">
        <v>3448</v>
      </c>
      <c r="AQ232" s="1989">
        <v>2811</v>
      </c>
      <c r="AR232" s="1989">
        <v>637</v>
      </c>
      <c r="AS232" s="1989">
        <v>1896</v>
      </c>
      <c r="AT232" s="1988">
        <v>6950</v>
      </c>
      <c r="AU232" s="1991"/>
      <c r="AV232" s="1991"/>
      <c r="AX232" s="1992"/>
      <c r="AY232" s="1992"/>
      <c r="AZ232" s="1992"/>
      <c r="BA232" s="1992"/>
      <c r="BB232" s="1992"/>
      <c r="BD232" s="1992"/>
      <c r="BE232" s="1992"/>
      <c r="BG232" s="1992"/>
      <c r="BI232" s="1992"/>
      <c r="BJ232" s="1992"/>
      <c r="BK232" s="1992"/>
    </row>
    <row r="233" spans="1:63" ht="12.75" x14ac:dyDescent="0.2">
      <c r="A233" s="1984">
        <v>226</v>
      </c>
      <c r="B233" s="1995" t="s">
        <v>362</v>
      </c>
      <c r="C233" s="1994" t="s">
        <v>363</v>
      </c>
      <c r="D233" s="1987">
        <v>163085</v>
      </c>
      <c r="E233" s="1988">
        <v>102240000</v>
      </c>
      <c r="F233" s="1989">
        <v>46022505</v>
      </c>
      <c r="G233" s="1989">
        <v>-2867316</v>
      </c>
      <c r="H233" s="1989">
        <v>1023153</v>
      </c>
      <c r="I233" s="1989">
        <v>-1844163</v>
      </c>
      <c r="J233" s="1989">
        <v>-2433996</v>
      </c>
      <c r="K233" s="1989">
        <v>-32066</v>
      </c>
      <c r="L233" s="1989">
        <v>-70094</v>
      </c>
      <c r="M233" s="1989">
        <v>0</v>
      </c>
      <c r="N233" s="1989">
        <v>-1250006</v>
      </c>
      <c r="O233" s="1989">
        <v>-74792</v>
      </c>
      <c r="P233" s="1989">
        <v>-25412</v>
      </c>
      <c r="Q233" s="1989">
        <v>0</v>
      </c>
      <c r="R233" s="1989">
        <v>-28322</v>
      </c>
      <c r="S233" s="1989">
        <v>-368</v>
      </c>
      <c r="T233" s="1989">
        <v>0</v>
      </c>
      <c r="U233" s="1989">
        <v>0</v>
      </c>
      <c r="V233" s="1989">
        <v>0</v>
      </c>
      <c r="W233" s="1989">
        <v>0</v>
      </c>
      <c r="X233" s="1989">
        <v>-6877</v>
      </c>
      <c r="Y233" s="1989">
        <v>-25424</v>
      </c>
      <c r="Z233" s="1989">
        <v>39975618</v>
      </c>
      <c r="AA233" s="1989">
        <v>-1098390</v>
      </c>
      <c r="AB233" s="1990"/>
      <c r="AC233" s="1989">
        <v>218</v>
      </c>
      <c r="AD233" s="1989">
        <v>14</v>
      </c>
      <c r="AE233" s="1989">
        <v>55</v>
      </c>
      <c r="AF233" s="1989">
        <v>0</v>
      </c>
      <c r="AG233" s="1989">
        <v>465</v>
      </c>
      <c r="AH233" s="1989">
        <v>109</v>
      </c>
      <c r="AI233" s="1989">
        <v>9</v>
      </c>
      <c r="AJ233" s="1989">
        <v>0</v>
      </c>
      <c r="AK233" s="1989">
        <v>32</v>
      </c>
      <c r="AL233" s="1989">
        <v>0</v>
      </c>
      <c r="AM233" s="1989">
        <v>0</v>
      </c>
      <c r="AN233" s="1989">
        <v>0</v>
      </c>
      <c r="AO233" s="1989">
        <v>1317</v>
      </c>
      <c r="AP233" s="1989">
        <v>1624</v>
      </c>
      <c r="AQ233" s="1989">
        <v>1160</v>
      </c>
      <c r="AR233" s="1989">
        <v>464</v>
      </c>
      <c r="AS233" s="1989">
        <v>1014</v>
      </c>
      <c r="AT233" s="1988">
        <v>4030</v>
      </c>
      <c r="AU233" s="1991"/>
      <c r="AV233" s="1991"/>
      <c r="AX233" s="1992"/>
      <c r="AY233" s="1992"/>
      <c r="AZ233" s="1992"/>
      <c r="BA233" s="1992"/>
      <c r="BB233" s="1992"/>
      <c r="BD233" s="1992"/>
      <c r="BE233" s="1992"/>
      <c r="BG233" s="1992"/>
      <c r="BI233" s="1992"/>
      <c r="BJ233" s="1992"/>
      <c r="BK233" s="1992"/>
    </row>
    <row r="234" spans="1:63" ht="12.75" x14ac:dyDescent="0.2">
      <c r="A234" s="1984">
        <v>227</v>
      </c>
      <c r="B234" s="1995" t="s">
        <v>364</v>
      </c>
      <c r="C234" s="1994" t="s">
        <v>365</v>
      </c>
      <c r="D234" s="1987">
        <v>321434</v>
      </c>
      <c r="E234" s="1988">
        <v>184768000</v>
      </c>
      <c r="F234" s="1989">
        <v>85685389</v>
      </c>
      <c r="G234" s="1989">
        <v>-5897909</v>
      </c>
      <c r="H234" s="1989">
        <v>1936699</v>
      </c>
      <c r="I234" s="1989">
        <v>-3961210</v>
      </c>
      <c r="J234" s="1989">
        <v>-4427630</v>
      </c>
      <c r="K234" s="1989">
        <v>-30983</v>
      </c>
      <c r="L234" s="1989">
        <v>-1815</v>
      </c>
      <c r="M234" s="1989">
        <v>0</v>
      </c>
      <c r="N234" s="1989">
        <v>-2513439</v>
      </c>
      <c r="O234" s="1989">
        <v>-228630</v>
      </c>
      <c r="P234" s="1989">
        <v>-87000</v>
      </c>
      <c r="Q234" s="1989">
        <v>0</v>
      </c>
      <c r="R234" s="1989">
        <v>0</v>
      </c>
      <c r="S234" s="1989">
        <v>0</v>
      </c>
      <c r="T234" s="1989">
        <v>-6653</v>
      </c>
      <c r="U234" s="1989">
        <v>0</v>
      </c>
      <c r="V234" s="1989">
        <v>0</v>
      </c>
      <c r="W234" s="1989">
        <v>-94000</v>
      </c>
      <c r="X234" s="1989">
        <v>-60000</v>
      </c>
      <c r="Y234" s="1989">
        <v>-6435</v>
      </c>
      <c r="Z234" s="1989">
        <v>73042594</v>
      </c>
      <c r="AA234" s="1989">
        <v>-3901000</v>
      </c>
      <c r="AB234" s="1990"/>
      <c r="AC234" s="1989">
        <v>320</v>
      </c>
      <c r="AD234" s="1989">
        <v>16</v>
      </c>
      <c r="AE234" s="1989">
        <v>2</v>
      </c>
      <c r="AF234" s="1989">
        <v>0</v>
      </c>
      <c r="AG234" s="1989">
        <v>914</v>
      </c>
      <c r="AH234" s="1989">
        <v>47</v>
      </c>
      <c r="AI234" s="1989">
        <v>17</v>
      </c>
      <c r="AJ234" s="1989">
        <v>0</v>
      </c>
      <c r="AK234" s="1989">
        <v>0</v>
      </c>
      <c r="AL234" s="1989">
        <v>0</v>
      </c>
      <c r="AM234" s="1989">
        <v>0</v>
      </c>
      <c r="AN234" s="1989">
        <v>0</v>
      </c>
      <c r="AO234" s="1989">
        <v>2627</v>
      </c>
      <c r="AP234" s="1989">
        <v>3345</v>
      </c>
      <c r="AQ234" s="1989">
        <v>2468</v>
      </c>
      <c r="AR234" s="1989">
        <v>877</v>
      </c>
      <c r="AS234" s="1989">
        <v>2065</v>
      </c>
      <c r="AT234" s="1988">
        <v>8020</v>
      </c>
      <c r="AU234" s="1991"/>
      <c r="AV234" s="1991"/>
      <c r="AX234" s="1992"/>
      <c r="AY234" s="1992"/>
      <c r="AZ234" s="1992"/>
      <c r="BA234" s="1992"/>
      <c r="BB234" s="1992"/>
      <c r="BD234" s="1992"/>
      <c r="BE234" s="1992"/>
      <c r="BG234" s="1992"/>
      <c r="BI234" s="1992"/>
      <c r="BJ234" s="1992"/>
      <c r="BK234" s="1992"/>
    </row>
    <row r="235" spans="1:63" ht="12.75" x14ac:dyDescent="0.2">
      <c r="A235" s="1984">
        <v>228</v>
      </c>
      <c r="B235" s="1995" t="s">
        <v>366</v>
      </c>
      <c r="C235" s="1994" t="s">
        <v>367</v>
      </c>
      <c r="D235" s="1987">
        <v>112514</v>
      </c>
      <c r="E235" s="1988">
        <v>90721000</v>
      </c>
      <c r="F235" s="1989">
        <v>44391984</v>
      </c>
      <c r="G235" s="1989">
        <v>-1691418</v>
      </c>
      <c r="H235" s="1989">
        <v>999937</v>
      </c>
      <c r="I235" s="1989">
        <v>-691481</v>
      </c>
      <c r="J235" s="1989">
        <v>-1050447</v>
      </c>
      <c r="K235" s="1989">
        <v>-55018</v>
      </c>
      <c r="L235" s="1989">
        <v>-19479</v>
      </c>
      <c r="M235" s="1989">
        <v>-20039</v>
      </c>
      <c r="N235" s="1989">
        <v>-628681</v>
      </c>
      <c r="O235" s="1989">
        <v>-66058</v>
      </c>
      <c r="P235" s="1989">
        <v>-14752</v>
      </c>
      <c r="Q235" s="1989">
        <v>-1389</v>
      </c>
      <c r="R235" s="1989">
        <v>-12284</v>
      </c>
      <c r="S235" s="1989">
        <v>-2868</v>
      </c>
      <c r="T235" s="1989">
        <v>0</v>
      </c>
      <c r="U235" s="1989">
        <v>0</v>
      </c>
      <c r="V235" s="1989">
        <v>0</v>
      </c>
      <c r="W235" s="1989">
        <v>-5074</v>
      </c>
      <c r="X235" s="1989">
        <v>-14240</v>
      </c>
      <c r="Y235" s="1989">
        <v>0</v>
      </c>
      <c r="Z235" s="1989">
        <v>41810174</v>
      </c>
      <c r="AA235" s="1989">
        <v>-1454758</v>
      </c>
      <c r="AB235" s="1990"/>
      <c r="AC235" s="1989">
        <v>119</v>
      </c>
      <c r="AD235" s="1989">
        <v>16</v>
      </c>
      <c r="AE235" s="1989">
        <v>18</v>
      </c>
      <c r="AF235" s="1989">
        <v>1</v>
      </c>
      <c r="AG235" s="1989">
        <v>442</v>
      </c>
      <c r="AH235" s="1989">
        <v>71</v>
      </c>
      <c r="AI235" s="1989">
        <v>11</v>
      </c>
      <c r="AJ235" s="1989">
        <v>2</v>
      </c>
      <c r="AK235" s="1989">
        <v>19</v>
      </c>
      <c r="AL235" s="1989">
        <v>3</v>
      </c>
      <c r="AM235" s="1989">
        <v>0</v>
      </c>
      <c r="AN235" s="1989">
        <v>0</v>
      </c>
      <c r="AO235" s="1989">
        <v>908</v>
      </c>
      <c r="AP235" s="1989">
        <v>957</v>
      </c>
      <c r="AQ235" s="1989">
        <v>660</v>
      </c>
      <c r="AR235" s="1989">
        <v>297</v>
      </c>
      <c r="AS235" s="1989">
        <v>35</v>
      </c>
      <c r="AT235" s="1988">
        <v>2600</v>
      </c>
      <c r="AU235" s="1991"/>
      <c r="AV235" s="1991"/>
      <c r="AX235" s="1992"/>
      <c r="AY235" s="1992"/>
      <c r="AZ235" s="1992"/>
      <c r="BA235" s="1992"/>
      <c r="BB235" s="1992"/>
      <c r="BD235" s="1992"/>
      <c r="BE235" s="1992"/>
      <c r="BG235" s="1992"/>
      <c r="BI235" s="1992"/>
      <c r="BJ235" s="1992"/>
      <c r="BK235" s="1992"/>
    </row>
    <row r="236" spans="1:63" ht="12.75" x14ac:dyDescent="0.2">
      <c r="A236" s="1984">
        <v>229</v>
      </c>
      <c r="B236" s="1995" t="s">
        <v>368</v>
      </c>
      <c r="C236" s="1994" t="s">
        <v>369</v>
      </c>
      <c r="D236" s="1987">
        <v>163555</v>
      </c>
      <c r="E236" s="1988">
        <v>95041000</v>
      </c>
      <c r="F236" s="1989">
        <v>43155901</v>
      </c>
      <c r="G236" s="1989">
        <v>-2271466</v>
      </c>
      <c r="H236" s="1989">
        <v>946778</v>
      </c>
      <c r="I236" s="1989">
        <v>-1324688</v>
      </c>
      <c r="J236" s="1989">
        <v>-2596747</v>
      </c>
      <c r="K236" s="1989">
        <v>-89315</v>
      </c>
      <c r="L236" s="1989">
        <v>-13475</v>
      </c>
      <c r="M236" s="1989">
        <v>0</v>
      </c>
      <c r="N236" s="1989">
        <v>-1488078</v>
      </c>
      <c r="O236" s="1989">
        <v>-128378</v>
      </c>
      <c r="P236" s="1989">
        <v>-37874</v>
      </c>
      <c r="Q236" s="1989">
        <v>0</v>
      </c>
      <c r="R236" s="1989">
        <v>-708</v>
      </c>
      <c r="S236" s="1989">
        <v>-6147</v>
      </c>
      <c r="T236" s="1989">
        <v>-10261</v>
      </c>
      <c r="U236" s="1989">
        <v>0</v>
      </c>
      <c r="V236" s="1989">
        <v>0</v>
      </c>
      <c r="W236" s="1989">
        <v>0</v>
      </c>
      <c r="X236" s="1989">
        <v>0</v>
      </c>
      <c r="Y236" s="1989">
        <v>-2049</v>
      </c>
      <c r="Z236" s="1989">
        <v>37458181</v>
      </c>
      <c r="AA236" s="1989">
        <v>-457917</v>
      </c>
      <c r="AB236" s="1990"/>
      <c r="AC236" s="1989">
        <v>179</v>
      </c>
      <c r="AD236" s="1989">
        <v>34</v>
      </c>
      <c r="AE236" s="1989">
        <v>12</v>
      </c>
      <c r="AF236" s="1989">
        <v>0</v>
      </c>
      <c r="AG236" s="1989">
        <v>432</v>
      </c>
      <c r="AH236" s="1989">
        <v>50</v>
      </c>
      <c r="AI236" s="1989">
        <v>14</v>
      </c>
      <c r="AJ236" s="1989">
        <v>0</v>
      </c>
      <c r="AK236" s="1989">
        <v>1</v>
      </c>
      <c r="AL236" s="1989">
        <v>3</v>
      </c>
      <c r="AM236" s="1989">
        <v>0</v>
      </c>
      <c r="AN236" s="1989">
        <v>2</v>
      </c>
      <c r="AO236" s="1989">
        <v>1498</v>
      </c>
      <c r="AP236" s="1989">
        <v>1138</v>
      </c>
      <c r="AQ236" s="1989">
        <v>656</v>
      </c>
      <c r="AR236" s="1989">
        <v>482</v>
      </c>
      <c r="AS236" s="1989">
        <v>1141</v>
      </c>
      <c r="AT236" s="1988">
        <v>3820</v>
      </c>
      <c r="AU236" s="1991"/>
      <c r="AV236" s="1991"/>
      <c r="AX236" s="1992"/>
      <c r="AY236" s="1992"/>
      <c r="AZ236" s="1992"/>
      <c r="BA236" s="1992"/>
      <c r="BB236" s="1992"/>
      <c r="BD236" s="1992"/>
      <c r="BE236" s="1992"/>
      <c r="BG236" s="1992"/>
      <c r="BI236" s="1992"/>
      <c r="BJ236" s="1992"/>
      <c r="BK236" s="1992"/>
    </row>
    <row r="237" spans="1:63" ht="12.75" x14ac:dyDescent="0.2">
      <c r="A237" s="1984">
        <v>230</v>
      </c>
      <c r="B237" s="1995" t="s">
        <v>370</v>
      </c>
      <c r="C237" s="1994" t="s">
        <v>371</v>
      </c>
      <c r="D237" s="1987">
        <v>765222</v>
      </c>
      <c r="E237" s="1988">
        <v>541226000</v>
      </c>
      <c r="F237" s="1989">
        <v>260434982</v>
      </c>
      <c r="G237" s="1989">
        <v>-11612982</v>
      </c>
      <c r="H237" s="1989">
        <v>6239708</v>
      </c>
      <c r="I237" s="1989">
        <v>-5373274</v>
      </c>
      <c r="J237" s="1989">
        <v>-20192494</v>
      </c>
      <c r="K237" s="1989">
        <v>-20622</v>
      </c>
      <c r="L237" s="1989">
        <v>0</v>
      </c>
      <c r="M237" s="1989">
        <v>-296235</v>
      </c>
      <c r="N237" s="1989">
        <v>-7768068</v>
      </c>
      <c r="O237" s="1989">
        <v>-6685</v>
      </c>
      <c r="P237" s="1989">
        <v>-298003</v>
      </c>
      <c r="Q237" s="1989">
        <v>0</v>
      </c>
      <c r="R237" s="1989">
        <v>0</v>
      </c>
      <c r="S237" s="1989">
        <v>0</v>
      </c>
      <c r="T237" s="1989">
        <v>-56076</v>
      </c>
      <c r="U237" s="1989">
        <v>-56076</v>
      </c>
      <c r="V237" s="1989">
        <v>0</v>
      </c>
      <c r="W237" s="1989">
        <v>0</v>
      </c>
      <c r="X237" s="1989">
        <v>-72416</v>
      </c>
      <c r="Y237" s="1989">
        <v>0</v>
      </c>
      <c r="Z237" s="1989">
        <v>223364924</v>
      </c>
      <c r="AA237" s="1989">
        <v>-3385000</v>
      </c>
      <c r="AB237" s="1990"/>
      <c r="AC237" s="1989">
        <v>989</v>
      </c>
      <c r="AD237" s="1989">
        <v>11</v>
      </c>
      <c r="AE237" s="1989">
        <v>0</v>
      </c>
      <c r="AF237" s="1989">
        <v>0</v>
      </c>
      <c r="AG237" s="1989">
        <v>2845</v>
      </c>
      <c r="AH237" s="1989">
        <v>3</v>
      </c>
      <c r="AI237" s="1989">
        <v>31</v>
      </c>
      <c r="AJ237" s="1989">
        <v>0</v>
      </c>
      <c r="AK237" s="1989">
        <v>0</v>
      </c>
      <c r="AL237" s="1989">
        <v>0</v>
      </c>
      <c r="AM237" s="1989">
        <v>1</v>
      </c>
      <c r="AN237" s="1989">
        <v>0</v>
      </c>
      <c r="AO237" s="1989">
        <v>8699</v>
      </c>
      <c r="AP237" s="1989">
        <v>6499</v>
      </c>
      <c r="AQ237" s="1989">
        <v>4217</v>
      </c>
      <c r="AR237" s="1989">
        <v>2282</v>
      </c>
      <c r="AS237" s="1989">
        <v>2830</v>
      </c>
      <c r="AT237" s="1988">
        <v>18360</v>
      </c>
      <c r="AU237" s="1991"/>
      <c r="AV237" s="1991"/>
      <c r="AX237" s="1992"/>
      <c r="AY237" s="1992"/>
      <c r="AZ237" s="1992"/>
      <c r="BA237" s="1992"/>
      <c r="BB237" s="1992"/>
      <c r="BD237" s="1992"/>
      <c r="BE237" s="1992"/>
      <c r="BG237" s="1992"/>
      <c r="BI237" s="1992"/>
      <c r="BJ237" s="1992"/>
      <c r="BK237" s="1992"/>
    </row>
    <row r="238" spans="1:63" ht="12.75" x14ac:dyDescent="0.2">
      <c r="A238" s="1984">
        <v>231</v>
      </c>
      <c r="B238" s="1995" t="s">
        <v>372</v>
      </c>
      <c r="C238" s="1994" t="s">
        <v>373</v>
      </c>
      <c r="D238" s="1987">
        <v>147234</v>
      </c>
      <c r="E238" s="1988">
        <v>78665000</v>
      </c>
      <c r="F238" s="1989">
        <v>35469401</v>
      </c>
      <c r="G238" s="1989">
        <v>-2776736</v>
      </c>
      <c r="H238" s="1989">
        <v>781805</v>
      </c>
      <c r="I238" s="1989">
        <v>-1994931</v>
      </c>
      <c r="J238" s="1989">
        <v>-2514170</v>
      </c>
      <c r="K238" s="1989">
        <v>-96378</v>
      </c>
      <c r="L238" s="1989">
        <v>-23458</v>
      </c>
      <c r="M238" s="1989">
        <v>-289484</v>
      </c>
      <c r="N238" s="1989">
        <v>-1006389</v>
      </c>
      <c r="O238" s="1989">
        <v>-56722</v>
      </c>
      <c r="P238" s="1989">
        <v>-2080</v>
      </c>
      <c r="Q238" s="1989">
        <v>-1295</v>
      </c>
      <c r="R238" s="1989">
        <v>-322</v>
      </c>
      <c r="S238" s="1989">
        <v>-22</v>
      </c>
      <c r="T238" s="1989">
        <v>-153000</v>
      </c>
      <c r="U238" s="1989">
        <v>0</v>
      </c>
      <c r="V238" s="1989">
        <v>0</v>
      </c>
      <c r="W238" s="1989">
        <v>-500</v>
      </c>
      <c r="X238" s="1989">
        <v>-42359</v>
      </c>
      <c r="Y238" s="1989">
        <v>-9063</v>
      </c>
      <c r="Z238" s="1989">
        <v>29013429</v>
      </c>
      <c r="AA238" s="1989">
        <v>-614890</v>
      </c>
      <c r="AB238" s="1990"/>
      <c r="AC238" s="1989">
        <v>205</v>
      </c>
      <c r="AD238" s="1989">
        <v>27</v>
      </c>
      <c r="AE238" s="1989">
        <v>18</v>
      </c>
      <c r="AF238" s="1989">
        <v>1</v>
      </c>
      <c r="AG238" s="1989">
        <v>483</v>
      </c>
      <c r="AH238" s="1989">
        <v>0</v>
      </c>
      <c r="AI238" s="1989">
        <v>0</v>
      </c>
      <c r="AJ238" s="1989">
        <v>0</v>
      </c>
      <c r="AK238" s="1989">
        <v>0</v>
      </c>
      <c r="AL238" s="1989">
        <v>0</v>
      </c>
      <c r="AM238" s="1989">
        <v>0</v>
      </c>
      <c r="AN238" s="1989">
        <v>5</v>
      </c>
      <c r="AO238" s="1989">
        <v>1259</v>
      </c>
      <c r="AP238" s="1989">
        <v>1585</v>
      </c>
      <c r="AQ238" s="1989">
        <v>1123</v>
      </c>
      <c r="AR238" s="1989">
        <v>462</v>
      </c>
      <c r="AS238" s="1989">
        <v>909</v>
      </c>
      <c r="AT238" s="1988">
        <v>3730</v>
      </c>
      <c r="AU238" s="1991"/>
      <c r="AV238" s="1991"/>
      <c r="AX238" s="1992"/>
      <c r="AY238" s="1992"/>
      <c r="AZ238" s="1992"/>
      <c r="BA238" s="1992"/>
      <c r="BB238" s="1992"/>
      <c r="BD238" s="1992"/>
      <c r="BE238" s="1992"/>
      <c r="BG238" s="1992"/>
      <c r="BI238" s="1992"/>
      <c r="BJ238" s="1992"/>
      <c r="BK238" s="1992"/>
    </row>
    <row r="239" spans="1:63" ht="12.75" x14ac:dyDescent="0.2">
      <c r="A239" s="1984">
        <v>232</v>
      </c>
      <c r="B239" s="1995" t="s">
        <v>374</v>
      </c>
      <c r="C239" s="1994" t="s">
        <v>375</v>
      </c>
      <c r="D239" s="1987">
        <v>462690</v>
      </c>
      <c r="E239" s="1988">
        <v>230017000</v>
      </c>
      <c r="F239" s="1989">
        <v>98222548</v>
      </c>
      <c r="G239" s="1989">
        <v>-8387187</v>
      </c>
      <c r="H239" s="1989">
        <v>2030931</v>
      </c>
      <c r="I239" s="1989">
        <v>-6356256</v>
      </c>
      <c r="J239" s="1989">
        <v>-6723028</v>
      </c>
      <c r="K239" s="1989">
        <v>-164345</v>
      </c>
      <c r="L239" s="1989">
        <v>-98152</v>
      </c>
      <c r="M239" s="1989">
        <v>-100701</v>
      </c>
      <c r="N239" s="1989">
        <v>-1549092</v>
      </c>
      <c r="O239" s="1989">
        <v>-550713</v>
      </c>
      <c r="P239" s="1989">
        <v>-331276</v>
      </c>
      <c r="Q239" s="1989">
        <v>-29510</v>
      </c>
      <c r="R239" s="1989">
        <v>-7993</v>
      </c>
      <c r="S239" s="1989">
        <v>0</v>
      </c>
      <c r="T239" s="1989">
        <v>0</v>
      </c>
      <c r="U239" s="1989">
        <v>0</v>
      </c>
      <c r="V239" s="1989">
        <v>0</v>
      </c>
      <c r="W239" s="1989">
        <v>-112197</v>
      </c>
      <c r="X239" s="1989">
        <v>-57744</v>
      </c>
      <c r="Y239" s="1989">
        <v>-26042</v>
      </c>
      <c r="Z239" s="1989">
        <v>82115499</v>
      </c>
      <c r="AA239" s="1989">
        <v>-1553877</v>
      </c>
      <c r="AB239" s="1990"/>
      <c r="AC239" s="1989">
        <v>689</v>
      </c>
      <c r="AD239" s="1989">
        <v>61</v>
      </c>
      <c r="AE239" s="1989">
        <v>88</v>
      </c>
      <c r="AF239" s="1989">
        <v>0</v>
      </c>
      <c r="AG239" s="1989">
        <v>768</v>
      </c>
      <c r="AH239" s="1989">
        <v>444</v>
      </c>
      <c r="AI239" s="1989">
        <v>103</v>
      </c>
      <c r="AJ239" s="1989">
        <v>26</v>
      </c>
      <c r="AK239" s="1989">
        <v>19</v>
      </c>
      <c r="AL239" s="1989">
        <v>0</v>
      </c>
      <c r="AM239" s="1989">
        <v>0</v>
      </c>
      <c r="AN239" s="1989">
        <v>0</v>
      </c>
      <c r="AO239" s="1989">
        <v>3679</v>
      </c>
      <c r="AP239" s="1989">
        <v>5059</v>
      </c>
      <c r="AQ239" s="1989">
        <v>3720</v>
      </c>
      <c r="AR239" s="1989">
        <v>1339</v>
      </c>
      <c r="AS239" s="1989">
        <v>3158</v>
      </c>
      <c r="AT239" s="1988">
        <v>11970</v>
      </c>
      <c r="AU239" s="1991"/>
      <c r="AV239" s="1991"/>
      <c r="AX239" s="1992"/>
      <c r="AY239" s="1992"/>
      <c r="AZ239" s="1992"/>
      <c r="BA239" s="1992"/>
      <c r="BB239" s="1992"/>
      <c r="BD239" s="1992"/>
      <c r="BE239" s="1992"/>
      <c r="BG239" s="1992"/>
      <c r="BI239" s="1992"/>
      <c r="BJ239" s="1992"/>
      <c r="BK239" s="1992"/>
    </row>
    <row r="240" spans="1:63" ht="12.75" x14ac:dyDescent="0.2">
      <c r="A240" s="1984">
        <v>233</v>
      </c>
      <c r="B240" s="1996" t="s">
        <v>615</v>
      </c>
      <c r="C240" s="1994" t="s">
        <v>377</v>
      </c>
      <c r="D240" s="1987">
        <v>207734</v>
      </c>
      <c r="E240" s="1988">
        <v>247838000</v>
      </c>
      <c r="F240" s="1989">
        <v>110684026</v>
      </c>
      <c r="G240" s="1989">
        <v>-1359830</v>
      </c>
      <c r="H240" s="1989">
        <v>2762281</v>
      </c>
      <c r="I240" s="1989">
        <v>1402451</v>
      </c>
      <c r="J240" s="1989">
        <v>-3780033</v>
      </c>
      <c r="K240" s="1989">
        <v>0</v>
      </c>
      <c r="L240" s="1989">
        <v>0</v>
      </c>
      <c r="M240" s="1989">
        <v>0</v>
      </c>
      <c r="N240" s="1989">
        <v>-3903933</v>
      </c>
      <c r="O240" s="1989">
        <v>-103219</v>
      </c>
      <c r="P240" s="1989">
        <v>-115692</v>
      </c>
      <c r="Q240" s="1989">
        <v>0</v>
      </c>
      <c r="R240" s="1989">
        <v>0</v>
      </c>
      <c r="S240" s="1989">
        <v>0</v>
      </c>
      <c r="T240" s="1989">
        <v>0</v>
      </c>
      <c r="U240" s="1989">
        <v>0</v>
      </c>
      <c r="V240" s="1989">
        <v>0</v>
      </c>
      <c r="W240" s="1989">
        <v>-81508</v>
      </c>
      <c r="X240" s="1989">
        <v>-33413</v>
      </c>
      <c r="Y240" s="1989">
        <v>0</v>
      </c>
      <c r="Z240" s="1989">
        <v>102433819</v>
      </c>
      <c r="AA240" s="1989">
        <v>-1455249</v>
      </c>
      <c r="AB240" s="1990"/>
      <c r="AC240" s="1989">
        <v>134</v>
      </c>
      <c r="AD240" s="1989">
        <v>0</v>
      </c>
      <c r="AE240" s="1989">
        <v>0</v>
      </c>
      <c r="AF240" s="1989">
        <v>0</v>
      </c>
      <c r="AG240" s="1989">
        <v>219</v>
      </c>
      <c r="AH240" s="1989">
        <v>29</v>
      </c>
      <c r="AI240" s="1989">
        <v>12</v>
      </c>
      <c r="AJ240" s="1989">
        <v>0</v>
      </c>
      <c r="AK240" s="1989">
        <v>0</v>
      </c>
      <c r="AL240" s="1989">
        <v>0</v>
      </c>
      <c r="AM240" s="1989">
        <v>0</v>
      </c>
      <c r="AN240" s="1989">
        <v>0</v>
      </c>
      <c r="AO240" s="1989">
        <v>1888</v>
      </c>
      <c r="AP240" s="1989">
        <v>644</v>
      </c>
      <c r="AQ240" s="1989">
        <v>263</v>
      </c>
      <c r="AR240" s="1989">
        <v>381</v>
      </c>
      <c r="AS240" s="1989">
        <v>968</v>
      </c>
      <c r="AT240" s="1988">
        <v>3490</v>
      </c>
      <c r="AU240" s="1991"/>
      <c r="AV240" s="1991"/>
      <c r="AX240" s="1992"/>
      <c r="AY240" s="1992"/>
      <c r="AZ240" s="1992"/>
      <c r="BA240" s="1992"/>
      <c r="BB240" s="1992"/>
      <c r="BD240" s="1992"/>
      <c r="BE240" s="1992"/>
      <c r="BG240" s="1992"/>
      <c r="BI240" s="1992"/>
      <c r="BJ240" s="1992"/>
      <c r="BK240" s="1992"/>
    </row>
    <row r="241" spans="1:63" ht="12.75" x14ac:dyDescent="0.2">
      <c r="A241" s="1984">
        <v>234</v>
      </c>
      <c r="B241" s="1995" t="s">
        <v>378</v>
      </c>
      <c r="C241" s="1994" t="s">
        <v>379</v>
      </c>
      <c r="D241" s="1987">
        <v>246543</v>
      </c>
      <c r="E241" s="1988">
        <v>266889000</v>
      </c>
      <c r="F241" s="1989">
        <v>132767932</v>
      </c>
      <c r="G241" s="1989">
        <v>-2294640</v>
      </c>
      <c r="H241" s="1989">
        <v>3255561</v>
      </c>
      <c r="I241" s="1989">
        <v>960921</v>
      </c>
      <c r="J241" s="1989">
        <v>-4893551</v>
      </c>
      <c r="K241" s="1989">
        <v>-109082</v>
      </c>
      <c r="L241" s="1989">
        <v>-994</v>
      </c>
      <c r="M241" s="1989">
        <v>-311443</v>
      </c>
      <c r="N241" s="1989">
        <v>-3438917</v>
      </c>
      <c r="O241" s="1989">
        <v>-77561</v>
      </c>
      <c r="P241" s="1989">
        <v>-379385</v>
      </c>
      <c r="Q241" s="1989">
        <v>0</v>
      </c>
      <c r="R241" s="1989">
        <v>0</v>
      </c>
      <c r="S241" s="1989">
        <v>0</v>
      </c>
      <c r="T241" s="1989">
        <v>0</v>
      </c>
      <c r="U241" s="1989">
        <v>0</v>
      </c>
      <c r="V241" s="1989">
        <v>0</v>
      </c>
      <c r="W241" s="1989">
        <v>-434913</v>
      </c>
      <c r="X241" s="1989">
        <v>-25727</v>
      </c>
      <c r="Y241" s="1989">
        <v>-85</v>
      </c>
      <c r="Z241" s="1989">
        <v>123755895</v>
      </c>
      <c r="AA241" s="1989">
        <v>-2673740</v>
      </c>
      <c r="AB241" s="1990"/>
      <c r="AC241" s="1989">
        <v>229</v>
      </c>
      <c r="AD241" s="1989">
        <v>20</v>
      </c>
      <c r="AE241" s="1989">
        <v>1</v>
      </c>
      <c r="AF241" s="1989">
        <v>1</v>
      </c>
      <c r="AG241" s="1989">
        <v>212</v>
      </c>
      <c r="AH241" s="1989">
        <v>46</v>
      </c>
      <c r="AI241" s="1989">
        <v>4</v>
      </c>
      <c r="AJ241" s="1989">
        <v>0</v>
      </c>
      <c r="AK241" s="1989">
        <v>0</v>
      </c>
      <c r="AL241" s="1989">
        <v>0</v>
      </c>
      <c r="AM241" s="1989">
        <v>0</v>
      </c>
      <c r="AN241" s="1989">
        <v>0</v>
      </c>
      <c r="AO241" s="1989">
        <v>2680</v>
      </c>
      <c r="AP241" s="1989">
        <v>1195</v>
      </c>
      <c r="AQ241" s="1989">
        <v>703</v>
      </c>
      <c r="AR241" s="1989">
        <v>492</v>
      </c>
      <c r="AS241" s="1989">
        <v>1063</v>
      </c>
      <c r="AT241" s="1988">
        <v>4990</v>
      </c>
      <c r="AU241" s="1991"/>
      <c r="AV241" s="1991"/>
      <c r="AX241" s="1992"/>
      <c r="AY241" s="1992"/>
      <c r="AZ241" s="1992"/>
      <c r="BA241" s="1992"/>
      <c r="BB241" s="1992"/>
      <c r="BD241" s="1992"/>
      <c r="BE241" s="1992"/>
      <c r="BG241" s="1992"/>
      <c r="BI241" s="1992"/>
      <c r="BJ241" s="1992"/>
      <c r="BK241" s="1992"/>
    </row>
    <row r="242" spans="1:63" ht="12.75" x14ac:dyDescent="0.2">
      <c r="A242" s="1984">
        <v>235</v>
      </c>
      <c r="B242" s="1995" t="s">
        <v>380</v>
      </c>
      <c r="C242" s="1994" t="s">
        <v>381</v>
      </c>
      <c r="D242" s="1987">
        <v>95679</v>
      </c>
      <c r="E242" s="1988">
        <v>79630000</v>
      </c>
      <c r="F242" s="1989">
        <v>37007997</v>
      </c>
      <c r="G242" s="1989">
        <v>-898121</v>
      </c>
      <c r="H242" s="1989">
        <v>884411</v>
      </c>
      <c r="I242" s="1989">
        <v>-13710</v>
      </c>
      <c r="J242" s="1989">
        <v>-1899454</v>
      </c>
      <c r="K242" s="1989">
        <v>-53080</v>
      </c>
      <c r="L242" s="1989">
        <v>-1168</v>
      </c>
      <c r="M242" s="1989">
        <v>0</v>
      </c>
      <c r="N242" s="1989">
        <v>-1395788</v>
      </c>
      <c r="O242" s="1989">
        <v>-20127</v>
      </c>
      <c r="P242" s="1989">
        <v>-27832</v>
      </c>
      <c r="Q242" s="1989">
        <v>-263</v>
      </c>
      <c r="R242" s="1989">
        <v>0</v>
      </c>
      <c r="S242" s="1989">
        <v>0</v>
      </c>
      <c r="T242" s="1989">
        <v>0</v>
      </c>
      <c r="U242" s="1989">
        <v>0</v>
      </c>
      <c r="V242" s="1989">
        <v>0</v>
      </c>
      <c r="W242" s="1989">
        <v>0</v>
      </c>
      <c r="X242" s="1989">
        <v>0</v>
      </c>
      <c r="Y242" s="1989">
        <v>0</v>
      </c>
      <c r="Z242" s="1989">
        <v>33596575</v>
      </c>
      <c r="AA242" s="1989">
        <v>-170518</v>
      </c>
      <c r="AB242" s="1990"/>
      <c r="AC242" s="1989">
        <v>90</v>
      </c>
      <c r="AD242" s="1989">
        <v>17</v>
      </c>
      <c r="AE242" s="1989">
        <v>1</v>
      </c>
      <c r="AF242" s="1989">
        <v>0</v>
      </c>
      <c r="AG242" s="1989">
        <v>72</v>
      </c>
      <c r="AH242" s="1989">
        <v>41</v>
      </c>
      <c r="AI242" s="1989">
        <v>1</v>
      </c>
      <c r="AJ242" s="1989">
        <v>1</v>
      </c>
      <c r="AK242" s="1989">
        <v>0</v>
      </c>
      <c r="AL242" s="1989">
        <v>0</v>
      </c>
      <c r="AM242" s="1989">
        <v>0</v>
      </c>
      <c r="AN242" s="1989">
        <v>0</v>
      </c>
      <c r="AO242" s="1989">
        <v>982</v>
      </c>
      <c r="AP242" s="1989">
        <v>455</v>
      </c>
      <c r="AQ242" s="1989">
        <v>248</v>
      </c>
      <c r="AR242" s="1989">
        <v>207</v>
      </c>
      <c r="AS242" s="1989">
        <v>544</v>
      </c>
      <c r="AT242" s="1988">
        <v>1970</v>
      </c>
      <c r="AU242" s="1991"/>
      <c r="AV242" s="1991"/>
      <c r="AX242" s="1992"/>
      <c r="AY242" s="1992"/>
      <c r="AZ242" s="1992"/>
      <c r="BA242" s="1992"/>
      <c r="BB242" s="1992"/>
      <c r="BD242" s="1992"/>
      <c r="BE242" s="1992"/>
      <c r="BG242" s="1992"/>
      <c r="BI242" s="1992"/>
      <c r="BJ242" s="1992"/>
      <c r="BK242" s="1992"/>
    </row>
    <row r="243" spans="1:63" ht="12.75" x14ac:dyDescent="0.2">
      <c r="A243" s="1984">
        <v>236</v>
      </c>
      <c r="B243" s="1995" t="s">
        <v>382</v>
      </c>
      <c r="C243" s="1994" t="s">
        <v>383</v>
      </c>
      <c r="D243" s="1987">
        <v>229729</v>
      </c>
      <c r="E243" s="1988">
        <v>206539000</v>
      </c>
      <c r="F243" s="1989">
        <v>85988821</v>
      </c>
      <c r="G243" s="1989">
        <v>-2594998</v>
      </c>
      <c r="H243" s="1989">
        <v>2063879</v>
      </c>
      <c r="I243" s="1989">
        <v>-531119</v>
      </c>
      <c r="J243" s="1989">
        <v>-9091567</v>
      </c>
      <c r="K243" s="1989">
        <v>-39278</v>
      </c>
      <c r="L243" s="1989">
        <v>-88018</v>
      </c>
      <c r="M243" s="1989">
        <v>0</v>
      </c>
      <c r="N243" s="1989">
        <v>-899961</v>
      </c>
      <c r="O243" s="1989">
        <v>-102583</v>
      </c>
      <c r="P243" s="1989">
        <v>-22884</v>
      </c>
      <c r="Q243" s="1989">
        <v>0</v>
      </c>
      <c r="R243" s="1989">
        <v>-91285</v>
      </c>
      <c r="S243" s="1989">
        <v>-53666</v>
      </c>
      <c r="T243" s="1989">
        <v>0</v>
      </c>
      <c r="U243" s="1989">
        <v>0</v>
      </c>
      <c r="V243" s="1989">
        <v>0</v>
      </c>
      <c r="W243" s="1989">
        <v>-25347</v>
      </c>
      <c r="X243" s="1989">
        <v>-7907</v>
      </c>
      <c r="Y243" s="1989">
        <v>-21085</v>
      </c>
      <c r="Z243" s="1989">
        <v>75014121</v>
      </c>
      <c r="AA243" s="1989">
        <v>-1500000</v>
      </c>
      <c r="AB243" s="1990"/>
      <c r="AC243" s="1989">
        <v>257</v>
      </c>
      <c r="AD243" s="1989">
        <v>5</v>
      </c>
      <c r="AE243" s="1989">
        <v>48</v>
      </c>
      <c r="AF243" s="1989">
        <v>0</v>
      </c>
      <c r="AG243" s="1989">
        <v>258</v>
      </c>
      <c r="AH243" s="1989">
        <v>142</v>
      </c>
      <c r="AI243" s="1989">
        <v>7</v>
      </c>
      <c r="AJ243" s="1989">
        <v>0</v>
      </c>
      <c r="AK243" s="1989">
        <v>49</v>
      </c>
      <c r="AL243" s="1989">
        <v>9</v>
      </c>
      <c r="AM243" s="1989">
        <v>0</v>
      </c>
      <c r="AN243" s="1989">
        <v>0</v>
      </c>
      <c r="AO243" s="1989">
        <v>1982</v>
      </c>
      <c r="AP243" s="1989">
        <v>1398</v>
      </c>
      <c r="AQ243" s="1989">
        <v>836</v>
      </c>
      <c r="AR243" s="1989">
        <v>562</v>
      </c>
      <c r="AS243" s="1989">
        <v>1328</v>
      </c>
      <c r="AT243" s="1988">
        <v>4890</v>
      </c>
      <c r="AU243" s="1991"/>
      <c r="AV243" s="1991"/>
      <c r="AX243" s="1992"/>
      <c r="AY243" s="1992"/>
      <c r="AZ243" s="1992"/>
      <c r="BA243" s="1992"/>
      <c r="BB243" s="1992"/>
      <c r="BD243" s="1992"/>
      <c r="BE243" s="1992"/>
      <c r="BG243" s="1992"/>
      <c r="BI243" s="1992"/>
      <c r="BJ243" s="1992"/>
      <c r="BK243" s="1992"/>
    </row>
    <row r="244" spans="1:63" ht="12.75" x14ac:dyDescent="0.2">
      <c r="A244" s="1984">
        <v>237</v>
      </c>
      <c r="B244" s="1995" t="s">
        <v>384</v>
      </c>
      <c r="C244" s="1994" t="s">
        <v>385</v>
      </c>
      <c r="D244" s="1987">
        <v>90800</v>
      </c>
      <c r="E244" s="1988">
        <v>61823000</v>
      </c>
      <c r="F244" s="1989">
        <v>27441668</v>
      </c>
      <c r="G244" s="1989">
        <v>-1481932</v>
      </c>
      <c r="H244" s="1989">
        <v>625134</v>
      </c>
      <c r="I244" s="1989">
        <v>-856798</v>
      </c>
      <c r="J244" s="1989">
        <v>-1191146</v>
      </c>
      <c r="K244" s="1989">
        <v>-39054</v>
      </c>
      <c r="L244" s="1989">
        <v>-21352</v>
      </c>
      <c r="M244" s="1989">
        <v>-250000</v>
      </c>
      <c r="N244" s="1989">
        <v>-666630</v>
      </c>
      <c r="O244" s="1989">
        <v>-38997</v>
      </c>
      <c r="P244" s="1989">
        <v>-8454</v>
      </c>
      <c r="Q244" s="1989">
        <v>0</v>
      </c>
      <c r="R244" s="1989">
        <v>0</v>
      </c>
      <c r="S244" s="1989">
        <v>-1558</v>
      </c>
      <c r="T244" s="1989">
        <v>0</v>
      </c>
      <c r="U244" s="1989">
        <v>0</v>
      </c>
      <c r="V244" s="1989">
        <v>0</v>
      </c>
      <c r="W244" s="1989">
        <v>-6000</v>
      </c>
      <c r="X244" s="1989">
        <v>-10000</v>
      </c>
      <c r="Y244" s="1989">
        <v>0</v>
      </c>
      <c r="Z244" s="1989">
        <v>23946679</v>
      </c>
      <c r="AA244" s="1989">
        <v>-321000</v>
      </c>
      <c r="AB244" s="1990"/>
      <c r="AC244" s="1989">
        <v>126</v>
      </c>
      <c r="AD244" s="1989">
        <v>8</v>
      </c>
      <c r="AE244" s="1989">
        <v>19</v>
      </c>
      <c r="AF244" s="1989">
        <v>0</v>
      </c>
      <c r="AG244" s="1989">
        <v>192</v>
      </c>
      <c r="AH244" s="1989">
        <v>7</v>
      </c>
      <c r="AI244" s="1989">
        <v>3</v>
      </c>
      <c r="AJ244" s="1989">
        <v>1</v>
      </c>
      <c r="AK244" s="1989">
        <v>0</v>
      </c>
      <c r="AL244" s="1989">
        <v>1</v>
      </c>
      <c r="AM244" s="1989">
        <v>0</v>
      </c>
      <c r="AN244" s="1989">
        <v>0</v>
      </c>
      <c r="AO244" s="1989">
        <v>791</v>
      </c>
      <c r="AP244" s="1989">
        <v>845</v>
      </c>
      <c r="AQ244" s="1989">
        <v>622</v>
      </c>
      <c r="AR244" s="1989">
        <v>223</v>
      </c>
      <c r="AS244" s="1989">
        <v>548</v>
      </c>
      <c r="AT244" s="1988">
        <v>2200</v>
      </c>
      <c r="AU244" s="1991"/>
      <c r="AV244" s="1991"/>
      <c r="AX244" s="1992"/>
      <c r="AY244" s="1992"/>
      <c r="AZ244" s="1992"/>
      <c r="BA244" s="1992"/>
      <c r="BB244" s="1992"/>
      <c r="BD244" s="1992"/>
      <c r="BE244" s="1992"/>
      <c r="BG244" s="1992"/>
      <c r="BI244" s="1992"/>
      <c r="BJ244" s="1992"/>
      <c r="BK244" s="1992"/>
    </row>
    <row r="245" spans="1:63" ht="12.75" x14ac:dyDescent="0.2">
      <c r="A245" s="1984">
        <v>238</v>
      </c>
      <c r="B245" s="1996" t="s">
        <v>605</v>
      </c>
      <c r="C245" s="1994" t="s">
        <v>387</v>
      </c>
      <c r="D245" s="1987">
        <v>333796</v>
      </c>
      <c r="E245" s="1988">
        <v>331262000</v>
      </c>
      <c r="F245" s="1989">
        <v>159657952</v>
      </c>
      <c r="G245" s="1989">
        <v>-3727609</v>
      </c>
      <c r="H245" s="1989">
        <v>3936169</v>
      </c>
      <c r="I245" s="1989">
        <v>208560</v>
      </c>
      <c r="J245" s="1989">
        <v>-7365999</v>
      </c>
      <c r="K245" s="1989">
        <v>-94688</v>
      </c>
      <c r="L245" s="1989">
        <v>-30118</v>
      </c>
      <c r="M245" s="1989">
        <v>0</v>
      </c>
      <c r="N245" s="1989">
        <v>-1217747</v>
      </c>
      <c r="O245" s="1989">
        <v>-106026</v>
      </c>
      <c r="P245" s="1989">
        <v>-54378</v>
      </c>
      <c r="Q245" s="1989">
        <v>0</v>
      </c>
      <c r="R245" s="1989">
        <v>-27795</v>
      </c>
      <c r="S245" s="1989">
        <v>-25265</v>
      </c>
      <c r="T245" s="1989">
        <v>0</v>
      </c>
      <c r="U245" s="1989">
        <v>0</v>
      </c>
      <c r="V245" s="1989">
        <v>0</v>
      </c>
      <c r="W245" s="1989">
        <v>0</v>
      </c>
      <c r="X245" s="1989">
        <v>-4154</v>
      </c>
      <c r="Y245" s="1989">
        <v>-22732</v>
      </c>
      <c r="Z245" s="1989">
        <v>150917610</v>
      </c>
      <c r="AA245" s="1989">
        <v>-1339000</v>
      </c>
      <c r="AB245" s="1990"/>
      <c r="AC245" s="1989">
        <v>350</v>
      </c>
      <c r="AD245" s="1989">
        <v>26</v>
      </c>
      <c r="AE245" s="1989">
        <v>23</v>
      </c>
      <c r="AF245" s="1989">
        <v>0</v>
      </c>
      <c r="AG245" s="1989">
        <v>346</v>
      </c>
      <c r="AH245" s="1989">
        <v>163</v>
      </c>
      <c r="AI245" s="1989">
        <v>22</v>
      </c>
      <c r="AJ245" s="1989">
        <v>0</v>
      </c>
      <c r="AK245" s="1989">
        <v>26</v>
      </c>
      <c r="AL245" s="1989">
        <v>5</v>
      </c>
      <c r="AM245" s="1989">
        <v>0</v>
      </c>
      <c r="AN245" s="1989">
        <v>50</v>
      </c>
      <c r="AO245" s="1989">
        <v>2797</v>
      </c>
      <c r="AP245" s="1989">
        <v>1948</v>
      </c>
      <c r="AQ245" s="1989">
        <v>1269</v>
      </c>
      <c r="AR245" s="1989">
        <v>679</v>
      </c>
      <c r="AS245" s="1989">
        <v>1821</v>
      </c>
      <c r="AT245" s="1988">
        <v>6790</v>
      </c>
      <c r="AU245" s="1991"/>
      <c r="AV245" s="1991"/>
      <c r="AX245" s="1992"/>
      <c r="AY245" s="1992"/>
      <c r="AZ245" s="1992"/>
      <c r="BA245" s="1992"/>
      <c r="BB245" s="1992"/>
      <c r="BD245" s="1992"/>
      <c r="BE245" s="1992"/>
      <c r="BG245" s="1992"/>
      <c r="BI245" s="1992"/>
      <c r="BJ245" s="1992"/>
      <c r="BK245" s="1992"/>
    </row>
    <row r="246" spans="1:63" ht="12.75" x14ac:dyDescent="0.2">
      <c r="A246" s="1984">
        <v>239</v>
      </c>
      <c r="B246" s="1995" t="s">
        <v>388</v>
      </c>
      <c r="C246" s="1994" t="s">
        <v>389</v>
      </c>
      <c r="D246" s="1987">
        <v>205674</v>
      </c>
      <c r="E246" s="1988">
        <v>86674000</v>
      </c>
      <c r="F246" s="1989">
        <v>40360162</v>
      </c>
      <c r="G246" s="1989">
        <v>-4964584</v>
      </c>
      <c r="H246" s="1989">
        <v>798836</v>
      </c>
      <c r="I246" s="1989">
        <v>-4165748</v>
      </c>
      <c r="J246" s="1989">
        <v>-2540578</v>
      </c>
      <c r="K246" s="1989">
        <v>-97735</v>
      </c>
      <c r="L246" s="1989">
        <v>-52638</v>
      </c>
      <c r="M246" s="1989">
        <v>-100000</v>
      </c>
      <c r="N246" s="1989">
        <v>-1211456</v>
      </c>
      <c r="O246" s="1989">
        <v>-217145</v>
      </c>
      <c r="P246" s="1989">
        <v>-51326</v>
      </c>
      <c r="Q246" s="1989">
        <v>-11200</v>
      </c>
      <c r="R246" s="1989">
        <v>-14807</v>
      </c>
      <c r="S246" s="1989">
        <v>0</v>
      </c>
      <c r="T246" s="1989">
        <v>0</v>
      </c>
      <c r="U246" s="1989">
        <v>0</v>
      </c>
      <c r="V246" s="1989">
        <v>0</v>
      </c>
      <c r="W246" s="1989">
        <v>-20000</v>
      </c>
      <c r="X246" s="1989">
        <v>-7079</v>
      </c>
      <c r="Y246" s="1989">
        <v>-46143</v>
      </c>
      <c r="Z246" s="1989">
        <v>31824307</v>
      </c>
      <c r="AA246" s="1989">
        <v>-768148</v>
      </c>
      <c r="AB246" s="1990"/>
      <c r="AC246" s="1989">
        <v>326</v>
      </c>
      <c r="AD246" s="1989">
        <v>20</v>
      </c>
      <c r="AE246" s="1989">
        <v>38</v>
      </c>
      <c r="AF246" s="1989">
        <v>0</v>
      </c>
      <c r="AG246" s="1989">
        <v>269</v>
      </c>
      <c r="AH246" s="1989">
        <v>163</v>
      </c>
      <c r="AI246" s="1989">
        <v>10</v>
      </c>
      <c r="AJ246" s="1989">
        <v>4</v>
      </c>
      <c r="AK246" s="1989">
        <v>2</v>
      </c>
      <c r="AL246" s="1989">
        <v>0</v>
      </c>
      <c r="AM246" s="1989">
        <v>0</v>
      </c>
      <c r="AN246" s="1989">
        <v>0</v>
      </c>
      <c r="AO246" s="1989">
        <v>1366</v>
      </c>
      <c r="AP246" s="1989">
        <v>2563</v>
      </c>
      <c r="AQ246" s="1989">
        <v>2008</v>
      </c>
      <c r="AR246" s="1989">
        <v>555</v>
      </c>
      <c r="AS246" s="1989">
        <v>1503</v>
      </c>
      <c r="AT246" s="1988">
        <v>5460</v>
      </c>
      <c r="AU246" s="1991"/>
      <c r="AV246" s="1991"/>
      <c r="AX246" s="1992"/>
      <c r="AY246" s="1992"/>
      <c r="AZ246" s="1992"/>
      <c r="BA246" s="1992"/>
      <c r="BB246" s="1992"/>
      <c r="BD246" s="1992"/>
      <c r="BE246" s="1992"/>
      <c r="BG246" s="1992"/>
      <c r="BI246" s="1992"/>
      <c r="BJ246" s="1992"/>
      <c r="BK246" s="1992"/>
    </row>
    <row r="247" spans="1:63" ht="12.75" x14ac:dyDescent="0.2">
      <c r="A247" s="1984">
        <v>240</v>
      </c>
      <c r="B247" s="1995" t="s">
        <v>390</v>
      </c>
      <c r="C247" s="1994" t="s">
        <v>391</v>
      </c>
      <c r="D247" s="1987">
        <v>106913</v>
      </c>
      <c r="E247" s="1988">
        <v>59405000</v>
      </c>
      <c r="F247" s="1989">
        <v>30845474</v>
      </c>
      <c r="G247" s="1989">
        <v>-1820864</v>
      </c>
      <c r="H247" s="1989">
        <v>698335</v>
      </c>
      <c r="I247" s="1989">
        <v>-1122529</v>
      </c>
      <c r="J247" s="1989">
        <v>-1194037</v>
      </c>
      <c r="K247" s="1989">
        <v>-51157</v>
      </c>
      <c r="L247" s="1989">
        <v>-38172</v>
      </c>
      <c r="M247" s="1989">
        <v>0</v>
      </c>
      <c r="N247" s="1989">
        <v>-295421</v>
      </c>
      <c r="O247" s="1989">
        <v>-68113</v>
      </c>
      <c r="P247" s="1989">
        <v>-52433</v>
      </c>
      <c r="Q247" s="1989">
        <v>-7220</v>
      </c>
      <c r="R247" s="1989">
        <v>-36060</v>
      </c>
      <c r="S247" s="1989">
        <v>0</v>
      </c>
      <c r="T247" s="1989">
        <v>0</v>
      </c>
      <c r="U247" s="1989">
        <v>0</v>
      </c>
      <c r="V247" s="1989">
        <v>0</v>
      </c>
      <c r="W247" s="1989">
        <v>0</v>
      </c>
      <c r="X247" s="1989">
        <v>0</v>
      </c>
      <c r="Y247" s="1989">
        <v>-6004</v>
      </c>
      <c r="Z247" s="1989">
        <v>27149196</v>
      </c>
      <c r="AA247" s="1989">
        <v>-912270</v>
      </c>
      <c r="AB247" s="1990"/>
      <c r="AC247" s="1989">
        <v>127</v>
      </c>
      <c r="AD247" s="1989">
        <v>19</v>
      </c>
      <c r="AE247" s="1989">
        <v>38</v>
      </c>
      <c r="AF247" s="1989">
        <v>0</v>
      </c>
      <c r="AG247" s="1989">
        <v>177</v>
      </c>
      <c r="AH247" s="1989">
        <v>84</v>
      </c>
      <c r="AI247" s="1989">
        <v>11</v>
      </c>
      <c r="AJ247" s="1989">
        <v>14</v>
      </c>
      <c r="AK247" s="1989">
        <v>37</v>
      </c>
      <c r="AL247" s="1989">
        <v>0</v>
      </c>
      <c r="AM247" s="1989">
        <v>0</v>
      </c>
      <c r="AN247" s="1989">
        <v>0</v>
      </c>
      <c r="AO247" s="1989">
        <v>926</v>
      </c>
      <c r="AP247" s="1989">
        <v>1081</v>
      </c>
      <c r="AQ247" s="1989">
        <v>828</v>
      </c>
      <c r="AR247" s="1989">
        <v>253</v>
      </c>
      <c r="AS247" s="1989">
        <v>725</v>
      </c>
      <c r="AT247" s="1988">
        <v>2710</v>
      </c>
      <c r="AU247" s="1991"/>
      <c r="AV247" s="1991"/>
      <c r="AX247" s="1992"/>
      <c r="AY247" s="1992"/>
      <c r="AZ247" s="1992"/>
      <c r="BA247" s="1992"/>
      <c r="BB247" s="1992"/>
      <c r="BD247" s="1992"/>
      <c r="BE247" s="1992"/>
      <c r="BG247" s="1992"/>
      <c r="BI247" s="1992"/>
      <c r="BJ247" s="1992"/>
      <c r="BK247" s="1992"/>
    </row>
    <row r="248" spans="1:63" ht="12.75" x14ac:dyDescent="0.2">
      <c r="A248" s="1984">
        <v>241</v>
      </c>
      <c r="B248" s="1995" t="s">
        <v>392</v>
      </c>
      <c r="C248" s="1994" t="s">
        <v>393</v>
      </c>
      <c r="D248" s="1987">
        <v>177446</v>
      </c>
      <c r="E248" s="1988">
        <v>108429000</v>
      </c>
      <c r="F248" s="1989">
        <v>48908413</v>
      </c>
      <c r="G248" s="1989">
        <v>-2886649</v>
      </c>
      <c r="H248" s="1989">
        <v>1074346</v>
      </c>
      <c r="I248" s="1989">
        <v>-1812303</v>
      </c>
      <c r="J248" s="1989">
        <v>-3356429</v>
      </c>
      <c r="K248" s="1989">
        <v>-145360</v>
      </c>
      <c r="L248" s="1989">
        <v>-47430</v>
      </c>
      <c r="M248" s="1989">
        <v>-100000</v>
      </c>
      <c r="N248" s="1989">
        <v>-1200000</v>
      </c>
      <c r="O248" s="1989">
        <v>-19703</v>
      </c>
      <c r="P248" s="1989">
        <v>-3065</v>
      </c>
      <c r="Q248" s="1989">
        <v>0</v>
      </c>
      <c r="R248" s="1989">
        <v>-75210</v>
      </c>
      <c r="S248" s="1989">
        <v>0</v>
      </c>
      <c r="T248" s="1989">
        <v>-100000</v>
      </c>
      <c r="U248" s="1989">
        <v>0</v>
      </c>
      <c r="V248" s="1989">
        <v>0</v>
      </c>
      <c r="W248" s="1989">
        <v>-34790</v>
      </c>
      <c r="X248" s="1989">
        <v>-40521</v>
      </c>
      <c r="Y248" s="1989">
        <v>-2845</v>
      </c>
      <c r="Z248" s="1989">
        <v>41970757</v>
      </c>
      <c r="AA248" s="1989">
        <v>-150000</v>
      </c>
      <c r="AB248" s="1990"/>
      <c r="AC248" s="1989">
        <v>242</v>
      </c>
      <c r="AD248" s="1989">
        <v>27</v>
      </c>
      <c r="AE248" s="1989">
        <v>36</v>
      </c>
      <c r="AF248" s="1989">
        <v>0</v>
      </c>
      <c r="AG248" s="1989">
        <v>346</v>
      </c>
      <c r="AH248" s="1989">
        <v>54</v>
      </c>
      <c r="AI248" s="1989">
        <v>5</v>
      </c>
      <c r="AJ248" s="1989">
        <v>0</v>
      </c>
      <c r="AK248" s="1989">
        <v>35</v>
      </c>
      <c r="AL248" s="1989">
        <v>21</v>
      </c>
      <c r="AM248" s="1989">
        <v>0</v>
      </c>
      <c r="AN248" s="1989">
        <v>0</v>
      </c>
      <c r="AO248" s="1989">
        <v>1581</v>
      </c>
      <c r="AP248" s="1989">
        <v>1541</v>
      </c>
      <c r="AQ248" s="1989">
        <v>1011</v>
      </c>
      <c r="AR248" s="1989">
        <v>530</v>
      </c>
      <c r="AS248" s="1989">
        <v>1234</v>
      </c>
      <c r="AT248" s="1988">
        <v>4410</v>
      </c>
      <c r="AU248" s="1991"/>
      <c r="AV248" s="1991"/>
      <c r="AX248" s="1992"/>
      <c r="AY248" s="1992"/>
      <c r="AZ248" s="1992"/>
      <c r="BA248" s="1992"/>
      <c r="BB248" s="1992"/>
      <c r="BD248" s="1992"/>
      <c r="BE248" s="1992"/>
      <c r="BG248" s="1992"/>
      <c r="BI248" s="1992"/>
      <c r="BJ248" s="1992"/>
      <c r="BK248" s="1992"/>
    </row>
    <row r="249" spans="1:63" ht="12.75" x14ac:dyDescent="0.2">
      <c r="A249" s="1984">
        <v>242</v>
      </c>
      <c r="B249" s="1995" t="s">
        <v>394</v>
      </c>
      <c r="C249" s="1994" t="s">
        <v>395</v>
      </c>
      <c r="D249" s="1987">
        <v>300847</v>
      </c>
      <c r="E249" s="1988">
        <v>118559000</v>
      </c>
      <c r="F249" s="1989">
        <v>52288679</v>
      </c>
      <c r="G249" s="1989">
        <v>-6207916</v>
      </c>
      <c r="H249" s="1989">
        <v>996524</v>
      </c>
      <c r="I249" s="1989">
        <v>-5211392</v>
      </c>
      <c r="J249" s="1989">
        <v>-2990788</v>
      </c>
      <c r="K249" s="1989">
        <v>-121316</v>
      </c>
      <c r="L249" s="1989">
        <v>-26714</v>
      </c>
      <c r="M249" s="1989">
        <v>-5500</v>
      </c>
      <c r="N249" s="1989">
        <v>-759500</v>
      </c>
      <c r="O249" s="1989">
        <v>-72044</v>
      </c>
      <c r="P249" s="1989">
        <v>-37728</v>
      </c>
      <c r="Q249" s="1989">
        <v>-11348</v>
      </c>
      <c r="R249" s="1989">
        <v>-3325</v>
      </c>
      <c r="S249" s="1989">
        <v>-8915</v>
      </c>
      <c r="T249" s="1989">
        <v>0</v>
      </c>
      <c r="U249" s="1989">
        <v>0</v>
      </c>
      <c r="V249" s="1989">
        <v>0</v>
      </c>
      <c r="W249" s="1989">
        <v>-3122</v>
      </c>
      <c r="X249" s="1989">
        <v>-7518</v>
      </c>
      <c r="Y249" s="1989">
        <v>-6430</v>
      </c>
      <c r="Z249" s="1989">
        <v>42923039</v>
      </c>
      <c r="AA249" s="1989">
        <v>-200000</v>
      </c>
      <c r="AB249" s="1990"/>
      <c r="AC249" s="1989">
        <v>444</v>
      </c>
      <c r="AD249" s="1989">
        <v>23</v>
      </c>
      <c r="AE249" s="1989">
        <v>27</v>
      </c>
      <c r="AF249" s="1989">
        <v>0</v>
      </c>
      <c r="AG249" s="1989">
        <v>208</v>
      </c>
      <c r="AH249" s="1989">
        <v>124</v>
      </c>
      <c r="AI249" s="1989">
        <v>1</v>
      </c>
      <c r="AJ249" s="1989">
        <v>12</v>
      </c>
      <c r="AK249" s="1989">
        <v>6</v>
      </c>
      <c r="AL249" s="1989">
        <v>0</v>
      </c>
      <c r="AM249" s="1989">
        <v>0</v>
      </c>
      <c r="AN249" s="1989">
        <v>0</v>
      </c>
      <c r="AO249" s="1989">
        <v>1885</v>
      </c>
      <c r="AP249" s="1989">
        <v>3738</v>
      </c>
      <c r="AQ249" s="1989">
        <v>2927</v>
      </c>
      <c r="AR249" s="1989">
        <v>811</v>
      </c>
      <c r="AS249" s="1989">
        <v>2440</v>
      </c>
      <c r="AT249" s="1988">
        <v>8060</v>
      </c>
      <c r="AU249" s="1991"/>
      <c r="AV249" s="1991"/>
      <c r="AX249" s="1992"/>
      <c r="AY249" s="1992"/>
      <c r="AZ249" s="1992"/>
      <c r="BA249" s="1992"/>
      <c r="BB249" s="1992"/>
      <c r="BD249" s="1992"/>
      <c r="BE249" s="1992"/>
      <c r="BG249" s="1992"/>
      <c r="BI249" s="1992"/>
      <c r="BJ249" s="1992"/>
      <c r="BK249" s="1992"/>
    </row>
    <row r="250" spans="1:63" ht="12.75" x14ac:dyDescent="0.2">
      <c r="A250" s="1984">
        <v>243</v>
      </c>
      <c r="B250" s="1995" t="s">
        <v>396</v>
      </c>
      <c r="C250" s="1994" t="s">
        <v>397</v>
      </c>
      <c r="D250" s="1987">
        <v>162366</v>
      </c>
      <c r="E250" s="1988">
        <v>84129000</v>
      </c>
      <c r="F250" s="1989">
        <v>39071018</v>
      </c>
      <c r="G250" s="1989">
        <v>-2753224</v>
      </c>
      <c r="H250" s="1989">
        <v>860783.88</v>
      </c>
      <c r="I250" s="1989">
        <v>-1892440.12</v>
      </c>
      <c r="J250" s="1989">
        <v>-3808454</v>
      </c>
      <c r="K250" s="1989">
        <v>-62508.68</v>
      </c>
      <c r="L250" s="1989">
        <v>-91875.54</v>
      </c>
      <c r="M250" s="1989">
        <v>0</v>
      </c>
      <c r="N250" s="1989">
        <v>-570104.55000000005</v>
      </c>
      <c r="O250" s="1989">
        <v>-121752.35</v>
      </c>
      <c r="P250" s="1989">
        <v>-138979.04</v>
      </c>
      <c r="Q250" s="1989">
        <v>-5085.8100000000004</v>
      </c>
      <c r="R250" s="1989">
        <v>-43029.42</v>
      </c>
      <c r="S250" s="1989">
        <v>-35749.449999999997</v>
      </c>
      <c r="T250" s="1989">
        <v>0</v>
      </c>
      <c r="U250" s="1989">
        <v>0</v>
      </c>
      <c r="V250" s="1989">
        <v>0</v>
      </c>
      <c r="W250" s="1989">
        <v>0</v>
      </c>
      <c r="X250" s="1989">
        <v>-7604</v>
      </c>
      <c r="Y250" s="1989">
        <v>-7265</v>
      </c>
      <c r="Z250" s="1989">
        <v>32284170.039999999</v>
      </c>
      <c r="AA250" s="1989">
        <v>-568708</v>
      </c>
      <c r="AB250" s="1990"/>
      <c r="AC250" s="1989">
        <v>290</v>
      </c>
      <c r="AD250" s="1989">
        <v>11</v>
      </c>
      <c r="AE250" s="1989">
        <v>60</v>
      </c>
      <c r="AF250" s="1989">
        <v>0</v>
      </c>
      <c r="AG250" s="1989">
        <v>206</v>
      </c>
      <c r="AH250" s="1989">
        <v>164</v>
      </c>
      <c r="AI250" s="1989">
        <v>45</v>
      </c>
      <c r="AJ250" s="1989">
        <v>8</v>
      </c>
      <c r="AK250" s="1989">
        <v>29</v>
      </c>
      <c r="AL250" s="1989">
        <v>10</v>
      </c>
      <c r="AM250" s="1989">
        <v>0</v>
      </c>
      <c r="AN250" s="1989">
        <v>0</v>
      </c>
      <c r="AO250" s="1989">
        <v>1242</v>
      </c>
      <c r="AP250" s="1989">
        <v>1740</v>
      </c>
      <c r="AQ250" s="1989">
        <v>1311</v>
      </c>
      <c r="AR250" s="1989">
        <v>429</v>
      </c>
      <c r="AS250" s="1989">
        <v>1106</v>
      </c>
      <c r="AT250" s="1988">
        <v>4170</v>
      </c>
      <c r="AU250" s="1991"/>
      <c r="AV250" s="1991"/>
      <c r="AX250" s="1992"/>
      <c r="AY250" s="1992"/>
      <c r="AZ250" s="1992"/>
      <c r="BA250" s="1992"/>
      <c r="BB250" s="1992"/>
      <c r="BD250" s="1992"/>
      <c r="BE250" s="1992"/>
      <c r="BG250" s="1992"/>
      <c r="BI250" s="1992"/>
      <c r="BJ250" s="1992"/>
      <c r="BK250" s="1992"/>
    </row>
    <row r="251" spans="1:63" ht="12.75" x14ac:dyDescent="0.2">
      <c r="A251" s="1984">
        <v>244</v>
      </c>
      <c r="B251" s="1995" t="s">
        <v>398</v>
      </c>
      <c r="C251" s="1994" t="s">
        <v>399</v>
      </c>
      <c r="D251" s="1987">
        <v>107996</v>
      </c>
      <c r="E251" s="1988">
        <v>59427000</v>
      </c>
      <c r="F251" s="1989">
        <v>27145233</v>
      </c>
      <c r="G251" s="1989">
        <v>-1889751</v>
      </c>
      <c r="H251" s="1989">
        <v>550432</v>
      </c>
      <c r="I251" s="1989">
        <v>-1339319</v>
      </c>
      <c r="J251" s="1989">
        <v>-1671767</v>
      </c>
      <c r="K251" s="1989">
        <v>0</v>
      </c>
      <c r="L251" s="1989">
        <v>-65250</v>
      </c>
      <c r="M251" s="1989">
        <v>0</v>
      </c>
      <c r="N251" s="1989">
        <v>-283248</v>
      </c>
      <c r="O251" s="1989">
        <v>-137584</v>
      </c>
      <c r="P251" s="1989">
        <v>-136599</v>
      </c>
      <c r="Q251" s="1989">
        <v>-1595</v>
      </c>
      <c r="R251" s="1989">
        <v>-15817</v>
      </c>
      <c r="S251" s="1989">
        <v>-8180</v>
      </c>
      <c r="T251" s="1989">
        <v>0</v>
      </c>
      <c r="U251" s="1989">
        <v>0</v>
      </c>
      <c r="V251" s="1989">
        <v>0</v>
      </c>
      <c r="W251" s="1989">
        <v>0</v>
      </c>
      <c r="X251" s="1989">
        <v>-629</v>
      </c>
      <c r="Y251" s="1989">
        <v>-648</v>
      </c>
      <c r="Z251" s="1989">
        <v>23150224</v>
      </c>
      <c r="AA251" s="1989">
        <v>-62532</v>
      </c>
      <c r="AB251" s="1990"/>
      <c r="AC251" s="1989">
        <v>157</v>
      </c>
      <c r="AD251" s="1989">
        <v>4</v>
      </c>
      <c r="AE251" s="1989">
        <v>46</v>
      </c>
      <c r="AF251" s="1989">
        <v>0</v>
      </c>
      <c r="AG251" s="1989">
        <v>73</v>
      </c>
      <c r="AH251" s="1989">
        <v>114</v>
      </c>
      <c r="AI251" s="1989">
        <v>60</v>
      </c>
      <c r="AJ251" s="1989">
        <v>5</v>
      </c>
      <c r="AK251" s="1989">
        <v>13</v>
      </c>
      <c r="AL251" s="1989">
        <v>2</v>
      </c>
      <c r="AM251" s="1989">
        <v>0</v>
      </c>
      <c r="AN251" s="1989">
        <v>0</v>
      </c>
      <c r="AO251" s="1989">
        <v>799</v>
      </c>
      <c r="AP251" s="1989">
        <v>1017</v>
      </c>
      <c r="AQ251" s="1989">
        <v>671</v>
      </c>
      <c r="AR251" s="1989">
        <v>346</v>
      </c>
      <c r="AS251" s="1989">
        <v>829</v>
      </c>
      <c r="AT251" s="1988">
        <v>2700</v>
      </c>
      <c r="AU251" s="1991"/>
      <c r="AV251" s="1991"/>
      <c r="AX251" s="1992"/>
      <c r="AY251" s="1992"/>
      <c r="AZ251" s="1992"/>
      <c r="BA251" s="1992"/>
      <c r="BB251" s="1992"/>
      <c r="BD251" s="1992"/>
      <c r="BE251" s="1992"/>
      <c r="BG251" s="1992"/>
      <c r="BI251" s="1992"/>
      <c r="BJ251" s="1992"/>
      <c r="BK251" s="1992"/>
    </row>
    <row r="252" spans="1:63" ht="12.75" x14ac:dyDescent="0.2">
      <c r="A252" s="1984">
        <v>245</v>
      </c>
      <c r="B252" s="1995" t="s">
        <v>400</v>
      </c>
      <c r="C252" s="1994" t="s">
        <v>401</v>
      </c>
      <c r="D252" s="1987">
        <v>183863</v>
      </c>
      <c r="E252" s="1988">
        <v>117607000</v>
      </c>
      <c r="F252" s="1989">
        <v>51501397</v>
      </c>
      <c r="G252" s="1989">
        <v>-2529820</v>
      </c>
      <c r="H252" s="1989">
        <v>1153849</v>
      </c>
      <c r="I252" s="1989">
        <v>-1375971</v>
      </c>
      <c r="J252" s="1989">
        <v>-4057407</v>
      </c>
      <c r="K252" s="1989">
        <v>-82075</v>
      </c>
      <c r="L252" s="1989">
        <v>-48532</v>
      </c>
      <c r="M252" s="1989">
        <v>0</v>
      </c>
      <c r="N252" s="1989">
        <v>-599695</v>
      </c>
      <c r="O252" s="1989">
        <v>-191733</v>
      </c>
      <c r="P252" s="1989">
        <v>-17230</v>
      </c>
      <c r="Q252" s="1989">
        <v>-10338</v>
      </c>
      <c r="R252" s="1989">
        <v>-21980</v>
      </c>
      <c r="S252" s="1989">
        <v>0</v>
      </c>
      <c r="T252" s="1989">
        <v>0</v>
      </c>
      <c r="U252" s="1989">
        <v>0</v>
      </c>
      <c r="V252" s="1989">
        <v>0</v>
      </c>
      <c r="W252" s="1989">
        <v>0</v>
      </c>
      <c r="X252" s="1989">
        <v>-4001</v>
      </c>
      <c r="Y252" s="1989">
        <v>0</v>
      </c>
      <c r="Z252" s="1989">
        <v>45092435</v>
      </c>
      <c r="AA252" s="1989">
        <v>-843356</v>
      </c>
      <c r="AB252" s="1990"/>
      <c r="AC252" s="1989">
        <v>313</v>
      </c>
      <c r="AD252" s="1989">
        <v>26</v>
      </c>
      <c r="AE252" s="1989">
        <v>34</v>
      </c>
      <c r="AF252" s="1989">
        <v>0</v>
      </c>
      <c r="AG252" s="1989">
        <v>293</v>
      </c>
      <c r="AH252" s="1989">
        <v>170</v>
      </c>
      <c r="AI252" s="1989">
        <v>3</v>
      </c>
      <c r="AJ252" s="1989">
        <v>26</v>
      </c>
      <c r="AK252" s="1989">
        <v>21</v>
      </c>
      <c r="AL252" s="1989">
        <v>0</v>
      </c>
      <c r="AM252" s="1989">
        <v>0</v>
      </c>
      <c r="AN252" s="1989">
        <v>0</v>
      </c>
      <c r="AO252" s="1989">
        <v>1602</v>
      </c>
      <c r="AP252" s="1989">
        <v>1378</v>
      </c>
      <c r="AQ252" s="1989">
        <v>845</v>
      </c>
      <c r="AR252" s="1989">
        <v>533</v>
      </c>
      <c r="AS252" s="1989">
        <v>1202</v>
      </c>
      <c r="AT252" s="1988">
        <v>4240</v>
      </c>
      <c r="AU252" s="1991"/>
      <c r="AV252" s="1991"/>
      <c r="AX252" s="1992"/>
      <c r="AY252" s="1992"/>
      <c r="AZ252" s="1992"/>
      <c r="BA252" s="1992"/>
      <c r="BB252" s="1992"/>
      <c r="BD252" s="1992"/>
      <c r="BE252" s="1992"/>
      <c r="BG252" s="1992"/>
      <c r="BI252" s="1992"/>
      <c r="BJ252" s="1992"/>
      <c r="BK252" s="1992"/>
    </row>
    <row r="253" spans="1:63" ht="12.75" x14ac:dyDescent="0.2">
      <c r="A253" s="1984">
        <v>246</v>
      </c>
      <c r="B253" s="1995" t="s">
        <v>402</v>
      </c>
      <c r="C253" s="1994" t="s">
        <v>403</v>
      </c>
      <c r="D253" s="1987">
        <v>124370</v>
      </c>
      <c r="E253" s="1988">
        <v>86175000</v>
      </c>
      <c r="F253" s="1989">
        <v>44050852</v>
      </c>
      <c r="G253" s="1989">
        <v>-2218943</v>
      </c>
      <c r="H253" s="1989">
        <v>1021829</v>
      </c>
      <c r="I253" s="1989">
        <v>-1197114</v>
      </c>
      <c r="J253" s="1989">
        <v>-1709547</v>
      </c>
      <c r="K253" s="1989">
        <v>-47900</v>
      </c>
      <c r="L253" s="1989">
        <v>-5120</v>
      </c>
      <c r="M253" s="1989">
        <v>-31936</v>
      </c>
      <c r="N253" s="1989">
        <v>-791721</v>
      </c>
      <c r="O253" s="1989">
        <v>-115241</v>
      </c>
      <c r="P253" s="1989">
        <v>-21191</v>
      </c>
      <c r="Q253" s="1989">
        <v>-452</v>
      </c>
      <c r="R253" s="1989">
        <v>-5120</v>
      </c>
      <c r="S253" s="1989">
        <v>0</v>
      </c>
      <c r="T253" s="1989">
        <v>0</v>
      </c>
      <c r="U253" s="1989">
        <v>0</v>
      </c>
      <c r="V253" s="1989">
        <v>0</v>
      </c>
      <c r="W253" s="1989">
        <v>0</v>
      </c>
      <c r="X253" s="1989">
        <v>-5803</v>
      </c>
      <c r="Y253" s="1989">
        <v>-3783</v>
      </c>
      <c r="Z253" s="1989">
        <v>40115924</v>
      </c>
      <c r="AA253" s="1989">
        <v>-642000</v>
      </c>
      <c r="AB253" s="1990"/>
      <c r="AC253" s="1989">
        <v>137</v>
      </c>
      <c r="AD253" s="1989">
        <v>8</v>
      </c>
      <c r="AE253" s="1989">
        <v>4</v>
      </c>
      <c r="AF253" s="1989">
        <v>3</v>
      </c>
      <c r="AG253" s="1989">
        <v>260</v>
      </c>
      <c r="AH253" s="1989">
        <v>66</v>
      </c>
      <c r="AI253" s="1989">
        <v>11</v>
      </c>
      <c r="AJ253" s="1989">
        <v>1</v>
      </c>
      <c r="AK253" s="1989">
        <v>4</v>
      </c>
      <c r="AL253" s="1989">
        <v>0</v>
      </c>
      <c r="AM253" s="1989">
        <v>0</v>
      </c>
      <c r="AN253" s="1989">
        <v>0</v>
      </c>
      <c r="AO253" s="1989">
        <v>1054</v>
      </c>
      <c r="AP253" s="1989">
        <v>1159</v>
      </c>
      <c r="AQ253" s="1989">
        <v>781</v>
      </c>
      <c r="AR253" s="1989">
        <v>378</v>
      </c>
      <c r="AS253" s="1989">
        <v>762</v>
      </c>
      <c r="AT253" s="1988">
        <v>3000</v>
      </c>
      <c r="AU253" s="1991"/>
      <c r="AV253" s="1991"/>
      <c r="AX253" s="1992"/>
      <c r="AY253" s="1992"/>
      <c r="AZ253" s="1992"/>
      <c r="BA253" s="1992"/>
      <c r="BB253" s="1992"/>
      <c r="BD253" s="1992"/>
      <c r="BE253" s="1992"/>
      <c r="BG253" s="1992"/>
      <c r="BI253" s="1992"/>
      <c r="BJ253" s="1992"/>
      <c r="BK253" s="1992"/>
    </row>
    <row r="254" spans="1:63" ht="12.75" x14ac:dyDescent="0.2">
      <c r="A254" s="1984">
        <v>247</v>
      </c>
      <c r="B254" s="1995" t="s">
        <v>404</v>
      </c>
      <c r="C254" s="1994" t="s">
        <v>405</v>
      </c>
      <c r="D254" s="1987">
        <v>223868</v>
      </c>
      <c r="E254" s="1988">
        <v>117064000</v>
      </c>
      <c r="F254" s="1989">
        <v>54264244</v>
      </c>
      <c r="G254" s="1989">
        <v>-3844319</v>
      </c>
      <c r="H254" s="1989">
        <v>1156303</v>
      </c>
      <c r="I254" s="1989">
        <v>-2688016</v>
      </c>
      <c r="J254" s="1989">
        <v>-3409926</v>
      </c>
      <c r="K254" s="1989">
        <v>-25397</v>
      </c>
      <c r="L254" s="1989">
        <v>-101040</v>
      </c>
      <c r="M254" s="1989">
        <v>0</v>
      </c>
      <c r="N254" s="1989">
        <v>-1319504</v>
      </c>
      <c r="O254" s="1989">
        <v>-119456</v>
      </c>
      <c r="P254" s="1989">
        <v>-140612</v>
      </c>
      <c r="Q254" s="1989">
        <v>-3914</v>
      </c>
      <c r="R254" s="1989">
        <v>-35043</v>
      </c>
      <c r="S254" s="1989">
        <v>-38888</v>
      </c>
      <c r="T254" s="1989">
        <v>0</v>
      </c>
      <c r="U254" s="1989">
        <v>0</v>
      </c>
      <c r="V254" s="1989">
        <v>0</v>
      </c>
      <c r="W254" s="1989">
        <v>0</v>
      </c>
      <c r="X254" s="1989">
        <v>-14574</v>
      </c>
      <c r="Y254" s="1989">
        <v>-9681</v>
      </c>
      <c r="Z254" s="1989">
        <v>46324702</v>
      </c>
      <c r="AA254" s="1989">
        <v>-1583915</v>
      </c>
      <c r="AB254" s="1990"/>
      <c r="AC254" s="1989">
        <v>393</v>
      </c>
      <c r="AD254" s="1989">
        <v>4</v>
      </c>
      <c r="AE254" s="1989">
        <v>65</v>
      </c>
      <c r="AF254" s="1989">
        <v>5</v>
      </c>
      <c r="AG254" s="1989">
        <v>499</v>
      </c>
      <c r="AH254" s="1989">
        <v>143</v>
      </c>
      <c r="AI254" s="1989">
        <v>39</v>
      </c>
      <c r="AJ254" s="1989">
        <v>4</v>
      </c>
      <c r="AK254" s="1989">
        <v>35</v>
      </c>
      <c r="AL254" s="1989">
        <v>89</v>
      </c>
      <c r="AM254" s="1989">
        <v>0</v>
      </c>
      <c r="AN254" s="1989">
        <v>0</v>
      </c>
      <c r="AO254" s="1989">
        <v>2036</v>
      </c>
      <c r="AP254" s="1989">
        <v>2091</v>
      </c>
      <c r="AQ254" s="1989">
        <v>1474</v>
      </c>
      <c r="AR254" s="1989">
        <v>617</v>
      </c>
      <c r="AS254" s="1989">
        <v>1468</v>
      </c>
      <c r="AT254" s="1988">
        <v>5740</v>
      </c>
      <c r="AU254" s="1991"/>
      <c r="AV254" s="1991"/>
      <c r="AX254" s="1992"/>
      <c r="AY254" s="1992"/>
      <c r="AZ254" s="1992"/>
      <c r="BA254" s="1992"/>
      <c r="BB254" s="1992"/>
      <c r="BD254" s="1992"/>
      <c r="BE254" s="1992"/>
      <c r="BG254" s="1992"/>
      <c r="BI254" s="1992"/>
      <c r="BJ254" s="1992"/>
      <c r="BK254" s="1992"/>
    </row>
    <row r="255" spans="1:63" ht="12.75" x14ac:dyDescent="0.2">
      <c r="A255" s="1984">
        <v>248</v>
      </c>
      <c r="B255" s="1995" t="s">
        <v>406</v>
      </c>
      <c r="C255" s="1994" t="s">
        <v>407</v>
      </c>
      <c r="D255" s="1987">
        <v>104320</v>
      </c>
      <c r="E255" s="1988">
        <v>62921000</v>
      </c>
      <c r="F255" s="1989">
        <v>28874005</v>
      </c>
      <c r="G255" s="1989">
        <v>-2090696</v>
      </c>
      <c r="H255" s="1989">
        <v>615397</v>
      </c>
      <c r="I255" s="1989">
        <v>-1475299</v>
      </c>
      <c r="J255" s="1989">
        <v>-722515</v>
      </c>
      <c r="K255" s="1989">
        <v>-21351</v>
      </c>
      <c r="L255" s="1989">
        <v>-10312</v>
      </c>
      <c r="M255" s="1989">
        <v>0</v>
      </c>
      <c r="N255" s="1989">
        <v>-433523</v>
      </c>
      <c r="O255" s="1989">
        <v>-42150</v>
      </c>
      <c r="P255" s="1989">
        <v>-236494</v>
      </c>
      <c r="Q255" s="1989">
        <v>-4244</v>
      </c>
      <c r="R255" s="1989">
        <v>-5242</v>
      </c>
      <c r="S255" s="1989">
        <v>0</v>
      </c>
      <c r="T255" s="1989">
        <v>-54035</v>
      </c>
      <c r="U255" s="1989">
        <v>-54035</v>
      </c>
      <c r="V255" s="1989">
        <v>0</v>
      </c>
      <c r="W255" s="1989">
        <v>0</v>
      </c>
      <c r="X255" s="1989">
        <v>-4000</v>
      </c>
      <c r="Y255" s="1989">
        <v>-1681</v>
      </c>
      <c r="Z255" s="1989">
        <v>25663159</v>
      </c>
      <c r="AA255" s="1989">
        <v>-214664</v>
      </c>
      <c r="AB255" s="1990"/>
      <c r="AC255" s="1989">
        <v>104</v>
      </c>
      <c r="AD255" s="1989">
        <v>18</v>
      </c>
      <c r="AE255" s="1989">
        <v>1</v>
      </c>
      <c r="AF255" s="1989">
        <v>0</v>
      </c>
      <c r="AG255" s="1989">
        <v>272</v>
      </c>
      <c r="AH255" s="1989">
        <v>56</v>
      </c>
      <c r="AI255" s="1989">
        <v>25</v>
      </c>
      <c r="AJ255" s="1989">
        <v>17</v>
      </c>
      <c r="AK255" s="1989">
        <v>0</v>
      </c>
      <c r="AL255" s="1989">
        <v>0</v>
      </c>
      <c r="AM255" s="1989">
        <v>1</v>
      </c>
      <c r="AN255" s="1989">
        <v>0</v>
      </c>
      <c r="AO255" s="1989">
        <v>757</v>
      </c>
      <c r="AP255" s="1989">
        <v>1113</v>
      </c>
      <c r="AQ255" s="1989">
        <v>779</v>
      </c>
      <c r="AR255" s="1989">
        <v>334</v>
      </c>
      <c r="AS255" s="1989">
        <v>726</v>
      </c>
      <c r="AT255" s="1988">
        <v>2600</v>
      </c>
      <c r="AU255" s="1991"/>
      <c r="AV255" s="1991"/>
      <c r="AX255" s="1992"/>
      <c r="AY255" s="1992"/>
      <c r="AZ255" s="1992"/>
      <c r="BA255" s="1992"/>
      <c r="BB255" s="1992"/>
      <c r="BD255" s="1992"/>
      <c r="BE255" s="1992"/>
      <c r="BG255" s="1992"/>
      <c r="BI255" s="1992"/>
      <c r="BJ255" s="1992"/>
      <c r="BK255" s="1992"/>
    </row>
    <row r="256" spans="1:63" ht="12.75" x14ac:dyDescent="0.2">
      <c r="A256" s="1984">
        <v>249</v>
      </c>
      <c r="B256" s="1995" t="s">
        <v>408</v>
      </c>
      <c r="C256" s="1994" t="s">
        <v>409</v>
      </c>
      <c r="D256" s="1987">
        <v>150198</v>
      </c>
      <c r="E256" s="1988">
        <v>78664000</v>
      </c>
      <c r="F256" s="1989">
        <v>38765887</v>
      </c>
      <c r="G256" s="1989">
        <v>-2830000</v>
      </c>
      <c r="H256" s="1989">
        <v>865000</v>
      </c>
      <c r="I256" s="1989">
        <v>-1965000</v>
      </c>
      <c r="J256" s="1989">
        <v>-1970000</v>
      </c>
      <c r="K256" s="1989">
        <v>-47800</v>
      </c>
      <c r="L256" s="1989">
        <v>0</v>
      </c>
      <c r="M256" s="1989">
        <v>-55000</v>
      </c>
      <c r="N256" s="1989">
        <v>-1400000</v>
      </c>
      <c r="O256" s="1989">
        <v>-60000</v>
      </c>
      <c r="P256" s="1989">
        <v>-90000</v>
      </c>
      <c r="Q256" s="1989">
        <v>0</v>
      </c>
      <c r="R256" s="1989">
        <v>0</v>
      </c>
      <c r="S256" s="1989">
        <v>0</v>
      </c>
      <c r="T256" s="1989">
        <v>0</v>
      </c>
      <c r="U256" s="1989">
        <v>0</v>
      </c>
      <c r="V256" s="1989">
        <v>0</v>
      </c>
      <c r="W256" s="1989">
        <v>0</v>
      </c>
      <c r="X256" s="1989">
        <v>-52000</v>
      </c>
      <c r="Y256" s="1989">
        <v>0</v>
      </c>
      <c r="Z256" s="1989">
        <v>33126087</v>
      </c>
      <c r="AA256" s="1989">
        <v>-1000000</v>
      </c>
      <c r="AB256" s="1990"/>
      <c r="AC256" s="1989">
        <v>158</v>
      </c>
      <c r="AD256" s="1989">
        <v>5</v>
      </c>
      <c r="AE256" s="1989">
        <v>0</v>
      </c>
      <c r="AF256" s="1989">
        <v>3</v>
      </c>
      <c r="AG256" s="1989">
        <v>429</v>
      </c>
      <c r="AH256" s="1989">
        <v>111</v>
      </c>
      <c r="AI256" s="1989">
        <v>34</v>
      </c>
      <c r="AJ256" s="1989">
        <v>1</v>
      </c>
      <c r="AK256" s="1989">
        <v>0</v>
      </c>
      <c r="AL256" s="1989">
        <v>0</v>
      </c>
      <c r="AM256" s="1989">
        <v>0</v>
      </c>
      <c r="AN256" s="1989">
        <v>0</v>
      </c>
      <c r="AO256" s="1989">
        <v>1516</v>
      </c>
      <c r="AP256" s="1989">
        <v>1592</v>
      </c>
      <c r="AQ256" s="1989">
        <v>1187</v>
      </c>
      <c r="AR256" s="1989">
        <v>405</v>
      </c>
      <c r="AS256" s="1989">
        <v>724</v>
      </c>
      <c r="AT256" s="1988">
        <v>3850</v>
      </c>
      <c r="AU256" s="1991"/>
      <c r="AV256" s="1991"/>
      <c r="AX256" s="1992"/>
      <c r="AY256" s="1992"/>
      <c r="AZ256" s="1992"/>
      <c r="BA256" s="1992"/>
      <c r="BB256" s="1992"/>
      <c r="BD256" s="1992"/>
      <c r="BE256" s="1992"/>
      <c r="BG256" s="1992"/>
      <c r="BI256" s="1992"/>
      <c r="BJ256" s="1992"/>
      <c r="BK256" s="1992"/>
    </row>
    <row r="257" spans="1:63" ht="12.75" x14ac:dyDescent="0.2">
      <c r="A257" s="1984">
        <v>250</v>
      </c>
      <c r="B257" s="1996" t="s">
        <v>684</v>
      </c>
      <c r="C257" s="1994" t="s">
        <v>411</v>
      </c>
      <c r="D257" s="1987">
        <v>310662</v>
      </c>
      <c r="E257" s="1988">
        <v>267467000</v>
      </c>
      <c r="F257" s="1989">
        <v>120496855</v>
      </c>
      <c r="G257" s="1989">
        <v>-3522505</v>
      </c>
      <c r="H257" s="1989">
        <v>2970703</v>
      </c>
      <c r="I257" s="1989">
        <v>-551802</v>
      </c>
      <c r="J257" s="1989">
        <v>-9253488</v>
      </c>
      <c r="K257" s="1989">
        <v>-52676</v>
      </c>
      <c r="L257" s="1989">
        <v>0</v>
      </c>
      <c r="M257" s="1989">
        <v>-200000</v>
      </c>
      <c r="N257" s="1989">
        <v>-4060500</v>
      </c>
      <c r="O257" s="1989">
        <v>0</v>
      </c>
      <c r="P257" s="1989">
        <v>-102943</v>
      </c>
      <c r="Q257" s="1989">
        <v>0</v>
      </c>
      <c r="R257" s="1989">
        <v>0</v>
      </c>
      <c r="S257" s="1989">
        <v>0</v>
      </c>
      <c r="T257" s="1989">
        <v>-200000</v>
      </c>
      <c r="U257" s="1989">
        <v>0</v>
      </c>
      <c r="V257" s="1989">
        <v>0</v>
      </c>
      <c r="W257" s="1989">
        <v>0</v>
      </c>
      <c r="X257" s="1989">
        <v>-49185</v>
      </c>
      <c r="Y257" s="1989">
        <v>-10000</v>
      </c>
      <c r="Z257" s="1989">
        <v>106016261</v>
      </c>
      <c r="AA257" s="1989">
        <v>-7696781</v>
      </c>
      <c r="AB257" s="1990"/>
      <c r="AC257" s="1989">
        <v>326</v>
      </c>
      <c r="AD257" s="1989">
        <v>8</v>
      </c>
      <c r="AE257" s="1989">
        <v>0</v>
      </c>
      <c r="AF257" s="1989">
        <v>0</v>
      </c>
      <c r="AG257" s="1989">
        <v>748</v>
      </c>
      <c r="AH257" s="1989">
        <v>26</v>
      </c>
      <c r="AI257" s="1989">
        <v>26</v>
      </c>
      <c r="AJ257" s="1989">
        <v>0</v>
      </c>
      <c r="AK257" s="1989">
        <v>0</v>
      </c>
      <c r="AL257" s="1989">
        <v>0</v>
      </c>
      <c r="AM257" s="1989">
        <v>0</v>
      </c>
      <c r="AN257" s="1989">
        <v>0</v>
      </c>
      <c r="AO257" s="1989">
        <v>2906</v>
      </c>
      <c r="AP257" s="1989">
        <v>1758</v>
      </c>
      <c r="AQ257" s="1989">
        <v>1026</v>
      </c>
      <c r="AR257" s="1989">
        <v>732</v>
      </c>
      <c r="AS257" s="1989">
        <v>1959</v>
      </c>
      <c r="AT257" s="1988">
        <v>6700</v>
      </c>
      <c r="AU257" s="1991"/>
      <c r="AV257" s="1991"/>
      <c r="AX257" s="1992"/>
      <c r="AY257" s="1992"/>
      <c r="AZ257" s="1992"/>
      <c r="BA257" s="1992"/>
      <c r="BB257" s="1992"/>
      <c r="BD257" s="1992"/>
      <c r="BE257" s="1992"/>
      <c r="BG257" s="1992"/>
      <c r="BI257" s="1992"/>
      <c r="BJ257" s="1992"/>
      <c r="BK257" s="1992"/>
    </row>
    <row r="258" spans="1:63" ht="12.75" x14ac:dyDescent="0.2">
      <c r="A258" s="1984">
        <v>251</v>
      </c>
      <c r="B258" s="1996" t="s">
        <v>669</v>
      </c>
      <c r="C258" s="1994" t="s">
        <v>413</v>
      </c>
      <c r="D258" s="1987">
        <v>234382</v>
      </c>
      <c r="E258" s="1988">
        <v>123501000</v>
      </c>
      <c r="F258" s="1989">
        <v>58435856</v>
      </c>
      <c r="G258" s="1989">
        <v>-4913039</v>
      </c>
      <c r="H258" s="1989">
        <v>1246688</v>
      </c>
      <c r="I258" s="1989">
        <v>-3666351</v>
      </c>
      <c r="J258" s="1989">
        <v>-4214906</v>
      </c>
      <c r="K258" s="1989">
        <v>-57789</v>
      </c>
      <c r="L258" s="1989">
        <v>0</v>
      </c>
      <c r="M258" s="1989">
        <v>-20000</v>
      </c>
      <c r="N258" s="1989">
        <v>-1250000</v>
      </c>
      <c r="O258" s="1989">
        <v>-99390</v>
      </c>
      <c r="P258" s="1989">
        <v>-8238</v>
      </c>
      <c r="Q258" s="1989">
        <v>-3827</v>
      </c>
      <c r="R258" s="1989">
        <v>0</v>
      </c>
      <c r="S258" s="1989">
        <v>0</v>
      </c>
      <c r="T258" s="1989">
        <v>0</v>
      </c>
      <c r="U258" s="1989">
        <v>0</v>
      </c>
      <c r="V258" s="1989">
        <v>0</v>
      </c>
      <c r="W258" s="1989">
        <v>0</v>
      </c>
      <c r="X258" s="1989">
        <v>-20000</v>
      </c>
      <c r="Y258" s="1989">
        <v>-3513</v>
      </c>
      <c r="Z258" s="1989">
        <v>48991842</v>
      </c>
      <c r="AA258" s="1989">
        <v>-300000</v>
      </c>
      <c r="AB258" s="1990"/>
      <c r="AC258" s="1989">
        <v>228</v>
      </c>
      <c r="AD258" s="1989">
        <v>17</v>
      </c>
      <c r="AE258" s="1989">
        <v>0</v>
      </c>
      <c r="AF258" s="1989">
        <v>0</v>
      </c>
      <c r="AG258" s="1989">
        <v>493</v>
      </c>
      <c r="AH258" s="1989">
        <v>79</v>
      </c>
      <c r="AI258" s="1989">
        <v>3</v>
      </c>
      <c r="AJ258" s="1989">
        <v>17</v>
      </c>
      <c r="AK258" s="1989">
        <v>0</v>
      </c>
      <c r="AL258" s="1989">
        <v>0</v>
      </c>
      <c r="AM258" s="1989">
        <v>0</v>
      </c>
      <c r="AN258" s="1989">
        <v>0</v>
      </c>
      <c r="AO258" s="1989">
        <v>1757</v>
      </c>
      <c r="AP258" s="1989">
        <v>2848</v>
      </c>
      <c r="AQ258" s="1989">
        <v>1844</v>
      </c>
      <c r="AR258" s="1989">
        <v>1004</v>
      </c>
      <c r="AS258" s="1989">
        <v>1258</v>
      </c>
      <c r="AT258" s="1988">
        <v>5910</v>
      </c>
      <c r="AU258" s="1991"/>
      <c r="AV258" s="1991"/>
      <c r="AX258" s="1992"/>
      <c r="AY258" s="1992"/>
      <c r="AZ258" s="1992"/>
      <c r="BA258" s="1992"/>
      <c r="BB258" s="1992"/>
      <c r="BD258" s="1992"/>
      <c r="BE258" s="1992"/>
      <c r="BG258" s="1992"/>
      <c r="BI258" s="1992"/>
      <c r="BJ258" s="1992"/>
      <c r="BK258" s="1992"/>
    </row>
    <row r="259" spans="1:63" ht="12.75" x14ac:dyDescent="0.2">
      <c r="A259" s="1984">
        <v>252</v>
      </c>
      <c r="B259" s="1995" t="s">
        <v>414</v>
      </c>
      <c r="C259" s="1994" t="s">
        <v>415</v>
      </c>
      <c r="D259" s="1987">
        <v>720423</v>
      </c>
      <c r="E259" s="1988">
        <v>728437000</v>
      </c>
      <c r="F259" s="1989">
        <v>272604934</v>
      </c>
      <c r="G259" s="1989">
        <v>-5700488</v>
      </c>
      <c r="H259" s="1989">
        <v>6239304</v>
      </c>
      <c r="I259" s="1989">
        <v>538816</v>
      </c>
      <c r="J259" s="1989">
        <v>-24194649</v>
      </c>
      <c r="K259" s="1989">
        <v>-46181</v>
      </c>
      <c r="L259" s="1989">
        <v>0</v>
      </c>
      <c r="M259" s="1989">
        <v>0</v>
      </c>
      <c r="N259" s="1989">
        <v>-5569646</v>
      </c>
      <c r="O259" s="1989">
        <v>-313152</v>
      </c>
      <c r="P259" s="1989">
        <v>-13452</v>
      </c>
      <c r="Q259" s="1989">
        <v>0</v>
      </c>
      <c r="R259" s="1989">
        <v>0</v>
      </c>
      <c r="S259" s="1989">
        <v>0</v>
      </c>
      <c r="T259" s="1989">
        <v>0</v>
      </c>
      <c r="U259" s="1989">
        <v>0</v>
      </c>
      <c r="V259" s="1989">
        <v>0</v>
      </c>
      <c r="W259" s="1989">
        <v>0</v>
      </c>
      <c r="X259" s="1989">
        <v>0</v>
      </c>
      <c r="Y259" s="1989">
        <v>0</v>
      </c>
      <c r="Z259" s="1989">
        <v>240006670</v>
      </c>
      <c r="AA259" s="1989">
        <v>-5896842</v>
      </c>
      <c r="AB259" s="1990"/>
      <c r="AC259" s="1989">
        <v>700</v>
      </c>
      <c r="AD259" s="1989">
        <v>7</v>
      </c>
      <c r="AE259" s="1989">
        <v>0</v>
      </c>
      <c r="AF259" s="1989">
        <v>0</v>
      </c>
      <c r="AG259" s="1989">
        <v>447</v>
      </c>
      <c r="AH259" s="1989">
        <v>78</v>
      </c>
      <c r="AI259" s="1989">
        <v>4</v>
      </c>
      <c r="AJ259" s="1989">
        <v>0</v>
      </c>
      <c r="AK259" s="1989">
        <v>0</v>
      </c>
      <c r="AL259" s="1989">
        <v>0</v>
      </c>
      <c r="AM259" s="1989">
        <v>0</v>
      </c>
      <c r="AN259" s="1989">
        <v>0</v>
      </c>
      <c r="AO259" s="1989">
        <v>4087</v>
      </c>
      <c r="AP259" s="1989">
        <v>2773</v>
      </c>
      <c r="AQ259" s="1989">
        <v>1491</v>
      </c>
      <c r="AR259" s="1989">
        <v>1282</v>
      </c>
      <c r="AS259" s="1989">
        <v>4015</v>
      </c>
      <c r="AT259" s="1988">
        <v>11380</v>
      </c>
      <c r="AU259" s="1991"/>
      <c r="AV259" s="1991"/>
      <c r="AX259" s="1992"/>
      <c r="AY259" s="1992"/>
      <c r="AZ259" s="1992"/>
      <c r="BA259" s="1992"/>
      <c r="BB259" s="1992"/>
      <c r="BD259" s="1992"/>
      <c r="BE259" s="1992"/>
      <c r="BG259" s="1992"/>
      <c r="BI259" s="1992"/>
      <c r="BJ259" s="1992"/>
      <c r="BK259" s="1992"/>
    </row>
    <row r="260" spans="1:63" ht="12.75" x14ac:dyDescent="0.2">
      <c r="A260" s="1984">
        <v>253</v>
      </c>
      <c r="B260" s="1995" t="s">
        <v>416</v>
      </c>
      <c r="C260" s="1994" t="s">
        <v>417</v>
      </c>
      <c r="D260" s="1987">
        <v>128748</v>
      </c>
      <c r="E260" s="1988">
        <v>118121000</v>
      </c>
      <c r="F260" s="1989">
        <v>49139125</v>
      </c>
      <c r="G260" s="1989">
        <v>-1262088</v>
      </c>
      <c r="H260" s="1989">
        <v>1183887</v>
      </c>
      <c r="I260" s="1989">
        <v>-78201</v>
      </c>
      <c r="J260" s="1989">
        <v>-1981489</v>
      </c>
      <c r="K260" s="1989">
        <v>-27236</v>
      </c>
      <c r="L260" s="1989">
        <v>0</v>
      </c>
      <c r="M260" s="1989">
        <v>0</v>
      </c>
      <c r="N260" s="1989">
        <v>-553291</v>
      </c>
      <c r="O260" s="1989">
        <v>-53389</v>
      </c>
      <c r="P260" s="1989">
        <v>-46188</v>
      </c>
      <c r="Q260" s="1989">
        <v>-6810</v>
      </c>
      <c r="R260" s="1989">
        <v>0</v>
      </c>
      <c r="S260" s="1989">
        <v>0</v>
      </c>
      <c r="T260" s="1989">
        <v>0</v>
      </c>
      <c r="U260" s="1989">
        <v>0</v>
      </c>
      <c r="V260" s="1989">
        <v>0</v>
      </c>
      <c r="W260" s="1989">
        <v>0</v>
      </c>
      <c r="X260" s="1989">
        <v>0</v>
      </c>
      <c r="Y260" s="1989">
        <v>-22</v>
      </c>
      <c r="Z260" s="1989">
        <v>46392499</v>
      </c>
      <c r="AA260" s="1989">
        <v>-263099</v>
      </c>
      <c r="AB260" s="1990"/>
      <c r="AC260" s="1989">
        <v>94</v>
      </c>
      <c r="AD260" s="1989">
        <v>3</v>
      </c>
      <c r="AE260" s="1989">
        <v>0</v>
      </c>
      <c r="AF260" s="1989">
        <v>0</v>
      </c>
      <c r="AG260" s="1989">
        <v>215</v>
      </c>
      <c r="AH260" s="1989">
        <v>39</v>
      </c>
      <c r="AI260" s="1989">
        <v>16</v>
      </c>
      <c r="AJ260" s="1989">
        <v>3</v>
      </c>
      <c r="AK260" s="1989">
        <v>0</v>
      </c>
      <c r="AL260" s="1989">
        <v>0</v>
      </c>
      <c r="AM260" s="1989">
        <v>0</v>
      </c>
      <c r="AN260" s="1989">
        <v>0</v>
      </c>
      <c r="AO260" s="1989">
        <v>991</v>
      </c>
      <c r="AP260" s="1989">
        <v>663</v>
      </c>
      <c r="AQ260" s="1989">
        <v>417</v>
      </c>
      <c r="AR260" s="1989">
        <v>246</v>
      </c>
      <c r="AS260" s="1989">
        <v>737</v>
      </c>
      <c r="AT260" s="1988">
        <v>2480</v>
      </c>
      <c r="AU260" s="1991"/>
      <c r="AV260" s="1991"/>
      <c r="AX260" s="1992"/>
      <c r="AY260" s="1992"/>
      <c r="AZ260" s="1992"/>
      <c r="BA260" s="1992"/>
      <c r="BB260" s="1992"/>
      <c r="BD260" s="1992"/>
      <c r="BE260" s="1992"/>
      <c r="BG260" s="1992"/>
      <c r="BI260" s="1992"/>
      <c r="BJ260" s="1992"/>
      <c r="BK260" s="1992"/>
    </row>
    <row r="261" spans="1:63" ht="12.75" x14ac:dyDescent="0.2">
      <c r="A261" s="1984">
        <v>254</v>
      </c>
      <c r="B261" s="1995" t="s">
        <v>418</v>
      </c>
      <c r="C261" s="1994" t="s">
        <v>419</v>
      </c>
      <c r="D261" s="1987">
        <v>188622</v>
      </c>
      <c r="E261" s="1988">
        <v>152917000</v>
      </c>
      <c r="F261" s="1989">
        <v>73723600</v>
      </c>
      <c r="G261" s="1989">
        <v>-1676602</v>
      </c>
      <c r="H261" s="1989">
        <v>1795970</v>
      </c>
      <c r="I261" s="1989">
        <v>119368</v>
      </c>
      <c r="J261" s="1989">
        <v>-5395859</v>
      </c>
      <c r="K261" s="1989">
        <v>-140082</v>
      </c>
      <c r="L261" s="1989">
        <v>0</v>
      </c>
      <c r="M261" s="1989">
        <v>-133733</v>
      </c>
      <c r="N261" s="1989">
        <v>-1918526</v>
      </c>
      <c r="O261" s="1989">
        <v>-200036</v>
      </c>
      <c r="P261" s="1989">
        <v>-22171</v>
      </c>
      <c r="Q261" s="1989">
        <v>-1157</v>
      </c>
      <c r="R261" s="1989">
        <v>0</v>
      </c>
      <c r="S261" s="1989">
        <v>0</v>
      </c>
      <c r="T261" s="1989">
        <v>0</v>
      </c>
      <c r="U261" s="1989">
        <v>0</v>
      </c>
      <c r="V261" s="1989">
        <v>0</v>
      </c>
      <c r="W261" s="1989">
        <v>0</v>
      </c>
      <c r="X261" s="1989">
        <v>-7175</v>
      </c>
      <c r="Y261" s="1989">
        <v>-5467</v>
      </c>
      <c r="Z261" s="1989">
        <v>66018762</v>
      </c>
      <c r="AA261" s="1989">
        <v>-1520072</v>
      </c>
      <c r="AB261" s="1990"/>
      <c r="AC261" s="1989">
        <v>232</v>
      </c>
      <c r="AD261" s="1989">
        <v>13</v>
      </c>
      <c r="AE261" s="1989">
        <v>0</v>
      </c>
      <c r="AF261" s="1989">
        <v>2</v>
      </c>
      <c r="AG261" s="1989">
        <v>316</v>
      </c>
      <c r="AH261" s="1989">
        <v>57</v>
      </c>
      <c r="AI261" s="1989">
        <v>22</v>
      </c>
      <c r="AJ261" s="1989">
        <v>13</v>
      </c>
      <c r="AK261" s="1989">
        <v>0</v>
      </c>
      <c r="AL261" s="1989">
        <v>0</v>
      </c>
      <c r="AM261" s="1989">
        <v>0</v>
      </c>
      <c r="AN261" s="1989">
        <v>0</v>
      </c>
      <c r="AO261" s="1989">
        <v>1863</v>
      </c>
      <c r="AP261" s="1989">
        <v>876</v>
      </c>
      <c r="AQ261" s="1989">
        <v>431</v>
      </c>
      <c r="AR261" s="1989">
        <v>445</v>
      </c>
      <c r="AS261" s="1989">
        <v>1147</v>
      </c>
      <c r="AT261" s="1988">
        <v>3920</v>
      </c>
      <c r="AU261" s="1991"/>
      <c r="AV261" s="1991"/>
      <c r="AX261" s="1992"/>
      <c r="AY261" s="1992"/>
      <c r="AZ261" s="1992"/>
      <c r="BA261" s="1992"/>
      <c r="BB261" s="1992"/>
      <c r="BD261" s="1992"/>
      <c r="BE261" s="1992"/>
      <c r="BG261" s="1992"/>
      <c r="BI261" s="1992"/>
      <c r="BJ261" s="1992"/>
      <c r="BK261" s="1992"/>
    </row>
    <row r="262" spans="1:63" ht="12.75" x14ac:dyDescent="0.2">
      <c r="A262" s="1984">
        <v>255</v>
      </c>
      <c r="B262" s="1995" t="s">
        <v>420</v>
      </c>
      <c r="C262" s="1994" t="s">
        <v>421</v>
      </c>
      <c r="D262" s="1987">
        <v>158330</v>
      </c>
      <c r="E262" s="1988">
        <v>113442000</v>
      </c>
      <c r="F262" s="1989">
        <v>53913002</v>
      </c>
      <c r="G262" s="1989">
        <v>-2100261</v>
      </c>
      <c r="H262" s="1989">
        <v>1261810</v>
      </c>
      <c r="I262" s="1989">
        <v>-838451</v>
      </c>
      <c r="J262" s="1989">
        <v>-2725345</v>
      </c>
      <c r="K262" s="1989">
        <v>-35058</v>
      </c>
      <c r="L262" s="1989">
        <v>-50452</v>
      </c>
      <c r="M262" s="1989">
        <v>-1000</v>
      </c>
      <c r="N262" s="1989">
        <v>-1337320</v>
      </c>
      <c r="O262" s="1989">
        <v>-38020</v>
      </c>
      <c r="P262" s="1989">
        <v>-85710</v>
      </c>
      <c r="Q262" s="1989">
        <v>-4315</v>
      </c>
      <c r="R262" s="1989">
        <v>-19886</v>
      </c>
      <c r="S262" s="1989">
        <v>-4743</v>
      </c>
      <c r="T262" s="1989">
        <v>0</v>
      </c>
      <c r="U262" s="1989">
        <v>0</v>
      </c>
      <c r="V262" s="1989">
        <v>0</v>
      </c>
      <c r="W262" s="1989">
        <v>0</v>
      </c>
      <c r="X262" s="1989">
        <v>0</v>
      </c>
      <c r="Y262" s="1989">
        <v>0</v>
      </c>
      <c r="Z262" s="1989">
        <v>48772702</v>
      </c>
      <c r="AA262" s="1989">
        <v>-776575</v>
      </c>
      <c r="AB262" s="1990"/>
      <c r="AC262" s="1989">
        <v>249</v>
      </c>
      <c r="AD262" s="1989">
        <v>8</v>
      </c>
      <c r="AE262" s="1989">
        <v>35</v>
      </c>
      <c r="AF262" s="1989">
        <v>0</v>
      </c>
      <c r="AG262" s="1989">
        <v>326</v>
      </c>
      <c r="AH262" s="1989">
        <v>67</v>
      </c>
      <c r="AI262" s="1989">
        <v>18</v>
      </c>
      <c r="AJ262" s="1989">
        <v>15</v>
      </c>
      <c r="AK262" s="1989">
        <v>17</v>
      </c>
      <c r="AL262" s="1989">
        <v>4</v>
      </c>
      <c r="AM262" s="1989">
        <v>0</v>
      </c>
      <c r="AN262" s="1989">
        <v>0</v>
      </c>
      <c r="AO262" s="1989">
        <v>1542</v>
      </c>
      <c r="AP262" s="1989">
        <v>1220</v>
      </c>
      <c r="AQ262" s="1989">
        <v>795</v>
      </c>
      <c r="AR262" s="1989">
        <v>425</v>
      </c>
      <c r="AS262" s="1989">
        <v>952</v>
      </c>
      <c r="AT262" s="1988">
        <v>3760</v>
      </c>
      <c r="AU262" s="1991"/>
      <c r="AV262" s="1991"/>
      <c r="AX262" s="1992"/>
      <c r="AY262" s="1992"/>
      <c r="AZ262" s="1992"/>
      <c r="BA262" s="1992"/>
      <c r="BB262" s="1992"/>
      <c r="BD262" s="1992"/>
      <c r="BE262" s="1992"/>
      <c r="BG262" s="1992"/>
      <c r="BI262" s="1992"/>
      <c r="BJ262" s="1992"/>
      <c r="BK262" s="1992"/>
    </row>
    <row r="263" spans="1:63" ht="12.75" x14ac:dyDescent="0.2">
      <c r="A263" s="1984">
        <v>256</v>
      </c>
      <c r="B263" s="1996" t="s">
        <v>2337</v>
      </c>
      <c r="C263" s="1994" t="s">
        <v>423</v>
      </c>
      <c r="D263" s="1987">
        <v>190546</v>
      </c>
      <c r="E263" s="1988">
        <v>129037000</v>
      </c>
      <c r="F263" s="1989">
        <v>61499579</v>
      </c>
      <c r="G263" s="1989">
        <v>-3259894</v>
      </c>
      <c r="H263" s="1989">
        <v>1469922</v>
      </c>
      <c r="I263" s="1989">
        <v>-1789972</v>
      </c>
      <c r="J263" s="1989">
        <v>-3317729</v>
      </c>
      <c r="K263" s="1989">
        <v>-109708</v>
      </c>
      <c r="L263" s="1989">
        <v>0</v>
      </c>
      <c r="M263" s="1989">
        <v>-55000</v>
      </c>
      <c r="N263" s="1989">
        <v>-2070618</v>
      </c>
      <c r="O263" s="1989">
        <v>-233075</v>
      </c>
      <c r="P263" s="1989">
        <v>-35315</v>
      </c>
      <c r="Q263" s="1989">
        <v>-14967</v>
      </c>
      <c r="R263" s="1989">
        <v>0</v>
      </c>
      <c r="S263" s="1989">
        <v>0</v>
      </c>
      <c r="T263" s="1989">
        <v>0</v>
      </c>
      <c r="U263" s="1989">
        <v>0</v>
      </c>
      <c r="V263" s="1989">
        <v>0</v>
      </c>
      <c r="W263" s="1989">
        <v>0</v>
      </c>
      <c r="X263" s="1989">
        <v>-31453</v>
      </c>
      <c r="Y263" s="1989">
        <v>-2432</v>
      </c>
      <c r="Z263" s="1989">
        <v>53222410</v>
      </c>
      <c r="AA263" s="1989">
        <v>-1750000</v>
      </c>
      <c r="AB263" s="1990"/>
      <c r="AC263" s="1989">
        <v>199</v>
      </c>
      <c r="AD263" s="1989">
        <v>12</v>
      </c>
      <c r="AE263" s="1989">
        <v>0</v>
      </c>
      <c r="AF263" s="1989">
        <v>0</v>
      </c>
      <c r="AG263" s="1989">
        <v>461</v>
      </c>
      <c r="AH263" s="1989">
        <v>76</v>
      </c>
      <c r="AI263" s="1989">
        <v>3</v>
      </c>
      <c r="AJ263" s="1989">
        <v>5</v>
      </c>
      <c r="AK263" s="1989">
        <v>0</v>
      </c>
      <c r="AL263" s="1989">
        <v>0</v>
      </c>
      <c r="AM263" s="1989">
        <v>0</v>
      </c>
      <c r="AN263" s="1989">
        <v>0</v>
      </c>
      <c r="AO263" s="1989">
        <v>1798</v>
      </c>
      <c r="AP263" s="1989">
        <v>1707</v>
      </c>
      <c r="AQ263" s="1989">
        <v>1188</v>
      </c>
      <c r="AR263" s="1989">
        <v>519</v>
      </c>
      <c r="AS263" s="1989">
        <v>1064</v>
      </c>
      <c r="AT263" s="1988">
        <v>4580</v>
      </c>
      <c r="AU263" s="1991"/>
      <c r="AV263" s="1991"/>
      <c r="AX263" s="1992"/>
      <c r="AY263" s="1992"/>
      <c r="AZ263" s="1992"/>
      <c r="BA263" s="1992"/>
      <c r="BB263" s="1992"/>
      <c r="BD263" s="1992"/>
      <c r="BE263" s="1992"/>
      <c r="BG263" s="1992"/>
      <c r="BI263" s="1992"/>
      <c r="BJ263" s="1992"/>
      <c r="BK263" s="1992"/>
    </row>
    <row r="264" spans="1:63" ht="12.75" x14ac:dyDescent="0.2">
      <c r="A264" s="1984">
        <v>257</v>
      </c>
      <c r="B264" s="1995" t="s">
        <v>424</v>
      </c>
      <c r="C264" s="1994" t="s">
        <v>425</v>
      </c>
      <c r="D264" s="1987">
        <v>167690</v>
      </c>
      <c r="E264" s="1988">
        <v>115625000</v>
      </c>
      <c r="F264" s="1989">
        <v>54530692</v>
      </c>
      <c r="G264" s="1989">
        <v>-2504726</v>
      </c>
      <c r="H264" s="1989">
        <v>1235593</v>
      </c>
      <c r="I264" s="1989">
        <v>-1269133</v>
      </c>
      <c r="J264" s="1989">
        <v>-3377792</v>
      </c>
      <c r="K264" s="1989">
        <v>-67552</v>
      </c>
      <c r="L264" s="1989">
        <v>-19986</v>
      </c>
      <c r="M264" s="1989">
        <v>0</v>
      </c>
      <c r="N264" s="1989">
        <v>-1470000</v>
      </c>
      <c r="O264" s="1989">
        <v>-222513</v>
      </c>
      <c r="P264" s="1989">
        <v>-85232</v>
      </c>
      <c r="Q264" s="1989">
        <v>-4066</v>
      </c>
      <c r="R264" s="1989">
        <v>-17610</v>
      </c>
      <c r="S264" s="1989">
        <v>-4066</v>
      </c>
      <c r="T264" s="1989">
        <v>0</v>
      </c>
      <c r="U264" s="1989">
        <v>0</v>
      </c>
      <c r="V264" s="1989">
        <v>0</v>
      </c>
      <c r="W264" s="1989">
        <v>0</v>
      </c>
      <c r="X264" s="1989">
        <v>-3872</v>
      </c>
      <c r="Y264" s="1989">
        <v>-11555</v>
      </c>
      <c r="Z264" s="1989">
        <v>47977315</v>
      </c>
      <c r="AA264" s="1989">
        <v>-1000000</v>
      </c>
      <c r="AB264" s="1990"/>
      <c r="AC264" s="1989">
        <v>219</v>
      </c>
      <c r="AD264" s="1989">
        <v>9</v>
      </c>
      <c r="AE264" s="1989">
        <v>19</v>
      </c>
      <c r="AF264" s="1989">
        <v>0</v>
      </c>
      <c r="AG264" s="1989">
        <v>203</v>
      </c>
      <c r="AH264" s="1989">
        <v>149</v>
      </c>
      <c r="AI264" s="1989">
        <v>38</v>
      </c>
      <c r="AJ264" s="1989">
        <v>5</v>
      </c>
      <c r="AK264" s="1989">
        <v>17</v>
      </c>
      <c r="AL264" s="1989">
        <v>1</v>
      </c>
      <c r="AM264" s="1989">
        <v>0</v>
      </c>
      <c r="AN264" s="1989">
        <v>0</v>
      </c>
      <c r="AO264" s="1989">
        <v>1499</v>
      </c>
      <c r="AP264" s="1989">
        <v>1338</v>
      </c>
      <c r="AQ264" s="1989">
        <v>915</v>
      </c>
      <c r="AR264" s="1989">
        <v>423</v>
      </c>
      <c r="AS264" s="1989">
        <v>1185</v>
      </c>
      <c r="AT264" s="1988">
        <v>4050</v>
      </c>
      <c r="AU264" s="1991"/>
      <c r="AV264" s="1991"/>
      <c r="AX264" s="1992"/>
      <c r="AY264" s="1992"/>
      <c r="AZ264" s="1992"/>
      <c r="BA264" s="1992"/>
      <c r="BB264" s="1992"/>
      <c r="BD264" s="1992"/>
      <c r="BE264" s="1992"/>
      <c r="BG264" s="1992"/>
      <c r="BI264" s="1992"/>
      <c r="BJ264" s="1992"/>
      <c r="BK264" s="1992"/>
    </row>
    <row r="265" spans="1:63" ht="12.75" x14ac:dyDescent="0.2">
      <c r="A265" s="1984">
        <v>258</v>
      </c>
      <c r="B265" s="1995" t="s">
        <v>426</v>
      </c>
      <c r="C265" s="1994" t="s">
        <v>427</v>
      </c>
      <c r="D265" s="1987">
        <v>115457</v>
      </c>
      <c r="E265" s="1988">
        <v>55933000</v>
      </c>
      <c r="F265" s="1989">
        <v>23555237</v>
      </c>
      <c r="G265" s="1989">
        <v>-2320354</v>
      </c>
      <c r="H265" s="1989">
        <v>486031</v>
      </c>
      <c r="I265" s="1989">
        <v>-1834323</v>
      </c>
      <c r="J265" s="1989">
        <v>-1804387</v>
      </c>
      <c r="K265" s="1989">
        <v>-53378</v>
      </c>
      <c r="L265" s="1989">
        <v>-19351</v>
      </c>
      <c r="M265" s="1989">
        <v>0</v>
      </c>
      <c r="N265" s="1989">
        <v>-368636</v>
      </c>
      <c r="O265" s="1989">
        <v>-93120</v>
      </c>
      <c r="P265" s="1989">
        <v>-117286</v>
      </c>
      <c r="Q265" s="1989">
        <v>-4151</v>
      </c>
      <c r="R265" s="1989">
        <v>-7194</v>
      </c>
      <c r="S265" s="1989">
        <v>0</v>
      </c>
      <c r="T265" s="1989">
        <v>0</v>
      </c>
      <c r="U265" s="1989">
        <v>0</v>
      </c>
      <c r="V265" s="1989">
        <v>0</v>
      </c>
      <c r="W265" s="1989">
        <v>0</v>
      </c>
      <c r="X265" s="1989">
        <v>-13038</v>
      </c>
      <c r="Y265" s="1989">
        <v>-34696</v>
      </c>
      <c r="Z265" s="1989">
        <v>19205677</v>
      </c>
      <c r="AA265" s="1989">
        <v>-324221</v>
      </c>
      <c r="AB265" s="1990"/>
      <c r="AC265" s="1989">
        <v>174</v>
      </c>
      <c r="AD265" s="1989">
        <v>7</v>
      </c>
      <c r="AE265" s="1989">
        <v>15</v>
      </c>
      <c r="AF265" s="1989">
        <v>0</v>
      </c>
      <c r="AG265" s="1989">
        <v>367</v>
      </c>
      <c r="AH265" s="1989">
        <v>61</v>
      </c>
      <c r="AI265" s="1989">
        <v>39</v>
      </c>
      <c r="AJ265" s="1989">
        <v>5</v>
      </c>
      <c r="AK265" s="1989">
        <v>7</v>
      </c>
      <c r="AL265" s="1989">
        <v>0</v>
      </c>
      <c r="AM265" s="1989">
        <v>0</v>
      </c>
      <c r="AN265" s="1989">
        <v>0</v>
      </c>
      <c r="AO265" s="1989">
        <v>836</v>
      </c>
      <c r="AP265" s="1989">
        <v>1414</v>
      </c>
      <c r="AQ265" s="1989">
        <v>1106</v>
      </c>
      <c r="AR265" s="1989">
        <v>308</v>
      </c>
      <c r="AS265" s="1989">
        <v>736</v>
      </c>
      <c r="AT265" s="1988">
        <v>3000</v>
      </c>
      <c r="AU265" s="1991"/>
      <c r="AV265" s="1991"/>
      <c r="AX265" s="1992"/>
      <c r="AY265" s="1992"/>
      <c r="AZ265" s="1992"/>
      <c r="BA265" s="1992"/>
      <c r="BB265" s="1992"/>
      <c r="BD265" s="1992"/>
      <c r="BE265" s="1992"/>
      <c r="BG265" s="1992"/>
      <c r="BI265" s="1992"/>
      <c r="BJ265" s="1992"/>
      <c r="BK265" s="1992"/>
    </row>
    <row r="266" spans="1:63" ht="12.75" x14ac:dyDescent="0.2">
      <c r="A266" s="1984">
        <v>259</v>
      </c>
      <c r="B266" s="1995" t="s">
        <v>428</v>
      </c>
      <c r="C266" s="1994" t="s">
        <v>429</v>
      </c>
      <c r="D266" s="1987">
        <v>109538</v>
      </c>
      <c r="E266" s="1988">
        <v>109108000</v>
      </c>
      <c r="F266" s="1989">
        <v>51460360</v>
      </c>
      <c r="G266" s="1989">
        <v>-939558</v>
      </c>
      <c r="H266" s="1989">
        <v>1343376</v>
      </c>
      <c r="I266" s="1989">
        <v>403818</v>
      </c>
      <c r="J266" s="1989">
        <v>-1573343</v>
      </c>
      <c r="K266" s="1989">
        <v>-4075</v>
      </c>
      <c r="L266" s="1989">
        <v>0</v>
      </c>
      <c r="M266" s="1989">
        <v>-131880</v>
      </c>
      <c r="N266" s="1989">
        <v>-1726243</v>
      </c>
      <c r="O266" s="1989">
        <v>-125985</v>
      </c>
      <c r="P266" s="1989">
        <v>-16674</v>
      </c>
      <c r="Q266" s="1989">
        <v>-1019</v>
      </c>
      <c r="R266" s="1989">
        <v>0</v>
      </c>
      <c r="S266" s="1989">
        <v>0</v>
      </c>
      <c r="T266" s="1989">
        <v>0</v>
      </c>
      <c r="U266" s="1989">
        <v>0</v>
      </c>
      <c r="V266" s="1989">
        <v>0</v>
      </c>
      <c r="W266" s="1989">
        <v>-153076</v>
      </c>
      <c r="X266" s="1989">
        <v>-38425</v>
      </c>
      <c r="Y266" s="1989">
        <v>-4000</v>
      </c>
      <c r="Z266" s="1989">
        <v>47866616</v>
      </c>
      <c r="AA266" s="1989">
        <v>-811000</v>
      </c>
      <c r="AB266" s="1990"/>
      <c r="AC266" s="1989">
        <v>97</v>
      </c>
      <c r="AD266" s="1989">
        <v>1</v>
      </c>
      <c r="AE266" s="1989">
        <v>0</v>
      </c>
      <c r="AF266" s="1989">
        <v>5</v>
      </c>
      <c r="AG266" s="1989">
        <v>326</v>
      </c>
      <c r="AH266" s="1989">
        <v>60</v>
      </c>
      <c r="AI266" s="1989">
        <v>6</v>
      </c>
      <c r="AJ266" s="1989">
        <v>1</v>
      </c>
      <c r="AK266" s="1989">
        <v>0</v>
      </c>
      <c r="AL266" s="1989">
        <v>0</v>
      </c>
      <c r="AM266" s="1989">
        <v>0</v>
      </c>
      <c r="AN266" s="1989">
        <v>550</v>
      </c>
      <c r="AO266" s="1989">
        <v>1092</v>
      </c>
      <c r="AP266" s="1989">
        <v>473</v>
      </c>
      <c r="AQ266" s="1989">
        <v>199</v>
      </c>
      <c r="AR266" s="1989">
        <v>274</v>
      </c>
      <c r="AS266" s="1989">
        <v>655</v>
      </c>
      <c r="AT266" s="1988">
        <v>2220</v>
      </c>
      <c r="AU266" s="1991"/>
      <c r="AV266" s="1991"/>
      <c r="AX266" s="1992"/>
      <c r="AY266" s="1992"/>
      <c r="AZ266" s="1992"/>
      <c r="BA266" s="1992"/>
      <c r="BB266" s="1992"/>
      <c r="BD266" s="1992"/>
      <c r="BE266" s="1992"/>
      <c r="BG266" s="1992"/>
      <c r="BI266" s="1992"/>
      <c r="BJ266" s="1992"/>
      <c r="BK266" s="1992"/>
    </row>
    <row r="267" spans="1:63" ht="12.75" x14ac:dyDescent="0.2">
      <c r="A267" s="1984">
        <v>260</v>
      </c>
      <c r="B267" s="1995" t="s">
        <v>430</v>
      </c>
      <c r="C267" s="1994" t="s">
        <v>431</v>
      </c>
      <c r="D267" s="1987">
        <v>428357</v>
      </c>
      <c r="E267" s="1988">
        <v>224813000</v>
      </c>
      <c r="F267" s="1989">
        <v>114118000</v>
      </c>
      <c r="G267" s="1989">
        <v>-7254101</v>
      </c>
      <c r="H267" s="1989">
        <v>2566867</v>
      </c>
      <c r="I267" s="1989">
        <v>-4687234</v>
      </c>
      <c r="J267" s="1989">
        <v>-4336444</v>
      </c>
      <c r="K267" s="1989">
        <v>-252804</v>
      </c>
      <c r="L267" s="1989">
        <v>0</v>
      </c>
      <c r="M267" s="1989">
        <v>0</v>
      </c>
      <c r="N267" s="1989">
        <v>-3163864</v>
      </c>
      <c r="O267" s="1989">
        <v>0</v>
      </c>
      <c r="P267" s="1989">
        <v>-81955</v>
      </c>
      <c r="Q267" s="1989">
        <v>-21739</v>
      </c>
      <c r="R267" s="1989">
        <v>0</v>
      </c>
      <c r="S267" s="1989">
        <v>0</v>
      </c>
      <c r="T267" s="1989">
        <v>0</v>
      </c>
      <c r="U267" s="1989">
        <v>0</v>
      </c>
      <c r="V267" s="1989">
        <v>0</v>
      </c>
      <c r="W267" s="1989">
        <v>-21547</v>
      </c>
      <c r="X267" s="1989">
        <v>-74014</v>
      </c>
      <c r="Y267" s="1989">
        <v>-4666</v>
      </c>
      <c r="Z267" s="1989">
        <v>100018000</v>
      </c>
      <c r="AA267" s="1989">
        <v>-2008000</v>
      </c>
      <c r="AB267" s="1990"/>
      <c r="AC267" s="1989">
        <v>309</v>
      </c>
      <c r="AD267" s="1989">
        <v>38</v>
      </c>
      <c r="AE267" s="1989">
        <v>0</v>
      </c>
      <c r="AF267" s="1989">
        <v>0</v>
      </c>
      <c r="AG267" s="1989">
        <v>1204</v>
      </c>
      <c r="AH267" s="1989">
        <v>0</v>
      </c>
      <c r="AI267" s="1989">
        <v>19</v>
      </c>
      <c r="AJ267" s="1989">
        <v>19</v>
      </c>
      <c r="AK267" s="1989">
        <v>0</v>
      </c>
      <c r="AL267" s="1989">
        <v>0</v>
      </c>
      <c r="AM267" s="1989">
        <v>0</v>
      </c>
      <c r="AN267" s="1989">
        <v>0</v>
      </c>
      <c r="AO267" s="1989">
        <v>3952</v>
      </c>
      <c r="AP267" s="1989">
        <v>3761</v>
      </c>
      <c r="AQ267" s="1989">
        <v>2460</v>
      </c>
      <c r="AR267" s="1989">
        <v>1301</v>
      </c>
      <c r="AS267" s="1989">
        <v>2812</v>
      </c>
      <c r="AT267" s="1988">
        <v>10760</v>
      </c>
      <c r="AU267" s="1991"/>
      <c r="AV267" s="1991"/>
      <c r="AX267" s="1992"/>
      <c r="AY267" s="1992"/>
      <c r="AZ267" s="1992"/>
      <c r="BA267" s="1992"/>
      <c r="BB267" s="1992"/>
      <c r="BD267" s="1992"/>
      <c r="BE267" s="1992"/>
      <c r="BG267" s="1992"/>
      <c r="BI267" s="1992"/>
      <c r="BJ267" s="1992"/>
      <c r="BK267" s="1992"/>
    </row>
    <row r="268" spans="1:63" ht="12.75" x14ac:dyDescent="0.2">
      <c r="A268" s="1984">
        <v>261</v>
      </c>
      <c r="B268" s="1996" t="s">
        <v>638</v>
      </c>
      <c r="C268" s="1994" t="s">
        <v>433</v>
      </c>
      <c r="D268" s="1987">
        <v>241804</v>
      </c>
      <c r="E268" s="1988">
        <v>198069000</v>
      </c>
      <c r="F268" s="1989">
        <v>95717479</v>
      </c>
      <c r="G268" s="1989">
        <v>-3118083</v>
      </c>
      <c r="H268" s="1989">
        <v>2330792</v>
      </c>
      <c r="I268" s="1989">
        <v>-787291</v>
      </c>
      <c r="J268" s="1989">
        <v>-4306775</v>
      </c>
      <c r="K268" s="1989">
        <v>-48686</v>
      </c>
      <c r="L268" s="1989">
        <v>-8449</v>
      </c>
      <c r="M268" s="1989">
        <v>-100000</v>
      </c>
      <c r="N268" s="1989">
        <v>-1587718</v>
      </c>
      <c r="O268" s="1989">
        <v>-192197</v>
      </c>
      <c r="P268" s="1989">
        <v>-84559</v>
      </c>
      <c r="Q268" s="1989">
        <v>-9584</v>
      </c>
      <c r="R268" s="1989">
        <v>-8449</v>
      </c>
      <c r="S268" s="1989">
        <v>0</v>
      </c>
      <c r="T268" s="1989">
        <v>-227526</v>
      </c>
      <c r="U268" s="1989">
        <v>-61593</v>
      </c>
      <c r="V268" s="1989">
        <v>-74302</v>
      </c>
      <c r="W268" s="1989">
        <v>-103078</v>
      </c>
      <c r="X268" s="1989">
        <v>-12458</v>
      </c>
      <c r="Y268" s="1989">
        <v>-9500</v>
      </c>
      <c r="Z268" s="1989">
        <v>87488927</v>
      </c>
      <c r="AA268" s="1989">
        <v>-3625923</v>
      </c>
      <c r="AB268" s="1990"/>
      <c r="AC268" s="1989">
        <v>229</v>
      </c>
      <c r="AD268" s="1989">
        <v>11</v>
      </c>
      <c r="AE268" s="1989">
        <v>6</v>
      </c>
      <c r="AF268" s="1989">
        <v>0</v>
      </c>
      <c r="AG268" s="1989">
        <v>378</v>
      </c>
      <c r="AH268" s="1989">
        <v>102</v>
      </c>
      <c r="AI268" s="1989">
        <v>21</v>
      </c>
      <c r="AJ268" s="1989">
        <v>8</v>
      </c>
      <c r="AK268" s="1989">
        <v>6</v>
      </c>
      <c r="AL268" s="1989">
        <v>0</v>
      </c>
      <c r="AM268" s="1989">
        <v>10</v>
      </c>
      <c r="AN268" s="1989">
        <v>16</v>
      </c>
      <c r="AO268" s="1989">
        <v>2168</v>
      </c>
      <c r="AP268" s="1989">
        <v>1654</v>
      </c>
      <c r="AQ268" s="1989">
        <v>1227</v>
      </c>
      <c r="AR268" s="1989">
        <v>427</v>
      </c>
      <c r="AS268" s="1989">
        <v>1553</v>
      </c>
      <c r="AT268" s="1988">
        <v>5560</v>
      </c>
      <c r="AU268" s="1991"/>
      <c r="AV268" s="1991"/>
      <c r="AX268" s="1992"/>
      <c r="AY268" s="1992"/>
      <c r="AZ268" s="1992"/>
      <c r="BA268" s="1992"/>
      <c r="BB268" s="1992"/>
      <c r="BD268" s="1992"/>
      <c r="BE268" s="1992"/>
      <c r="BG268" s="1992"/>
      <c r="BI268" s="1992"/>
      <c r="BJ268" s="1992"/>
      <c r="BK268" s="1992"/>
    </row>
    <row r="269" spans="1:63" ht="12.75" x14ac:dyDescent="0.2">
      <c r="A269" s="1984">
        <v>262</v>
      </c>
      <c r="B269" s="1996" t="s">
        <v>746</v>
      </c>
      <c r="C269" s="1994" t="s">
        <v>435</v>
      </c>
      <c r="D269" s="1987">
        <v>361940</v>
      </c>
      <c r="E269" s="1988">
        <v>231818000</v>
      </c>
      <c r="F269" s="1989">
        <v>106612431</v>
      </c>
      <c r="G269" s="1989">
        <v>-6124261</v>
      </c>
      <c r="H269" s="1989">
        <v>1645564</v>
      </c>
      <c r="I269" s="1989">
        <v>-4478697</v>
      </c>
      <c r="J269" s="1989">
        <v>-5563661</v>
      </c>
      <c r="K269" s="1989">
        <v>-54806</v>
      </c>
      <c r="L269" s="1989">
        <v>0</v>
      </c>
      <c r="M269" s="1989">
        <v>-288730</v>
      </c>
      <c r="N269" s="1989">
        <v>-2982135</v>
      </c>
      <c r="O269" s="1989">
        <v>-126657</v>
      </c>
      <c r="P269" s="1989">
        <v>-123112</v>
      </c>
      <c r="Q269" s="1989">
        <v>-7740</v>
      </c>
      <c r="R269" s="1989">
        <v>0</v>
      </c>
      <c r="S269" s="1989">
        <v>0</v>
      </c>
      <c r="T269" s="1989">
        <v>0</v>
      </c>
      <c r="U269" s="1989">
        <v>0</v>
      </c>
      <c r="V269" s="1989">
        <v>0</v>
      </c>
      <c r="W269" s="1989">
        <v>0</v>
      </c>
      <c r="X269" s="1989">
        <v>0</v>
      </c>
      <c r="Y269" s="1989">
        <v>-1171626</v>
      </c>
      <c r="Z269" s="1989">
        <v>91815267</v>
      </c>
      <c r="AA269" s="1989">
        <v>-2600000</v>
      </c>
      <c r="AB269" s="1990"/>
      <c r="AC269" s="1989">
        <v>307</v>
      </c>
      <c r="AD269" s="1989">
        <v>12</v>
      </c>
      <c r="AE269" s="1989">
        <v>0</v>
      </c>
      <c r="AF269" s="1989">
        <v>4</v>
      </c>
      <c r="AG269" s="1989">
        <v>1803</v>
      </c>
      <c r="AH269" s="1989">
        <v>78</v>
      </c>
      <c r="AI269" s="1989">
        <v>18</v>
      </c>
      <c r="AJ269" s="1989">
        <v>6</v>
      </c>
      <c r="AK269" s="1989">
        <v>0</v>
      </c>
      <c r="AL269" s="1989">
        <v>0</v>
      </c>
      <c r="AM269" s="1989">
        <v>0</v>
      </c>
      <c r="AN269" s="1989">
        <v>0</v>
      </c>
      <c r="AO269" s="1989">
        <v>3713</v>
      </c>
      <c r="AP269" s="1989">
        <v>3319</v>
      </c>
      <c r="AQ269" s="1989">
        <v>2276</v>
      </c>
      <c r="AR269" s="1989">
        <v>1043</v>
      </c>
      <c r="AS269" s="1989">
        <v>2114</v>
      </c>
      <c r="AT269" s="1988">
        <v>8900</v>
      </c>
      <c r="AU269" s="1991"/>
      <c r="AV269" s="1991"/>
      <c r="AX269" s="1992"/>
      <c r="AY269" s="1992"/>
      <c r="AZ269" s="1992"/>
      <c r="BA269" s="1992"/>
      <c r="BB269" s="1992"/>
      <c r="BD269" s="1992"/>
      <c r="BE269" s="1992"/>
      <c r="BG269" s="1992"/>
      <c r="BI269" s="1992"/>
      <c r="BJ269" s="1992"/>
      <c r="BK269" s="1992"/>
    </row>
    <row r="270" spans="1:63" ht="12.75" x14ac:dyDescent="0.2">
      <c r="A270" s="1984">
        <v>263</v>
      </c>
      <c r="B270" s="1995" t="s">
        <v>436</v>
      </c>
      <c r="C270" s="1994" t="s">
        <v>437</v>
      </c>
      <c r="D270" s="1987">
        <v>214845</v>
      </c>
      <c r="E270" s="1988">
        <v>140647000</v>
      </c>
      <c r="F270" s="1989">
        <v>64062648</v>
      </c>
      <c r="G270" s="1989">
        <v>-3473868.38</v>
      </c>
      <c r="H270" s="1989">
        <v>1476912.93</v>
      </c>
      <c r="I270" s="1989">
        <v>-1996955.45</v>
      </c>
      <c r="J270" s="1989">
        <v>-4149697.52</v>
      </c>
      <c r="K270" s="1989">
        <v>-99600.79</v>
      </c>
      <c r="L270" s="1989">
        <v>-33592.269999999997</v>
      </c>
      <c r="M270" s="1989">
        <v>0</v>
      </c>
      <c r="N270" s="1989">
        <v>-1955213.71</v>
      </c>
      <c r="O270" s="1989">
        <v>-12502.04</v>
      </c>
      <c r="P270" s="1989">
        <v>-32254.13</v>
      </c>
      <c r="Q270" s="1989">
        <v>0</v>
      </c>
      <c r="R270" s="1989">
        <v>-2109.2800000000002</v>
      </c>
      <c r="S270" s="1989">
        <v>0</v>
      </c>
      <c r="T270" s="1989">
        <v>0</v>
      </c>
      <c r="U270" s="1989">
        <v>0</v>
      </c>
      <c r="V270" s="1989">
        <v>0</v>
      </c>
      <c r="W270" s="1989">
        <v>0</v>
      </c>
      <c r="X270" s="1989">
        <v>-58279.25</v>
      </c>
      <c r="Y270" s="1989">
        <v>-2992.42</v>
      </c>
      <c r="Z270" s="1989">
        <v>55719451.139999993</v>
      </c>
      <c r="AA270" s="1989">
        <v>-500000</v>
      </c>
      <c r="AB270" s="1990"/>
      <c r="AC270" s="1989">
        <v>325</v>
      </c>
      <c r="AD270" s="1989">
        <v>23</v>
      </c>
      <c r="AE270" s="1989">
        <v>18</v>
      </c>
      <c r="AF270" s="1989">
        <v>0</v>
      </c>
      <c r="AG270" s="1989">
        <v>450</v>
      </c>
      <c r="AH270" s="1989">
        <v>7</v>
      </c>
      <c r="AI270" s="1989">
        <v>8</v>
      </c>
      <c r="AJ270" s="1989">
        <v>0</v>
      </c>
      <c r="AK270" s="1989">
        <v>3</v>
      </c>
      <c r="AL270" s="1989">
        <v>0</v>
      </c>
      <c r="AM270" s="1989">
        <v>0</v>
      </c>
      <c r="AN270" s="1989">
        <v>0</v>
      </c>
      <c r="AO270" s="1989">
        <v>1990</v>
      </c>
      <c r="AP270" s="1989">
        <v>1860</v>
      </c>
      <c r="AQ270" s="1989">
        <v>1178</v>
      </c>
      <c r="AR270" s="1989">
        <v>682</v>
      </c>
      <c r="AS270" s="1989">
        <v>1246</v>
      </c>
      <c r="AT270" s="1988">
        <v>5120</v>
      </c>
      <c r="AU270" s="1991"/>
      <c r="AV270" s="1991"/>
      <c r="AX270" s="1992"/>
      <c r="AY270" s="1992"/>
      <c r="AZ270" s="1992"/>
      <c r="BA270" s="1992"/>
      <c r="BB270" s="1992"/>
      <c r="BD270" s="1992"/>
      <c r="BE270" s="1992"/>
      <c r="BG270" s="1992"/>
      <c r="BI270" s="1992"/>
      <c r="BJ270" s="1992"/>
      <c r="BK270" s="1992"/>
    </row>
    <row r="271" spans="1:63" ht="12.75" x14ac:dyDescent="0.2">
      <c r="A271" s="1984">
        <v>264</v>
      </c>
      <c r="B271" s="1995" t="s">
        <v>438</v>
      </c>
      <c r="C271" s="1994" t="s">
        <v>439</v>
      </c>
      <c r="D271" s="1987">
        <v>158662</v>
      </c>
      <c r="E271" s="1988">
        <v>74592000</v>
      </c>
      <c r="F271" s="1989">
        <v>33265007</v>
      </c>
      <c r="G271" s="1989">
        <v>-2673859</v>
      </c>
      <c r="H271" s="1989">
        <v>843573</v>
      </c>
      <c r="I271" s="1989">
        <v>-1830286</v>
      </c>
      <c r="J271" s="1989">
        <v>-2053013.58</v>
      </c>
      <c r="K271" s="1989">
        <v>-61639.92</v>
      </c>
      <c r="L271" s="1989">
        <v>-43951</v>
      </c>
      <c r="M271" s="1989">
        <v>-7617.97</v>
      </c>
      <c r="N271" s="1989">
        <v>-875640.17</v>
      </c>
      <c r="O271" s="1989">
        <v>-77869.600000000006</v>
      </c>
      <c r="P271" s="1989">
        <v>-74822.039999999994</v>
      </c>
      <c r="Q271" s="1989">
        <v>0</v>
      </c>
      <c r="R271" s="1989">
        <v>-3255.34</v>
      </c>
      <c r="S271" s="1989">
        <v>0</v>
      </c>
      <c r="T271" s="1989">
        <v>0</v>
      </c>
      <c r="U271" s="1989">
        <v>0</v>
      </c>
      <c r="V271" s="1989">
        <v>0</v>
      </c>
      <c r="W271" s="1989">
        <v>0</v>
      </c>
      <c r="X271" s="1989">
        <v>-706.56</v>
      </c>
      <c r="Y271" s="1989">
        <v>0</v>
      </c>
      <c r="Z271" s="1989">
        <v>28236204.82</v>
      </c>
      <c r="AA271" s="1989">
        <v>-350000</v>
      </c>
      <c r="AB271" s="1990"/>
      <c r="AC271" s="1989">
        <v>304</v>
      </c>
      <c r="AD271" s="1989">
        <v>17</v>
      </c>
      <c r="AE271" s="1989">
        <v>34</v>
      </c>
      <c r="AF271" s="1989">
        <v>3</v>
      </c>
      <c r="AG271" s="1989">
        <v>376</v>
      </c>
      <c r="AH271" s="1989">
        <v>147</v>
      </c>
      <c r="AI271" s="1989">
        <v>9</v>
      </c>
      <c r="AJ271" s="1989">
        <v>0</v>
      </c>
      <c r="AK271" s="1989">
        <v>8</v>
      </c>
      <c r="AL271" s="1989">
        <v>0</v>
      </c>
      <c r="AM271" s="1989">
        <v>0</v>
      </c>
      <c r="AN271" s="1989">
        <v>0</v>
      </c>
      <c r="AO271" s="1989">
        <v>1380</v>
      </c>
      <c r="AP271" s="1989">
        <v>1577</v>
      </c>
      <c r="AQ271" s="1989">
        <v>1170</v>
      </c>
      <c r="AR271" s="1989">
        <v>407</v>
      </c>
      <c r="AS271" s="1989">
        <v>1039</v>
      </c>
      <c r="AT271" s="1988">
        <v>4050</v>
      </c>
      <c r="AU271" s="1991"/>
      <c r="AV271" s="1991"/>
      <c r="AX271" s="1992"/>
      <c r="AY271" s="1992"/>
      <c r="AZ271" s="1992"/>
      <c r="BA271" s="1992"/>
      <c r="BB271" s="1992"/>
      <c r="BD271" s="1992"/>
      <c r="BE271" s="1992"/>
      <c r="BG271" s="1992"/>
      <c r="BI271" s="1992"/>
      <c r="BJ271" s="1992"/>
      <c r="BK271" s="1992"/>
    </row>
    <row r="272" spans="1:63" ht="12.75" x14ac:dyDescent="0.2">
      <c r="A272" s="1984">
        <v>265</v>
      </c>
      <c r="B272" s="1995" t="s">
        <v>440</v>
      </c>
      <c r="C272" s="1994" t="s">
        <v>441</v>
      </c>
      <c r="D272" s="1987">
        <v>269565</v>
      </c>
      <c r="E272" s="1988">
        <v>157502000</v>
      </c>
      <c r="F272" s="1989">
        <v>76108789</v>
      </c>
      <c r="G272" s="1989">
        <v>-3738411</v>
      </c>
      <c r="H272" s="1989">
        <v>1763835</v>
      </c>
      <c r="I272" s="1989">
        <v>-1974576</v>
      </c>
      <c r="J272" s="1989">
        <v>-2619047</v>
      </c>
      <c r="K272" s="1989">
        <v>-40853</v>
      </c>
      <c r="L272" s="1989">
        <v>-80686</v>
      </c>
      <c r="M272" s="1989">
        <v>0</v>
      </c>
      <c r="N272" s="1989">
        <v>-768509</v>
      </c>
      <c r="O272" s="1989">
        <v>-55875</v>
      </c>
      <c r="P272" s="1989">
        <v>-28316</v>
      </c>
      <c r="Q272" s="1989">
        <v>-219</v>
      </c>
      <c r="R272" s="1989">
        <v>-11255</v>
      </c>
      <c r="S272" s="1989">
        <v>-11738</v>
      </c>
      <c r="T272" s="1989">
        <v>0</v>
      </c>
      <c r="U272" s="1989">
        <v>0</v>
      </c>
      <c r="V272" s="1989">
        <v>0</v>
      </c>
      <c r="W272" s="1989">
        <v>0</v>
      </c>
      <c r="X272" s="1989">
        <v>-3025</v>
      </c>
      <c r="Y272" s="1989">
        <v>0</v>
      </c>
      <c r="Z272" s="1989">
        <v>70514690</v>
      </c>
      <c r="AA272" s="1989">
        <v>-1326787</v>
      </c>
      <c r="AB272" s="1990"/>
      <c r="AC272" s="1989">
        <v>352</v>
      </c>
      <c r="AD272" s="1989">
        <v>22</v>
      </c>
      <c r="AE272" s="1989">
        <v>55</v>
      </c>
      <c r="AF272" s="1989">
        <v>0</v>
      </c>
      <c r="AG272" s="1989">
        <v>637</v>
      </c>
      <c r="AH272" s="1989">
        <v>108</v>
      </c>
      <c r="AI272" s="1989">
        <v>21</v>
      </c>
      <c r="AJ272" s="1989">
        <v>2</v>
      </c>
      <c r="AK272" s="1989">
        <v>13</v>
      </c>
      <c r="AL272" s="1989">
        <v>4</v>
      </c>
      <c r="AM272" s="1989">
        <v>0</v>
      </c>
      <c r="AN272" s="1989">
        <v>0</v>
      </c>
      <c r="AO272" s="1989">
        <v>1666</v>
      </c>
      <c r="AP272" s="1989">
        <v>3272</v>
      </c>
      <c r="AQ272" s="1989">
        <v>2790</v>
      </c>
      <c r="AR272" s="1989">
        <v>482</v>
      </c>
      <c r="AS272" s="1989">
        <v>1761</v>
      </c>
      <c r="AT272" s="1988">
        <v>6720</v>
      </c>
      <c r="AU272" s="1991"/>
      <c r="AV272" s="1991"/>
      <c r="AX272" s="1992"/>
      <c r="AY272" s="1992"/>
      <c r="AZ272" s="1992"/>
      <c r="BA272" s="1992"/>
      <c r="BB272" s="1992"/>
      <c r="BD272" s="1992"/>
      <c r="BE272" s="1992"/>
      <c r="BG272" s="1992"/>
      <c r="BI272" s="1992"/>
      <c r="BJ272" s="1992"/>
      <c r="BK272" s="1992"/>
    </row>
    <row r="273" spans="1:63" ht="12.75" x14ac:dyDescent="0.2">
      <c r="A273" s="1984">
        <v>266</v>
      </c>
      <c r="B273" s="1995" t="s">
        <v>442</v>
      </c>
      <c r="C273" s="1994" t="s">
        <v>443</v>
      </c>
      <c r="D273" s="1987">
        <v>341354</v>
      </c>
      <c r="E273" s="1988">
        <v>231372000</v>
      </c>
      <c r="F273" s="1989">
        <v>104979179</v>
      </c>
      <c r="G273" s="1989">
        <v>-4711504</v>
      </c>
      <c r="H273" s="1989">
        <v>2544690</v>
      </c>
      <c r="I273" s="1989">
        <v>-2166814</v>
      </c>
      <c r="J273" s="1989">
        <v>-5560251</v>
      </c>
      <c r="K273" s="1989">
        <v>-43597</v>
      </c>
      <c r="L273" s="1989">
        <v>-1907</v>
      </c>
      <c r="M273" s="1989">
        <v>-100000</v>
      </c>
      <c r="N273" s="1989">
        <v>-1806490</v>
      </c>
      <c r="O273" s="1989">
        <v>-59637</v>
      </c>
      <c r="P273" s="1989">
        <v>-139170</v>
      </c>
      <c r="Q273" s="1989">
        <v>-596</v>
      </c>
      <c r="R273" s="1989">
        <v>0</v>
      </c>
      <c r="S273" s="1989">
        <v>0</v>
      </c>
      <c r="T273" s="1989">
        <v>-34790</v>
      </c>
      <c r="U273" s="1989">
        <v>-34790</v>
      </c>
      <c r="V273" s="1989">
        <v>0</v>
      </c>
      <c r="W273" s="1989">
        <v>0</v>
      </c>
      <c r="X273" s="1989">
        <v>-62403</v>
      </c>
      <c r="Y273" s="1989">
        <v>-20000</v>
      </c>
      <c r="Z273" s="1989">
        <v>93112582</v>
      </c>
      <c r="AA273" s="1989">
        <v>-700000</v>
      </c>
      <c r="AB273" s="1990"/>
      <c r="AC273" s="1989">
        <v>303</v>
      </c>
      <c r="AD273" s="1989">
        <v>6</v>
      </c>
      <c r="AE273" s="1989">
        <v>2</v>
      </c>
      <c r="AF273" s="1989">
        <v>0</v>
      </c>
      <c r="AG273" s="1989">
        <v>730</v>
      </c>
      <c r="AH273" s="1989">
        <v>82</v>
      </c>
      <c r="AI273" s="1989">
        <v>29</v>
      </c>
      <c r="AJ273" s="1989">
        <v>1</v>
      </c>
      <c r="AK273" s="1989">
        <v>0</v>
      </c>
      <c r="AL273" s="1989">
        <v>0</v>
      </c>
      <c r="AM273" s="1989">
        <v>1</v>
      </c>
      <c r="AN273" s="1989">
        <v>0</v>
      </c>
      <c r="AO273" s="1989">
        <v>2814</v>
      </c>
      <c r="AP273" s="1989">
        <v>2894</v>
      </c>
      <c r="AQ273" s="1989">
        <v>2184</v>
      </c>
      <c r="AR273" s="1989">
        <v>710</v>
      </c>
      <c r="AS273" s="1989">
        <v>2273</v>
      </c>
      <c r="AT273" s="1988">
        <v>8280</v>
      </c>
      <c r="AU273" s="1991"/>
      <c r="AV273" s="1991"/>
      <c r="AX273" s="1992"/>
      <c r="AY273" s="1992"/>
      <c r="AZ273" s="1992"/>
      <c r="BA273" s="1992"/>
      <c r="BB273" s="1992"/>
      <c r="BD273" s="1992"/>
      <c r="BE273" s="1992"/>
      <c r="BG273" s="1992"/>
      <c r="BI273" s="1992"/>
      <c r="BJ273" s="1992"/>
      <c r="BK273" s="1992"/>
    </row>
    <row r="274" spans="1:63" ht="12.75" x14ac:dyDescent="0.2">
      <c r="A274" s="1984">
        <v>267</v>
      </c>
      <c r="B274" s="1995" t="s">
        <v>444</v>
      </c>
      <c r="C274" s="1994" t="s">
        <v>445</v>
      </c>
      <c r="D274" s="1987">
        <v>123229</v>
      </c>
      <c r="E274" s="1988">
        <v>92202000</v>
      </c>
      <c r="F274" s="1989">
        <v>41072506</v>
      </c>
      <c r="G274" s="1989">
        <v>-1346635</v>
      </c>
      <c r="H274" s="1989">
        <v>964646</v>
      </c>
      <c r="I274" s="1989">
        <v>-381989</v>
      </c>
      <c r="J274" s="1989">
        <v>-1465008</v>
      </c>
      <c r="K274" s="1989">
        <v>-5815</v>
      </c>
      <c r="L274" s="1989">
        <v>0</v>
      </c>
      <c r="M274" s="1989">
        <v>-200000</v>
      </c>
      <c r="N274" s="1989">
        <v>-1300000</v>
      </c>
      <c r="O274" s="1989">
        <v>-90000</v>
      </c>
      <c r="P274" s="1989">
        <v>-230000</v>
      </c>
      <c r="Q274" s="1989">
        <v>-2000</v>
      </c>
      <c r="R274" s="1989">
        <v>0</v>
      </c>
      <c r="S274" s="1989">
        <v>0</v>
      </c>
      <c r="T274" s="1989">
        <v>0</v>
      </c>
      <c r="U274" s="1989">
        <v>0</v>
      </c>
      <c r="V274" s="1989">
        <v>0</v>
      </c>
      <c r="W274" s="1989">
        <v>-100000</v>
      </c>
      <c r="X274" s="1989">
        <v>-35000</v>
      </c>
      <c r="Y274" s="1989">
        <v>-1000</v>
      </c>
      <c r="Z274" s="1989">
        <v>37261694</v>
      </c>
      <c r="AA274" s="1989">
        <v>-1500000</v>
      </c>
      <c r="AB274" s="1990"/>
      <c r="AC274" s="1989">
        <v>108</v>
      </c>
      <c r="AD274" s="1989">
        <v>4</v>
      </c>
      <c r="AE274" s="1989">
        <v>0</v>
      </c>
      <c r="AF274" s="1989">
        <v>0</v>
      </c>
      <c r="AG274" s="1989">
        <v>265</v>
      </c>
      <c r="AH274" s="1989">
        <v>69</v>
      </c>
      <c r="AI274" s="1989">
        <v>30</v>
      </c>
      <c r="AJ274" s="1989">
        <v>4</v>
      </c>
      <c r="AK274" s="1989">
        <v>0</v>
      </c>
      <c r="AL274" s="1989">
        <v>0</v>
      </c>
      <c r="AM274" s="1989">
        <v>0</v>
      </c>
      <c r="AN274" s="1989">
        <v>0</v>
      </c>
      <c r="AO274" s="1989">
        <v>1064</v>
      </c>
      <c r="AP274" s="1989">
        <v>752</v>
      </c>
      <c r="AQ274" s="1989">
        <v>414</v>
      </c>
      <c r="AR274" s="1989">
        <v>338</v>
      </c>
      <c r="AS274" s="1989">
        <v>61</v>
      </c>
      <c r="AT274" s="1988">
        <v>2560</v>
      </c>
      <c r="AU274" s="1991"/>
      <c r="AV274" s="1991"/>
      <c r="AX274" s="1992"/>
      <c r="AY274" s="1992"/>
      <c r="AZ274" s="1992"/>
      <c r="BA274" s="1992"/>
      <c r="BB274" s="1992"/>
      <c r="BD274" s="1992"/>
      <c r="BE274" s="1992"/>
      <c r="BG274" s="1992"/>
      <c r="BI274" s="1992"/>
      <c r="BJ274" s="1992"/>
      <c r="BK274" s="1992"/>
    </row>
    <row r="275" spans="1:63" ht="12.75" x14ac:dyDescent="0.2">
      <c r="A275" s="1984">
        <v>268</v>
      </c>
      <c r="B275" s="1995" t="s">
        <v>446</v>
      </c>
      <c r="C275" s="1994" t="s">
        <v>447</v>
      </c>
      <c r="D275" s="1987">
        <v>193376</v>
      </c>
      <c r="E275" s="1988">
        <v>137064000</v>
      </c>
      <c r="F275" s="1989">
        <v>60486949</v>
      </c>
      <c r="G275" s="1989">
        <v>-2799364</v>
      </c>
      <c r="H275" s="1989">
        <v>1332871</v>
      </c>
      <c r="I275" s="1989">
        <v>-1466493</v>
      </c>
      <c r="J275" s="1989">
        <v>-4562301</v>
      </c>
      <c r="K275" s="1989">
        <v>-37374</v>
      </c>
      <c r="L275" s="1989">
        <v>0</v>
      </c>
      <c r="M275" s="1989">
        <v>-10000</v>
      </c>
      <c r="N275" s="1989">
        <v>-484727</v>
      </c>
      <c r="O275" s="1989">
        <v>0</v>
      </c>
      <c r="P275" s="1989">
        <v>-115858</v>
      </c>
      <c r="Q275" s="1989">
        <v>0</v>
      </c>
      <c r="R275" s="1989">
        <v>0</v>
      </c>
      <c r="S275" s="1989">
        <v>0</v>
      </c>
      <c r="T275" s="1989">
        <v>0</v>
      </c>
      <c r="U275" s="1989">
        <v>0</v>
      </c>
      <c r="V275" s="1989">
        <v>0</v>
      </c>
      <c r="W275" s="1989">
        <v>-85000</v>
      </c>
      <c r="X275" s="1989">
        <v>-2000</v>
      </c>
      <c r="Y275" s="1989">
        <v>-4000</v>
      </c>
      <c r="Z275" s="1989">
        <v>53684196</v>
      </c>
      <c r="AA275" s="1989">
        <v>-459646</v>
      </c>
      <c r="AB275" s="1990"/>
      <c r="AC275" s="1989">
        <v>184</v>
      </c>
      <c r="AD275" s="1989">
        <v>5</v>
      </c>
      <c r="AE275" s="1989">
        <v>0</v>
      </c>
      <c r="AF275" s="1989">
        <v>0</v>
      </c>
      <c r="AG275" s="1989">
        <v>461</v>
      </c>
      <c r="AH275" s="1989">
        <v>0</v>
      </c>
      <c r="AI275" s="1989">
        <v>30</v>
      </c>
      <c r="AJ275" s="1989">
        <v>0</v>
      </c>
      <c r="AK275" s="1989">
        <v>0</v>
      </c>
      <c r="AL275" s="1989">
        <v>0</v>
      </c>
      <c r="AM275" s="1989">
        <v>0</v>
      </c>
      <c r="AN275" s="1989">
        <v>1</v>
      </c>
      <c r="AO275" s="1989">
        <v>1368</v>
      </c>
      <c r="AP275" s="1989">
        <v>1332</v>
      </c>
      <c r="AQ275" s="1989">
        <v>609</v>
      </c>
      <c r="AR275" s="1989">
        <v>723</v>
      </c>
      <c r="AS275" s="1989">
        <v>1453</v>
      </c>
      <c r="AT275" s="1988">
        <v>4050</v>
      </c>
      <c r="AU275" s="1991"/>
      <c r="AV275" s="1991"/>
      <c r="AX275" s="1992"/>
      <c r="AY275" s="1992"/>
      <c r="AZ275" s="1992"/>
      <c r="BA275" s="1992"/>
      <c r="BB275" s="1992"/>
      <c r="BD275" s="1992"/>
      <c r="BE275" s="1992"/>
      <c r="BG275" s="1992"/>
      <c r="BI275" s="1992"/>
      <c r="BJ275" s="1992"/>
      <c r="BK275" s="1992"/>
    </row>
    <row r="276" spans="1:63" ht="12.75" x14ac:dyDescent="0.2">
      <c r="A276" s="1984">
        <v>269</v>
      </c>
      <c r="B276" s="1995" t="s">
        <v>448</v>
      </c>
      <c r="C276" s="1994" t="s">
        <v>449</v>
      </c>
      <c r="D276" s="1987">
        <v>182037</v>
      </c>
      <c r="E276" s="1988">
        <v>119836000</v>
      </c>
      <c r="F276" s="1989">
        <v>56098040</v>
      </c>
      <c r="G276" s="1989">
        <v>-3441925</v>
      </c>
      <c r="H276" s="1989">
        <v>1263245</v>
      </c>
      <c r="I276" s="1989">
        <v>-2178680</v>
      </c>
      <c r="J276" s="1989">
        <v>-2844496</v>
      </c>
      <c r="K276" s="1989">
        <v>-88357</v>
      </c>
      <c r="L276" s="1989">
        <v>-36250</v>
      </c>
      <c r="M276" s="1989">
        <v>-500000</v>
      </c>
      <c r="N276" s="1989">
        <v>-1747413</v>
      </c>
      <c r="O276" s="1989">
        <v>-238932</v>
      </c>
      <c r="P276" s="1989">
        <v>-161700</v>
      </c>
      <c r="Q276" s="1989">
        <v>-22089</v>
      </c>
      <c r="R276" s="1989">
        <v>-36250</v>
      </c>
      <c r="S276" s="1989">
        <v>-9499</v>
      </c>
      <c r="T276" s="1989">
        <v>0</v>
      </c>
      <c r="U276" s="1989">
        <v>0</v>
      </c>
      <c r="V276" s="1989">
        <v>0</v>
      </c>
      <c r="W276" s="1989">
        <v>-142738</v>
      </c>
      <c r="X276" s="1989">
        <v>-13104</v>
      </c>
      <c r="Y276" s="1989">
        <v>-11261</v>
      </c>
      <c r="Z276" s="1989">
        <v>48021010</v>
      </c>
      <c r="AA276" s="1989">
        <v>-2658923</v>
      </c>
      <c r="AB276" s="1990"/>
      <c r="AC276" s="1989">
        <v>225</v>
      </c>
      <c r="AD276" s="1989">
        <v>22</v>
      </c>
      <c r="AE276" s="1989">
        <v>23</v>
      </c>
      <c r="AF276" s="1989">
        <v>0</v>
      </c>
      <c r="AG276" s="1989">
        <v>295</v>
      </c>
      <c r="AH276" s="1989">
        <v>144</v>
      </c>
      <c r="AI276" s="1989">
        <v>31</v>
      </c>
      <c r="AJ276" s="1989">
        <v>22</v>
      </c>
      <c r="AK276" s="1989">
        <v>23</v>
      </c>
      <c r="AL276" s="1989">
        <v>2</v>
      </c>
      <c r="AM276" s="1989">
        <v>0</v>
      </c>
      <c r="AN276" s="1989">
        <v>0</v>
      </c>
      <c r="AO276" s="1989">
        <v>1511</v>
      </c>
      <c r="AP276" s="1989">
        <v>1879</v>
      </c>
      <c r="AQ276" s="1989">
        <v>1294</v>
      </c>
      <c r="AR276" s="1989">
        <v>585</v>
      </c>
      <c r="AS276" s="1989">
        <v>997</v>
      </c>
      <c r="AT276" s="1988">
        <v>4410</v>
      </c>
      <c r="AU276" s="1991"/>
      <c r="AV276" s="1991"/>
      <c r="AX276" s="1992"/>
      <c r="AY276" s="1992"/>
      <c r="AZ276" s="1992"/>
      <c r="BA276" s="1992"/>
      <c r="BB276" s="1992"/>
      <c r="BD276" s="1992"/>
      <c r="BE276" s="1992"/>
      <c r="BG276" s="1992"/>
      <c r="BI276" s="1992"/>
      <c r="BJ276" s="1992"/>
      <c r="BK276" s="1992"/>
    </row>
    <row r="277" spans="1:63" ht="12.75" x14ac:dyDescent="0.2">
      <c r="A277" s="1984">
        <v>270</v>
      </c>
      <c r="B277" s="1996" t="s">
        <v>762</v>
      </c>
      <c r="C277" s="1994" t="s">
        <v>451</v>
      </c>
      <c r="D277" s="1987">
        <v>265619</v>
      </c>
      <c r="E277" s="1988">
        <v>254220000</v>
      </c>
      <c r="F277" s="1989">
        <v>126549831</v>
      </c>
      <c r="G277" s="1989">
        <v>-2859340</v>
      </c>
      <c r="H277" s="1989">
        <v>3146337</v>
      </c>
      <c r="I277" s="1989">
        <v>286997</v>
      </c>
      <c r="J277" s="1989">
        <v>-6498207</v>
      </c>
      <c r="K277" s="1989">
        <v>-87353</v>
      </c>
      <c r="L277" s="1989">
        <v>-9928</v>
      </c>
      <c r="M277" s="1989">
        <v>-791061</v>
      </c>
      <c r="N277" s="1989">
        <v>-2571591</v>
      </c>
      <c r="O277" s="1989">
        <v>-199216</v>
      </c>
      <c r="P277" s="1989">
        <v>-59176</v>
      </c>
      <c r="Q277" s="1989">
        <v>-21838</v>
      </c>
      <c r="R277" s="1989">
        <v>-7691</v>
      </c>
      <c r="S277" s="1989">
        <v>0</v>
      </c>
      <c r="T277" s="1989">
        <v>0</v>
      </c>
      <c r="U277" s="1989">
        <v>0</v>
      </c>
      <c r="V277" s="1989">
        <v>0</v>
      </c>
      <c r="W277" s="1989">
        <v>0</v>
      </c>
      <c r="X277" s="1989">
        <v>-3085</v>
      </c>
      <c r="Y277" s="1989">
        <v>0</v>
      </c>
      <c r="Z277" s="1989">
        <v>114123178</v>
      </c>
      <c r="AA277" s="1989">
        <v>-3786805</v>
      </c>
      <c r="AB277" s="1990"/>
      <c r="AC277" s="1989">
        <v>297</v>
      </c>
      <c r="AD277" s="1989">
        <v>5</v>
      </c>
      <c r="AE277" s="1989">
        <v>6</v>
      </c>
      <c r="AF277" s="1989">
        <v>21</v>
      </c>
      <c r="AG277" s="1989">
        <v>608</v>
      </c>
      <c r="AH277" s="1989">
        <v>146</v>
      </c>
      <c r="AI277" s="1989">
        <v>16</v>
      </c>
      <c r="AJ277" s="1989">
        <v>5</v>
      </c>
      <c r="AK277" s="1989">
        <v>6</v>
      </c>
      <c r="AL277" s="1989">
        <v>0</v>
      </c>
      <c r="AM277" s="1989">
        <v>0</v>
      </c>
      <c r="AN277" s="1989">
        <v>0</v>
      </c>
      <c r="AO277" s="1989">
        <v>2484</v>
      </c>
      <c r="AP277" s="1989">
        <v>1577</v>
      </c>
      <c r="AQ277" s="1989">
        <v>1020</v>
      </c>
      <c r="AR277" s="1989">
        <v>557</v>
      </c>
      <c r="AS277" s="1989">
        <v>1418</v>
      </c>
      <c r="AT277" s="1988">
        <v>5610</v>
      </c>
      <c r="AU277" s="1991"/>
      <c r="AV277" s="1991"/>
      <c r="AX277" s="1992"/>
      <c r="AY277" s="1992"/>
      <c r="AZ277" s="1992"/>
      <c r="BA277" s="1992"/>
      <c r="BB277" s="1992"/>
      <c r="BD277" s="1992"/>
      <c r="BE277" s="1992"/>
      <c r="BG277" s="1992"/>
      <c r="BI277" s="1992"/>
      <c r="BJ277" s="1992"/>
      <c r="BK277" s="1992"/>
    </row>
    <row r="278" spans="1:63" ht="12.75" x14ac:dyDescent="0.2">
      <c r="A278" s="1984">
        <v>271</v>
      </c>
      <c r="B278" s="1995" t="s">
        <v>452</v>
      </c>
      <c r="C278" s="1994" t="s">
        <v>453</v>
      </c>
      <c r="D278" s="1987">
        <v>291392</v>
      </c>
      <c r="E278" s="1988">
        <v>147281000</v>
      </c>
      <c r="F278" s="1989">
        <v>72343027</v>
      </c>
      <c r="G278" s="1989">
        <v>-6074702</v>
      </c>
      <c r="H278" s="1989">
        <v>1606122</v>
      </c>
      <c r="I278" s="1989">
        <v>-4468580</v>
      </c>
      <c r="J278" s="1989">
        <v>-3115881</v>
      </c>
      <c r="K278" s="1989">
        <v>-193091</v>
      </c>
      <c r="L278" s="1989">
        <v>0</v>
      </c>
      <c r="M278" s="1989">
        <v>0</v>
      </c>
      <c r="N278" s="1989">
        <v>-1322558</v>
      </c>
      <c r="O278" s="1989">
        <v>-24774</v>
      </c>
      <c r="P278" s="1989">
        <v>-54822</v>
      </c>
      <c r="Q278" s="1989">
        <v>-2544</v>
      </c>
      <c r="R278" s="1989">
        <v>0</v>
      </c>
      <c r="S278" s="1989">
        <v>0</v>
      </c>
      <c r="T278" s="1989">
        <v>0</v>
      </c>
      <c r="U278" s="1989">
        <v>0</v>
      </c>
      <c r="V278" s="1989">
        <v>0</v>
      </c>
      <c r="W278" s="1989">
        <v>0</v>
      </c>
      <c r="X278" s="1989">
        <v>-47712</v>
      </c>
      <c r="Y278" s="1989">
        <v>-18002</v>
      </c>
      <c r="Z278" s="1989">
        <v>62895063</v>
      </c>
      <c r="AA278" s="1989">
        <v>-3072000</v>
      </c>
      <c r="AB278" s="1990"/>
      <c r="AC278" s="1989">
        <v>204</v>
      </c>
      <c r="AD278" s="1989">
        <v>20</v>
      </c>
      <c r="AE278" s="1989">
        <v>0</v>
      </c>
      <c r="AF278" s="1989">
        <v>0</v>
      </c>
      <c r="AG278" s="1989">
        <v>0</v>
      </c>
      <c r="AH278" s="1989">
        <v>48</v>
      </c>
      <c r="AI278" s="1989">
        <v>26</v>
      </c>
      <c r="AJ278" s="1989">
        <v>12</v>
      </c>
      <c r="AK278" s="1989">
        <v>0</v>
      </c>
      <c r="AL278" s="1989">
        <v>0</v>
      </c>
      <c r="AM278" s="1989">
        <v>0</v>
      </c>
      <c r="AN278" s="1989">
        <v>0</v>
      </c>
      <c r="AO278" s="1989">
        <v>1974</v>
      </c>
      <c r="AP278" s="1989">
        <v>3304</v>
      </c>
      <c r="AQ278" s="1989">
        <v>2419</v>
      </c>
      <c r="AR278" s="1989">
        <v>885</v>
      </c>
      <c r="AS278" s="1989">
        <v>2103</v>
      </c>
      <c r="AT278" s="1988">
        <v>7370</v>
      </c>
      <c r="AU278" s="1991"/>
      <c r="AV278" s="1991"/>
      <c r="AX278" s="1992"/>
      <c r="AY278" s="1992"/>
      <c r="AZ278" s="1992"/>
      <c r="BA278" s="1992"/>
      <c r="BB278" s="1992"/>
      <c r="BD278" s="1992"/>
      <c r="BE278" s="1992"/>
      <c r="BG278" s="1992"/>
      <c r="BI278" s="1992"/>
      <c r="BJ278" s="1992"/>
      <c r="BK278" s="1992"/>
    </row>
    <row r="279" spans="1:63" ht="12.75" x14ac:dyDescent="0.2">
      <c r="A279" s="1984">
        <v>272</v>
      </c>
      <c r="B279" s="1995" t="s">
        <v>454</v>
      </c>
      <c r="C279" s="1994" t="s">
        <v>455</v>
      </c>
      <c r="D279" s="1987">
        <v>91080</v>
      </c>
      <c r="E279" s="1988">
        <v>81800000</v>
      </c>
      <c r="F279" s="1989">
        <v>38122874</v>
      </c>
      <c r="G279" s="1989">
        <v>-1205754</v>
      </c>
      <c r="H279" s="1989">
        <v>923574</v>
      </c>
      <c r="I279" s="1989">
        <v>-282180</v>
      </c>
      <c r="J279" s="1989">
        <v>-1236516</v>
      </c>
      <c r="K279" s="1989">
        <v>-36559</v>
      </c>
      <c r="L279" s="1989">
        <v>0</v>
      </c>
      <c r="M279" s="1989">
        <v>-142500</v>
      </c>
      <c r="N279" s="1989">
        <v>-966906</v>
      </c>
      <c r="O279" s="1989">
        <v>-23477</v>
      </c>
      <c r="P279" s="1989">
        <v>-2057</v>
      </c>
      <c r="Q279" s="1989">
        <v>-3746</v>
      </c>
      <c r="R279" s="1989">
        <v>0</v>
      </c>
      <c r="S279" s="1989">
        <v>0</v>
      </c>
      <c r="T279" s="1989">
        <v>0</v>
      </c>
      <c r="U279" s="1989">
        <v>0</v>
      </c>
      <c r="V279" s="1989">
        <v>0</v>
      </c>
      <c r="W279" s="1989">
        <v>0</v>
      </c>
      <c r="X279" s="1989">
        <v>-61527</v>
      </c>
      <c r="Y279" s="1989">
        <v>0</v>
      </c>
      <c r="Z279" s="1989">
        <v>34634909</v>
      </c>
      <c r="AA279" s="1989">
        <v>-1172314</v>
      </c>
      <c r="AB279" s="1990"/>
      <c r="AC279" s="1989">
        <v>85</v>
      </c>
      <c r="AD279" s="1989">
        <v>3</v>
      </c>
      <c r="AE279" s="1989">
        <v>0</v>
      </c>
      <c r="AF279" s="1989">
        <v>0</v>
      </c>
      <c r="AG279" s="1989">
        <v>88</v>
      </c>
      <c r="AH279" s="1989">
        <v>29</v>
      </c>
      <c r="AI279" s="1989">
        <v>1</v>
      </c>
      <c r="AJ279" s="1989">
        <v>3</v>
      </c>
      <c r="AK279" s="1989">
        <v>0</v>
      </c>
      <c r="AL279" s="1989">
        <v>0</v>
      </c>
      <c r="AM279" s="1989">
        <v>0</v>
      </c>
      <c r="AN279" s="1989">
        <v>0</v>
      </c>
      <c r="AO279" s="1989">
        <v>841</v>
      </c>
      <c r="AP279" s="1989">
        <v>582</v>
      </c>
      <c r="AQ279" s="1989">
        <v>320</v>
      </c>
      <c r="AR279" s="1989">
        <v>262</v>
      </c>
      <c r="AS279" s="1989">
        <v>541</v>
      </c>
      <c r="AT279" s="1988">
        <v>2030</v>
      </c>
      <c r="AU279" s="1991"/>
      <c r="AV279" s="1991"/>
      <c r="AX279" s="1992"/>
      <c r="AY279" s="1992"/>
      <c r="AZ279" s="1992"/>
      <c r="BA279" s="1992"/>
      <c r="BB279" s="1992"/>
      <c r="BD279" s="1992"/>
      <c r="BE279" s="1992"/>
      <c r="BG279" s="1992"/>
      <c r="BI279" s="1992"/>
      <c r="BJ279" s="1992"/>
      <c r="BK279" s="1992"/>
    </row>
    <row r="280" spans="1:63" ht="12.75" x14ac:dyDescent="0.2">
      <c r="A280" s="1984">
        <v>273</v>
      </c>
      <c r="B280" s="1995" t="s">
        <v>456</v>
      </c>
      <c r="C280" s="1994" t="s">
        <v>457</v>
      </c>
      <c r="D280" s="1987">
        <v>125069</v>
      </c>
      <c r="E280" s="1988">
        <v>58679000</v>
      </c>
      <c r="F280" s="1989">
        <v>25913063</v>
      </c>
      <c r="G280" s="1989">
        <v>-2110938</v>
      </c>
      <c r="H280" s="1989">
        <v>530324</v>
      </c>
      <c r="I280" s="1989">
        <v>-1580614</v>
      </c>
      <c r="J280" s="1989">
        <v>-2661229</v>
      </c>
      <c r="K280" s="1989">
        <v>-34255</v>
      </c>
      <c r="L280" s="1989">
        <v>-14482</v>
      </c>
      <c r="M280" s="1989">
        <v>-10783</v>
      </c>
      <c r="N280" s="1989">
        <v>-621704</v>
      </c>
      <c r="O280" s="1989">
        <v>-47643</v>
      </c>
      <c r="P280" s="1989">
        <v>-12865</v>
      </c>
      <c r="Q280" s="1989">
        <v>-76</v>
      </c>
      <c r="R280" s="1989">
        <v>-14482</v>
      </c>
      <c r="S280" s="1989">
        <v>-5280</v>
      </c>
      <c r="T280" s="1989">
        <v>0</v>
      </c>
      <c r="U280" s="1989">
        <v>0</v>
      </c>
      <c r="V280" s="1989">
        <v>0</v>
      </c>
      <c r="W280" s="1989">
        <v>0</v>
      </c>
      <c r="X280" s="1989">
        <v>0</v>
      </c>
      <c r="Y280" s="1989">
        <v>-4000</v>
      </c>
      <c r="Z280" s="1989">
        <v>20905650</v>
      </c>
      <c r="AA280" s="1989">
        <v>-350000</v>
      </c>
      <c r="AB280" s="1990"/>
      <c r="AC280" s="1989">
        <v>119</v>
      </c>
      <c r="AD280" s="1989">
        <v>13</v>
      </c>
      <c r="AE280" s="1989">
        <v>12</v>
      </c>
      <c r="AF280" s="1989">
        <v>0</v>
      </c>
      <c r="AG280" s="1989">
        <v>150</v>
      </c>
      <c r="AH280" s="1989">
        <v>36</v>
      </c>
      <c r="AI280" s="1989">
        <v>9</v>
      </c>
      <c r="AJ280" s="1989">
        <v>1</v>
      </c>
      <c r="AK280" s="1989">
        <v>12</v>
      </c>
      <c r="AL280" s="1989">
        <v>1</v>
      </c>
      <c r="AM280" s="1989">
        <v>0</v>
      </c>
      <c r="AN280" s="1989">
        <v>0</v>
      </c>
      <c r="AO280" s="1989">
        <v>908</v>
      </c>
      <c r="AP280" s="1989">
        <v>1117</v>
      </c>
      <c r="AQ280" s="1989">
        <v>719</v>
      </c>
      <c r="AR280" s="1989">
        <v>398</v>
      </c>
      <c r="AS280" s="1989">
        <v>864</v>
      </c>
      <c r="AT280" s="1988">
        <v>2910</v>
      </c>
      <c r="AU280" s="1991"/>
      <c r="AV280" s="1991"/>
      <c r="AX280" s="1992"/>
      <c r="AY280" s="1992"/>
      <c r="AZ280" s="1992"/>
      <c r="BA280" s="1992"/>
      <c r="BB280" s="1992"/>
      <c r="BD280" s="1992"/>
      <c r="BE280" s="1992"/>
      <c r="BG280" s="1992"/>
      <c r="BI280" s="1992"/>
      <c r="BJ280" s="1992"/>
      <c r="BK280" s="1992"/>
    </row>
    <row r="281" spans="1:63" ht="12.75" x14ac:dyDescent="0.2">
      <c r="A281" s="1984">
        <v>274</v>
      </c>
      <c r="B281" s="1995" t="s">
        <v>458</v>
      </c>
      <c r="C281" s="1994" t="s">
        <v>459</v>
      </c>
      <c r="D281" s="1987">
        <v>168758</v>
      </c>
      <c r="E281" s="1988">
        <v>102460000</v>
      </c>
      <c r="F281" s="1989">
        <v>49748031</v>
      </c>
      <c r="G281" s="1989">
        <v>-2443908</v>
      </c>
      <c r="H281" s="1989">
        <v>1334166</v>
      </c>
      <c r="I281" s="1989">
        <v>-1109742</v>
      </c>
      <c r="J281" s="1989">
        <v>-3639316</v>
      </c>
      <c r="K281" s="1989">
        <v>-55956</v>
      </c>
      <c r="L281" s="1989">
        <v>-33413</v>
      </c>
      <c r="M281" s="1989">
        <v>-30000</v>
      </c>
      <c r="N281" s="1989">
        <v>-1347129</v>
      </c>
      <c r="O281" s="1989">
        <v>-193087</v>
      </c>
      <c r="P281" s="1989">
        <v>-49396</v>
      </c>
      <c r="Q281" s="1989">
        <v>0</v>
      </c>
      <c r="R281" s="1989">
        <v>-4598</v>
      </c>
      <c r="S281" s="1989">
        <v>0</v>
      </c>
      <c r="T281" s="1989">
        <v>0</v>
      </c>
      <c r="U281" s="1989">
        <v>0</v>
      </c>
      <c r="V281" s="1989">
        <v>0</v>
      </c>
      <c r="W281" s="1989">
        <v>-13026</v>
      </c>
      <c r="X281" s="1989">
        <v>0</v>
      </c>
      <c r="Y281" s="1989">
        <v>-21000</v>
      </c>
      <c r="Z281" s="1989">
        <v>42990907</v>
      </c>
      <c r="AA281" s="1989">
        <v>-1500000</v>
      </c>
      <c r="AB281" s="1990"/>
      <c r="AC281" s="1989">
        <v>257</v>
      </c>
      <c r="AD281" s="1989">
        <v>15</v>
      </c>
      <c r="AE281" s="1989">
        <v>24</v>
      </c>
      <c r="AF281" s="1989">
        <v>0</v>
      </c>
      <c r="AG281" s="1989">
        <v>277</v>
      </c>
      <c r="AH281" s="1989">
        <v>108</v>
      </c>
      <c r="AI281" s="1989">
        <v>13</v>
      </c>
      <c r="AJ281" s="1989">
        <v>0</v>
      </c>
      <c r="AK281" s="1989">
        <v>8</v>
      </c>
      <c r="AL281" s="1989">
        <v>0</v>
      </c>
      <c r="AM281" s="1989">
        <v>0</v>
      </c>
      <c r="AN281" s="1989">
        <v>0</v>
      </c>
      <c r="AO281" s="1989">
        <v>1537</v>
      </c>
      <c r="AP281" s="1989">
        <v>1297</v>
      </c>
      <c r="AQ281" s="1989">
        <v>872</v>
      </c>
      <c r="AR281" s="1989">
        <v>425</v>
      </c>
      <c r="AS281" s="1989">
        <v>1262</v>
      </c>
      <c r="AT281" s="1988">
        <v>4200</v>
      </c>
      <c r="AU281" s="1991"/>
      <c r="AV281" s="1991"/>
      <c r="AX281" s="1992"/>
      <c r="AY281" s="1992"/>
      <c r="AZ281" s="1992"/>
      <c r="BA281" s="1992"/>
      <c r="BB281" s="1992"/>
      <c r="BD281" s="1992"/>
      <c r="BE281" s="1992"/>
      <c r="BG281" s="1992"/>
      <c r="BI281" s="1992"/>
      <c r="BJ281" s="1992"/>
      <c r="BK281" s="1992"/>
    </row>
    <row r="282" spans="1:63" ht="12.75" x14ac:dyDescent="0.2">
      <c r="A282" s="1984">
        <v>275</v>
      </c>
      <c r="B282" s="1995" t="s">
        <v>460</v>
      </c>
      <c r="C282" s="1994" t="s">
        <v>461</v>
      </c>
      <c r="D282" s="1987">
        <v>189507</v>
      </c>
      <c r="E282" s="1988">
        <v>84428000</v>
      </c>
      <c r="F282" s="1989">
        <v>40367854</v>
      </c>
      <c r="G282" s="1989">
        <v>-3806514</v>
      </c>
      <c r="H282" s="1989">
        <v>819383</v>
      </c>
      <c r="I282" s="1989">
        <v>-2987131</v>
      </c>
      <c r="J282" s="1989">
        <v>-2254927</v>
      </c>
      <c r="K282" s="1989">
        <v>-76800</v>
      </c>
      <c r="L282" s="1989">
        <v>-53732</v>
      </c>
      <c r="M282" s="1989">
        <v>0</v>
      </c>
      <c r="N282" s="1989">
        <v>-595382</v>
      </c>
      <c r="O282" s="1989">
        <v>-79108</v>
      </c>
      <c r="P282" s="1989">
        <v>-28000</v>
      </c>
      <c r="Q282" s="1989">
        <v>-7115</v>
      </c>
      <c r="R282" s="1989">
        <v>-13133</v>
      </c>
      <c r="S282" s="1989">
        <v>-824</v>
      </c>
      <c r="T282" s="1989">
        <v>0</v>
      </c>
      <c r="U282" s="1989">
        <v>0</v>
      </c>
      <c r="V282" s="1989">
        <v>0</v>
      </c>
      <c r="W282" s="1989">
        <v>0</v>
      </c>
      <c r="X282" s="1989">
        <v>0</v>
      </c>
      <c r="Y282" s="1989">
        <v>-26204</v>
      </c>
      <c r="Z282" s="1989">
        <v>34245498</v>
      </c>
      <c r="AA282" s="1989">
        <v>-135000</v>
      </c>
      <c r="AB282" s="1990"/>
      <c r="AC282" s="1989">
        <v>302</v>
      </c>
      <c r="AD282" s="1989">
        <v>21</v>
      </c>
      <c r="AE282" s="1989">
        <v>35</v>
      </c>
      <c r="AF282" s="1989">
        <v>0</v>
      </c>
      <c r="AG282" s="1989">
        <v>265</v>
      </c>
      <c r="AH282" s="1989">
        <v>151</v>
      </c>
      <c r="AI282" s="1989">
        <v>14</v>
      </c>
      <c r="AJ282" s="1989">
        <v>15</v>
      </c>
      <c r="AK282" s="1989">
        <v>20</v>
      </c>
      <c r="AL282" s="1989">
        <v>1</v>
      </c>
      <c r="AM282" s="1989">
        <v>0</v>
      </c>
      <c r="AN282" s="1989">
        <v>0</v>
      </c>
      <c r="AO282" s="1989">
        <v>1470</v>
      </c>
      <c r="AP282" s="1989">
        <v>2244</v>
      </c>
      <c r="AQ282" s="1989">
        <v>1628</v>
      </c>
      <c r="AR282" s="1989">
        <v>616</v>
      </c>
      <c r="AS282" s="1989">
        <v>1237</v>
      </c>
      <c r="AT282" s="1988">
        <v>4990</v>
      </c>
      <c r="AU282" s="1991"/>
      <c r="AV282" s="1991"/>
      <c r="AX282" s="1992"/>
      <c r="AY282" s="1992"/>
      <c r="AZ282" s="1992"/>
      <c r="BA282" s="1992"/>
      <c r="BB282" s="1992"/>
      <c r="BD282" s="1992"/>
      <c r="BE282" s="1992"/>
      <c r="BG282" s="1992"/>
      <c r="BI282" s="1992"/>
      <c r="BJ282" s="1992"/>
      <c r="BK282" s="1992"/>
    </row>
    <row r="283" spans="1:63" ht="12.75" x14ac:dyDescent="0.2">
      <c r="A283" s="1984">
        <v>276</v>
      </c>
      <c r="B283" s="1996" t="s">
        <v>2348</v>
      </c>
      <c r="C283" s="1994" t="s">
        <v>463</v>
      </c>
      <c r="D283" s="1987">
        <v>216826</v>
      </c>
      <c r="E283" s="1988">
        <v>182718000</v>
      </c>
      <c r="F283" s="1989">
        <v>84546334</v>
      </c>
      <c r="G283" s="1989">
        <v>-2845665</v>
      </c>
      <c r="H283" s="1989">
        <v>2030737</v>
      </c>
      <c r="I283" s="1989">
        <v>-814928</v>
      </c>
      <c r="J283" s="1989">
        <v>-4490186</v>
      </c>
      <c r="K283" s="1989">
        <v>-32822</v>
      </c>
      <c r="L283" s="1989">
        <v>-5271</v>
      </c>
      <c r="M283" s="1989">
        <v>-161848</v>
      </c>
      <c r="N283" s="1989">
        <v>-2504669</v>
      </c>
      <c r="O283" s="1989">
        <v>-321976</v>
      </c>
      <c r="P283" s="1989">
        <v>-71096</v>
      </c>
      <c r="Q283" s="1989">
        <v>-4932</v>
      </c>
      <c r="R283" s="1989">
        <v>-5271</v>
      </c>
      <c r="S283" s="1989">
        <v>0</v>
      </c>
      <c r="T283" s="1989">
        <v>-500000</v>
      </c>
      <c r="U283" s="1989">
        <v>0</v>
      </c>
      <c r="V283" s="1989">
        <v>0</v>
      </c>
      <c r="W283" s="1989">
        <v>-19632</v>
      </c>
      <c r="X283" s="1989">
        <v>-31125</v>
      </c>
      <c r="Y283" s="1989">
        <v>-9575</v>
      </c>
      <c r="Z283" s="1989">
        <v>72905034</v>
      </c>
      <c r="AA283" s="1989">
        <v>-2882940</v>
      </c>
      <c r="AB283" s="1990"/>
      <c r="AC283" s="1989">
        <v>245</v>
      </c>
      <c r="AD283" s="1989">
        <v>12</v>
      </c>
      <c r="AE283" s="1989">
        <v>5</v>
      </c>
      <c r="AF283" s="1989">
        <v>0</v>
      </c>
      <c r="AG283" s="1989">
        <v>533</v>
      </c>
      <c r="AH283" s="1989">
        <v>144</v>
      </c>
      <c r="AI283" s="1989">
        <v>12</v>
      </c>
      <c r="AJ283" s="1989">
        <v>9</v>
      </c>
      <c r="AK283" s="1989">
        <v>5</v>
      </c>
      <c r="AL283" s="1989">
        <v>0</v>
      </c>
      <c r="AM283" s="1989">
        <v>0</v>
      </c>
      <c r="AN283" s="1989">
        <v>0</v>
      </c>
      <c r="AO283" s="1989">
        <v>2681</v>
      </c>
      <c r="AP283" s="1989">
        <v>1570</v>
      </c>
      <c r="AQ283" s="1989">
        <v>1094</v>
      </c>
      <c r="AR283" s="1989">
        <v>476</v>
      </c>
      <c r="AS283" s="1989">
        <v>568</v>
      </c>
      <c r="AT283" s="1988">
        <v>4940</v>
      </c>
      <c r="AU283" s="1991"/>
      <c r="AV283" s="1991"/>
      <c r="AX283" s="1992"/>
      <c r="AY283" s="1992"/>
      <c r="AZ283" s="1992"/>
      <c r="BA283" s="1992"/>
      <c r="BB283" s="1992"/>
      <c r="BD283" s="1992"/>
      <c r="BE283" s="1992"/>
      <c r="BG283" s="1992"/>
      <c r="BI283" s="1992"/>
      <c r="BJ283" s="1992"/>
      <c r="BK283" s="1992"/>
    </row>
    <row r="284" spans="1:63" ht="12.75" x14ac:dyDescent="0.2">
      <c r="A284" s="1984">
        <v>277</v>
      </c>
      <c r="B284" s="1995" t="s">
        <v>464</v>
      </c>
      <c r="C284" s="1994" t="s">
        <v>465</v>
      </c>
      <c r="D284" s="1987">
        <v>290060</v>
      </c>
      <c r="E284" s="1988">
        <v>77162000</v>
      </c>
      <c r="F284" s="1989">
        <v>34384019</v>
      </c>
      <c r="G284" s="1989">
        <v>-4619822</v>
      </c>
      <c r="H284" s="1989">
        <v>672959</v>
      </c>
      <c r="I284" s="1989">
        <v>-3946863</v>
      </c>
      <c r="J284" s="1989">
        <v>-2156936</v>
      </c>
      <c r="K284" s="1989">
        <v>-136655</v>
      </c>
      <c r="L284" s="1989">
        <v>-43009</v>
      </c>
      <c r="M284" s="1989">
        <v>0</v>
      </c>
      <c r="N284" s="1989">
        <v>-461118</v>
      </c>
      <c r="O284" s="1989">
        <v>-32414</v>
      </c>
      <c r="P284" s="1989">
        <v>-2074</v>
      </c>
      <c r="Q284" s="1989">
        <v>0</v>
      </c>
      <c r="R284" s="1989">
        <v>-43009</v>
      </c>
      <c r="S284" s="1989">
        <v>0</v>
      </c>
      <c r="T284" s="1989">
        <v>0</v>
      </c>
      <c r="U284" s="1989">
        <v>0</v>
      </c>
      <c r="V284" s="1989">
        <v>0</v>
      </c>
      <c r="W284" s="1989">
        <v>0</v>
      </c>
      <c r="X284" s="1989">
        <v>-19433</v>
      </c>
      <c r="Y284" s="1989">
        <v>0</v>
      </c>
      <c r="Z284" s="1989">
        <v>27542508</v>
      </c>
      <c r="AA284" s="1989">
        <v>-880000</v>
      </c>
      <c r="AB284" s="1990"/>
      <c r="AC284" s="1989">
        <v>259</v>
      </c>
      <c r="AD284" s="1989">
        <v>31</v>
      </c>
      <c r="AE284" s="1989">
        <v>31</v>
      </c>
      <c r="AF284" s="1989">
        <v>0</v>
      </c>
      <c r="AG284" s="1989">
        <v>344</v>
      </c>
      <c r="AH284" s="1989">
        <v>20</v>
      </c>
      <c r="AI284" s="1989">
        <v>2</v>
      </c>
      <c r="AJ284" s="1989">
        <v>0</v>
      </c>
      <c r="AK284" s="1989">
        <v>31</v>
      </c>
      <c r="AL284" s="1989">
        <v>0</v>
      </c>
      <c r="AM284" s="1989">
        <v>0</v>
      </c>
      <c r="AN284" s="1989">
        <v>0</v>
      </c>
      <c r="AO284" s="1989">
        <v>1243</v>
      </c>
      <c r="AP284" s="1989">
        <v>5188</v>
      </c>
      <c r="AQ284" s="1989">
        <v>4609</v>
      </c>
      <c r="AR284" s="1989">
        <v>579</v>
      </c>
      <c r="AS284" s="1989">
        <v>1578</v>
      </c>
      <c r="AT284" s="1988">
        <v>7990</v>
      </c>
      <c r="AU284" s="1991"/>
      <c r="AV284" s="1991"/>
      <c r="AX284" s="1992"/>
      <c r="AY284" s="1992"/>
      <c r="AZ284" s="1992"/>
      <c r="BA284" s="1992"/>
      <c r="BB284" s="1992"/>
      <c r="BD284" s="1992"/>
      <c r="BE284" s="1992"/>
      <c r="BG284" s="1992"/>
      <c r="BI284" s="1992"/>
      <c r="BJ284" s="1992"/>
      <c r="BK284" s="1992"/>
    </row>
    <row r="285" spans="1:63" ht="12.75" x14ac:dyDescent="0.2">
      <c r="A285" s="1984">
        <v>278</v>
      </c>
      <c r="B285" s="1995" t="s">
        <v>466</v>
      </c>
      <c r="C285" s="1994" t="s">
        <v>467</v>
      </c>
      <c r="D285" s="1987">
        <v>188253</v>
      </c>
      <c r="E285" s="1988">
        <v>129618000</v>
      </c>
      <c r="F285" s="1989">
        <v>57069916</v>
      </c>
      <c r="G285" s="1989">
        <v>-2646686</v>
      </c>
      <c r="H285" s="1989">
        <v>1314201</v>
      </c>
      <c r="I285" s="1989">
        <v>-1332485</v>
      </c>
      <c r="J285" s="1989">
        <v>-2678052</v>
      </c>
      <c r="K285" s="1989">
        <v>-78466</v>
      </c>
      <c r="L285" s="1989">
        <v>-30839</v>
      </c>
      <c r="M285" s="1989">
        <v>-150000</v>
      </c>
      <c r="N285" s="1989">
        <v>-1355000</v>
      </c>
      <c r="O285" s="1989">
        <v>-167978</v>
      </c>
      <c r="P285" s="1989">
        <v>-96323</v>
      </c>
      <c r="Q285" s="1989">
        <v>-19617</v>
      </c>
      <c r="R285" s="1989">
        <v>-30839</v>
      </c>
      <c r="S285" s="1989">
        <v>-46173</v>
      </c>
      <c r="T285" s="1989">
        <v>0</v>
      </c>
      <c r="U285" s="1989">
        <v>0</v>
      </c>
      <c r="V285" s="1989">
        <v>0</v>
      </c>
      <c r="W285" s="1989">
        <v>0</v>
      </c>
      <c r="X285" s="1989">
        <v>-20962</v>
      </c>
      <c r="Y285" s="1989">
        <v>0</v>
      </c>
      <c r="Z285" s="1989">
        <v>51063182</v>
      </c>
      <c r="AA285" s="1989">
        <v>-925000</v>
      </c>
      <c r="AB285" s="1990"/>
      <c r="AC285" s="1989">
        <v>227</v>
      </c>
      <c r="AD285" s="1989">
        <v>11</v>
      </c>
      <c r="AE285" s="1989">
        <v>19</v>
      </c>
      <c r="AF285" s="1989">
        <v>0</v>
      </c>
      <c r="AG285" s="1989">
        <v>144</v>
      </c>
      <c r="AH285" s="1989">
        <v>117</v>
      </c>
      <c r="AI285" s="1989">
        <v>29</v>
      </c>
      <c r="AJ285" s="1989">
        <v>11</v>
      </c>
      <c r="AK285" s="1989">
        <v>19</v>
      </c>
      <c r="AL285" s="1989">
        <v>12</v>
      </c>
      <c r="AM285" s="1989">
        <v>0</v>
      </c>
      <c r="AN285" s="1989">
        <v>0</v>
      </c>
      <c r="AO285" s="1989">
        <v>1617</v>
      </c>
      <c r="AP285" s="1989">
        <v>1490</v>
      </c>
      <c r="AQ285" s="1989">
        <v>1022</v>
      </c>
      <c r="AR285" s="1989">
        <v>468</v>
      </c>
      <c r="AS285" s="1989">
        <v>1181</v>
      </c>
      <c r="AT285" s="1988">
        <v>4350</v>
      </c>
      <c r="AU285" s="1991"/>
      <c r="AV285" s="1991"/>
      <c r="AX285" s="1992"/>
      <c r="AY285" s="1992"/>
      <c r="AZ285" s="1992"/>
      <c r="BA285" s="1992"/>
      <c r="BB285" s="1992"/>
      <c r="BD285" s="1992"/>
      <c r="BE285" s="1992"/>
      <c r="BG285" s="1992"/>
      <c r="BI285" s="1992"/>
      <c r="BJ285" s="1992"/>
      <c r="BK285" s="1992"/>
    </row>
    <row r="286" spans="1:63" ht="12.75" x14ac:dyDescent="0.2">
      <c r="A286" s="1984">
        <v>279</v>
      </c>
      <c r="B286" s="1995" t="s">
        <v>468</v>
      </c>
      <c r="C286" s="1994" t="s">
        <v>469</v>
      </c>
      <c r="D286" s="1987">
        <v>123791</v>
      </c>
      <c r="E286" s="1988">
        <v>90648000</v>
      </c>
      <c r="F286" s="1989">
        <v>39219491</v>
      </c>
      <c r="G286" s="1989">
        <v>-1851765</v>
      </c>
      <c r="H286" s="1989">
        <v>907240</v>
      </c>
      <c r="I286" s="1989">
        <v>-944525</v>
      </c>
      <c r="J286" s="1989">
        <v>-1276266</v>
      </c>
      <c r="K286" s="1989">
        <v>-34969</v>
      </c>
      <c r="L286" s="1989">
        <v>-7219</v>
      </c>
      <c r="M286" s="1989">
        <v>0</v>
      </c>
      <c r="N286" s="1989">
        <v>-1122888</v>
      </c>
      <c r="O286" s="1989">
        <v>-45059</v>
      </c>
      <c r="P286" s="1989">
        <v>-8990</v>
      </c>
      <c r="Q286" s="1989">
        <v>-378</v>
      </c>
      <c r="R286" s="1989">
        <v>-2696</v>
      </c>
      <c r="S286" s="1989">
        <v>0</v>
      </c>
      <c r="T286" s="1989">
        <v>0</v>
      </c>
      <c r="U286" s="1989">
        <v>0</v>
      </c>
      <c r="V286" s="1989">
        <v>0</v>
      </c>
      <c r="W286" s="1989">
        <v>0</v>
      </c>
      <c r="X286" s="1989">
        <v>-21309</v>
      </c>
      <c r="Y286" s="1989">
        <v>-4162</v>
      </c>
      <c r="Z286" s="1989">
        <v>35751030</v>
      </c>
      <c r="AA286" s="1989">
        <v>-1071000</v>
      </c>
      <c r="AB286" s="1990"/>
      <c r="AC286" s="1989">
        <v>146</v>
      </c>
      <c r="AD286" s="1989">
        <v>13</v>
      </c>
      <c r="AE286" s="1989">
        <v>7</v>
      </c>
      <c r="AF286" s="1989">
        <v>0</v>
      </c>
      <c r="AG286" s="1989">
        <v>151</v>
      </c>
      <c r="AH286" s="1989">
        <v>72</v>
      </c>
      <c r="AI286" s="1989">
        <v>5</v>
      </c>
      <c r="AJ286" s="1989">
        <v>0</v>
      </c>
      <c r="AK286" s="1989">
        <v>3</v>
      </c>
      <c r="AL286" s="1989">
        <v>0</v>
      </c>
      <c r="AM286" s="1989">
        <v>0</v>
      </c>
      <c r="AN286" s="1989">
        <v>0</v>
      </c>
      <c r="AO286" s="1989">
        <v>1010</v>
      </c>
      <c r="AP286" s="1989">
        <v>1068</v>
      </c>
      <c r="AQ286" s="1989">
        <v>747</v>
      </c>
      <c r="AR286" s="1989">
        <v>321</v>
      </c>
      <c r="AS286" s="1989">
        <v>140</v>
      </c>
      <c r="AT286" s="1988">
        <v>2870</v>
      </c>
      <c r="AU286" s="1991"/>
      <c r="AV286" s="1991"/>
      <c r="AX286" s="1992"/>
      <c r="AY286" s="1992"/>
      <c r="AZ286" s="1992"/>
      <c r="BA286" s="1992"/>
      <c r="BB286" s="1992"/>
      <c r="BD286" s="1992"/>
      <c r="BE286" s="1992"/>
      <c r="BG286" s="1992"/>
      <c r="BI286" s="1992"/>
      <c r="BJ286" s="1992"/>
      <c r="BK286" s="1992"/>
    </row>
    <row r="287" spans="1:63" ht="12.75" x14ac:dyDescent="0.2">
      <c r="A287" s="1984">
        <v>280</v>
      </c>
      <c r="B287" s="1995" t="s">
        <v>470</v>
      </c>
      <c r="C287" s="1994" t="s">
        <v>471</v>
      </c>
      <c r="D287" s="1987">
        <v>191748</v>
      </c>
      <c r="E287" s="1988">
        <v>94355000</v>
      </c>
      <c r="F287" s="1989">
        <v>43648967</v>
      </c>
      <c r="G287" s="1989">
        <v>-3869695</v>
      </c>
      <c r="H287" s="1989">
        <v>940191</v>
      </c>
      <c r="I287" s="1989">
        <v>-2929504</v>
      </c>
      <c r="J287" s="1989">
        <v>-3768726</v>
      </c>
      <c r="K287" s="1989">
        <v>-39352</v>
      </c>
      <c r="L287" s="1989">
        <v>-5107</v>
      </c>
      <c r="M287" s="1989">
        <v>0</v>
      </c>
      <c r="N287" s="1989">
        <v>-1171828</v>
      </c>
      <c r="O287" s="1989">
        <v>-150600</v>
      </c>
      <c r="P287" s="1989">
        <v>-39812</v>
      </c>
      <c r="Q287" s="1989">
        <v>0</v>
      </c>
      <c r="R287" s="1989">
        <v>-758</v>
      </c>
      <c r="S287" s="1989">
        <v>0</v>
      </c>
      <c r="T287" s="1989">
        <v>0</v>
      </c>
      <c r="U287" s="1989">
        <v>0</v>
      </c>
      <c r="V287" s="1989">
        <v>0</v>
      </c>
      <c r="W287" s="1989">
        <v>-25408</v>
      </c>
      <c r="X287" s="1989">
        <v>-26263</v>
      </c>
      <c r="Y287" s="1989">
        <v>-10215</v>
      </c>
      <c r="Z287" s="1989">
        <v>31780124</v>
      </c>
      <c r="AA287" s="1989">
        <v>-1000000</v>
      </c>
      <c r="AB287" s="1990"/>
      <c r="AC287" s="1989">
        <v>258</v>
      </c>
      <c r="AD287" s="1989">
        <v>13</v>
      </c>
      <c r="AE287" s="1989">
        <v>4</v>
      </c>
      <c r="AF287" s="1989">
        <v>0</v>
      </c>
      <c r="AG287" s="1989">
        <v>370</v>
      </c>
      <c r="AH287" s="1989">
        <v>70</v>
      </c>
      <c r="AI287" s="1989">
        <v>12</v>
      </c>
      <c r="AJ287" s="1989">
        <v>0</v>
      </c>
      <c r="AK287" s="1989">
        <v>1</v>
      </c>
      <c r="AL287" s="1989">
        <v>0</v>
      </c>
      <c r="AM287" s="1989">
        <v>0</v>
      </c>
      <c r="AN287" s="1989">
        <v>0</v>
      </c>
      <c r="AO287" s="1989">
        <v>1393</v>
      </c>
      <c r="AP287" s="1989">
        <v>2152</v>
      </c>
      <c r="AQ287" s="1989">
        <v>1599</v>
      </c>
      <c r="AR287" s="1989">
        <v>553</v>
      </c>
      <c r="AS287" s="1989">
        <v>1325</v>
      </c>
      <c r="AT287" s="1988">
        <v>4930</v>
      </c>
      <c r="AU287" s="1991"/>
      <c r="AV287" s="1991"/>
      <c r="AX287" s="1992"/>
      <c r="AY287" s="1992"/>
      <c r="AZ287" s="1992"/>
      <c r="BA287" s="1992"/>
      <c r="BB287" s="1992"/>
      <c r="BD287" s="1992"/>
      <c r="BE287" s="1992"/>
      <c r="BG287" s="1992"/>
      <c r="BI287" s="1992"/>
      <c r="BJ287" s="1992"/>
      <c r="BK287" s="1992"/>
    </row>
    <row r="288" spans="1:63" ht="12.75" x14ac:dyDescent="0.2">
      <c r="A288" s="1984">
        <v>281</v>
      </c>
      <c r="B288" s="1995" t="s">
        <v>472</v>
      </c>
      <c r="C288" s="1994" t="s">
        <v>473</v>
      </c>
      <c r="D288" s="1987">
        <v>92778</v>
      </c>
      <c r="E288" s="1988">
        <v>70530000</v>
      </c>
      <c r="F288" s="1989">
        <v>33337417</v>
      </c>
      <c r="G288" s="1989">
        <v>-928001</v>
      </c>
      <c r="H288" s="1989">
        <v>781787</v>
      </c>
      <c r="I288" s="1989">
        <v>-146214</v>
      </c>
      <c r="J288" s="1989">
        <v>-2364826</v>
      </c>
      <c r="K288" s="1989">
        <v>-28235</v>
      </c>
      <c r="L288" s="1989">
        <v>-1849</v>
      </c>
      <c r="M288" s="1989">
        <v>-6034</v>
      </c>
      <c r="N288" s="1989">
        <v>-803881</v>
      </c>
      <c r="O288" s="1989">
        <v>-129316</v>
      </c>
      <c r="P288" s="1989">
        <v>-145855</v>
      </c>
      <c r="Q288" s="1989">
        <v>-7012</v>
      </c>
      <c r="R288" s="1989">
        <v>-1849</v>
      </c>
      <c r="S288" s="1989">
        <v>0</v>
      </c>
      <c r="T288" s="1989">
        <v>0</v>
      </c>
      <c r="U288" s="1989">
        <v>0</v>
      </c>
      <c r="V288" s="1989">
        <v>0</v>
      </c>
      <c r="W288" s="1989">
        <v>0</v>
      </c>
      <c r="X288" s="1989">
        <v>0</v>
      </c>
      <c r="Y288" s="1989">
        <v>0</v>
      </c>
      <c r="Z288" s="1989">
        <v>29702346</v>
      </c>
      <c r="AA288" s="1989">
        <v>-202681</v>
      </c>
      <c r="AB288" s="1990"/>
      <c r="AC288" s="1989">
        <v>122</v>
      </c>
      <c r="AD288" s="1989">
        <v>7</v>
      </c>
      <c r="AE288" s="1989">
        <v>1</v>
      </c>
      <c r="AF288" s="1989">
        <v>3</v>
      </c>
      <c r="AG288" s="1989">
        <v>175</v>
      </c>
      <c r="AH288" s="1989">
        <v>66</v>
      </c>
      <c r="AI288" s="1989">
        <v>7</v>
      </c>
      <c r="AJ288" s="1989">
        <v>7</v>
      </c>
      <c r="AK288" s="1989">
        <v>1</v>
      </c>
      <c r="AL288" s="1989">
        <v>0</v>
      </c>
      <c r="AM288" s="1989">
        <v>0</v>
      </c>
      <c r="AN288" s="1989">
        <v>430</v>
      </c>
      <c r="AO288" s="1989">
        <v>867</v>
      </c>
      <c r="AP288" s="1989">
        <v>475</v>
      </c>
      <c r="AQ288" s="1989">
        <v>203</v>
      </c>
      <c r="AR288" s="1989">
        <v>272</v>
      </c>
      <c r="AS288" s="1989">
        <v>651</v>
      </c>
      <c r="AT288" s="1988">
        <v>1970</v>
      </c>
      <c r="AU288" s="1991"/>
      <c r="AV288" s="1991"/>
      <c r="AX288" s="1992"/>
      <c r="AY288" s="1992"/>
      <c r="AZ288" s="1992"/>
      <c r="BA288" s="1992"/>
      <c r="BB288" s="1992"/>
      <c r="BD288" s="1992"/>
      <c r="BE288" s="1992"/>
      <c r="BG288" s="1992"/>
      <c r="BI288" s="1992"/>
      <c r="BJ288" s="1992"/>
      <c r="BK288" s="1992"/>
    </row>
    <row r="289" spans="1:63" ht="12.75" x14ac:dyDescent="0.2">
      <c r="A289" s="1984">
        <v>282</v>
      </c>
      <c r="B289" s="1996" t="s">
        <v>672</v>
      </c>
      <c r="C289" s="1994" t="s">
        <v>475</v>
      </c>
      <c r="D289" s="1987">
        <v>229558</v>
      </c>
      <c r="E289" s="1988">
        <v>266775000</v>
      </c>
      <c r="F289" s="1989">
        <v>127879520</v>
      </c>
      <c r="G289" s="1989">
        <v>-2305361</v>
      </c>
      <c r="H289" s="1989">
        <v>3192088</v>
      </c>
      <c r="I289" s="1989">
        <v>886727</v>
      </c>
      <c r="J289" s="1989">
        <v>-4036482</v>
      </c>
      <c r="K289" s="1989">
        <v>-34700</v>
      </c>
      <c r="L289" s="1989">
        <v>0</v>
      </c>
      <c r="M289" s="1989">
        <v>-200000</v>
      </c>
      <c r="N289" s="1989">
        <v>-9221852</v>
      </c>
      <c r="O289" s="1989">
        <v>-45000</v>
      </c>
      <c r="P289" s="1989">
        <v>-60000</v>
      </c>
      <c r="Q289" s="1989">
        <v>-400</v>
      </c>
      <c r="R289" s="1989">
        <v>0</v>
      </c>
      <c r="S289" s="1989">
        <v>0</v>
      </c>
      <c r="T289" s="1989">
        <v>0</v>
      </c>
      <c r="U289" s="1989">
        <v>0</v>
      </c>
      <c r="V289" s="1989">
        <v>0</v>
      </c>
      <c r="W289" s="1989">
        <v>0</v>
      </c>
      <c r="X289" s="1989">
        <v>0</v>
      </c>
      <c r="Y289" s="1989">
        <v>-15629</v>
      </c>
      <c r="Z289" s="1989">
        <v>114488694</v>
      </c>
      <c r="AA289" s="1989">
        <v>-1209401</v>
      </c>
      <c r="AB289" s="1990"/>
      <c r="AC289" s="1989">
        <v>171</v>
      </c>
      <c r="AD289" s="1989">
        <v>7</v>
      </c>
      <c r="AE289" s="1989">
        <v>0</v>
      </c>
      <c r="AF289" s="1989">
        <v>0</v>
      </c>
      <c r="AG289" s="1989">
        <v>394</v>
      </c>
      <c r="AH289" s="1989">
        <v>102</v>
      </c>
      <c r="AI289" s="1989">
        <v>12</v>
      </c>
      <c r="AJ289" s="1989">
        <v>6</v>
      </c>
      <c r="AK289" s="1989">
        <v>0</v>
      </c>
      <c r="AL289" s="1989">
        <v>0</v>
      </c>
      <c r="AM289" s="1989">
        <v>0</v>
      </c>
      <c r="AN289" s="1989">
        <v>0</v>
      </c>
      <c r="AO289" s="1989">
        <v>1822</v>
      </c>
      <c r="AP289" s="1989">
        <v>1140</v>
      </c>
      <c r="AQ289" s="1989">
        <v>694</v>
      </c>
      <c r="AR289" s="1989">
        <v>446</v>
      </c>
      <c r="AS289" s="1989">
        <v>1139</v>
      </c>
      <c r="AT289" s="1988">
        <v>4170</v>
      </c>
      <c r="AU289" s="1991"/>
      <c r="AV289" s="1991"/>
      <c r="AX289" s="1992"/>
      <c r="AY289" s="1992"/>
      <c r="AZ289" s="1992"/>
      <c r="BA289" s="1992"/>
      <c r="BB289" s="1992"/>
      <c r="BD289" s="1992"/>
      <c r="BE289" s="1992"/>
      <c r="BG289" s="1992"/>
      <c r="BI289" s="1992"/>
      <c r="BJ289" s="1992"/>
      <c r="BK289" s="1992"/>
    </row>
    <row r="290" spans="1:63" ht="12.75" x14ac:dyDescent="0.2">
      <c r="A290" s="1984">
        <v>283</v>
      </c>
      <c r="B290" s="1995" t="s">
        <v>476</v>
      </c>
      <c r="C290" s="1994" t="s">
        <v>477</v>
      </c>
      <c r="D290" s="1987">
        <v>162575</v>
      </c>
      <c r="E290" s="1988">
        <v>144917000</v>
      </c>
      <c r="F290" s="1989">
        <v>64321502</v>
      </c>
      <c r="G290" s="1989">
        <v>-1832140</v>
      </c>
      <c r="H290" s="1989">
        <v>1537600</v>
      </c>
      <c r="I290" s="1989">
        <v>-294540</v>
      </c>
      <c r="J290" s="1989">
        <v>-4774090</v>
      </c>
      <c r="K290" s="1989">
        <v>-84640</v>
      </c>
      <c r="L290" s="1989">
        <v>-9110</v>
      </c>
      <c r="M290" s="1989">
        <v>-394080</v>
      </c>
      <c r="N290" s="1989">
        <v>-2938540</v>
      </c>
      <c r="O290" s="1989">
        <v>-132340</v>
      </c>
      <c r="P290" s="1989">
        <v>0</v>
      </c>
      <c r="Q290" s="1989">
        <v>-17060</v>
      </c>
      <c r="R290" s="1989">
        <v>-17770</v>
      </c>
      <c r="S290" s="1989">
        <v>-1380</v>
      </c>
      <c r="T290" s="1989">
        <v>-14910</v>
      </c>
      <c r="U290" s="1989">
        <v>0</v>
      </c>
      <c r="V290" s="1989">
        <v>0</v>
      </c>
      <c r="W290" s="1989">
        <v>-198410</v>
      </c>
      <c r="X290" s="1989">
        <v>-20630</v>
      </c>
      <c r="Y290" s="1989">
        <v>0</v>
      </c>
      <c r="Z290" s="1989">
        <v>55424002</v>
      </c>
      <c r="AA290" s="1989">
        <v>-1054000</v>
      </c>
      <c r="AB290" s="1990"/>
      <c r="AC290" s="1989">
        <v>203</v>
      </c>
      <c r="AD290" s="1989">
        <v>25</v>
      </c>
      <c r="AE290" s="1989">
        <v>6</v>
      </c>
      <c r="AF290" s="1989">
        <v>3</v>
      </c>
      <c r="AG290" s="1989">
        <v>355</v>
      </c>
      <c r="AH290" s="1989">
        <v>48</v>
      </c>
      <c r="AI290" s="1989">
        <v>1</v>
      </c>
      <c r="AJ290" s="1989">
        <v>23</v>
      </c>
      <c r="AK290" s="1989">
        <v>2</v>
      </c>
      <c r="AL290" s="1989">
        <v>4</v>
      </c>
      <c r="AM290" s="1989">
        <v>0</v>
      </c>
      <c r="AN290" s="1989">
        <v>0</v>
      </c>
      <c r="AO290" s="1989">
        <v>1794</v>
      </c>
      <c r="AP290" s="1989">
        <v>994</v>
      </c>
      <c r="AQ290" s="1989">
        <v>601</v>
      </c>
      <c r="AR290" s="1989">
        <v>393</v>
      </c>
      <c r="AS290" s="1989">
        <v>835</v>
      </c>
      <c r="AT290" s="1988">
        <v>3600</v>
      </c>
      <c r="AU290" s="1991"/>
      <c r="AV290" s="1991"/>
      <c r="AX290" s="1992"/>
      <c r="AY290" s="1992"/>
      <c r="AZ290" s="1992"/>
      <c r="BA290" s="1992"/>
      <c r="BB290" s="1992"/>
      <c r="BD290" s="1992"/>
      <c r="BE290" s="1992"/>
      <c r="BG290" s="1992"/>
      <c r="BI290" s="1992"/>
      <c r="BJ290" s="1992"/>
      <c r="BK290" s="1992"/>
    </row>
    <row r="291" spans="1:63" ht="12.75" x14ac:dyDescent="0.2">
      <c r="A291" s="1984">
        <v>284</v>
      </c>
      <c r="B291" s="1996" t="s">
        <v>651</v>
      </c>
      <c r="C291" s="1994" t="s">
        <v>479</v>
      </c>
      <c r="D291" s="1987">
        <v>195813</v>
      </c>
      <c r="E291" s="1988">
        <v>92392000</v>
      </c>
      <c r="F291" s="1989">
        <v>47644868</v>
      </c>
      <c r="G291" s="1989">
        <v>-4309136</v>
      </c>
      <c r="H291" s="1989">
        <v>1005370</v>
      </c>
      <c r="I291" s="1989">
        <v>-3303766</v>
      </c>
      <c r="J291" s="1989">
        <v>-3571408</v>
      </c>
      <c r="K291" s="1989">
        <v>-139639</v>
      </c>
      <c r="L291" s="1989">
        <v>0</v>
      </c>
      <c r="M291" s="1989">
        <v>-73475</v>
      </c>
      <c r="N291" s="1989">
        <v>-769869</v>
      </c>
      <c r="O291" s="1989">
        <v>-68689</v>
      </c>
      <c r="P291" s="1989">
        <v>-323839</v>
      </c>
      <c r="Q291" s="1989">
        <v>-4968</v>
      </c>
      <c r="R291" s="1989">
        <v>0</v>
      </c>
      <c r="S291" s="1989">
        <v>0</v>
      </c>
      <c r="T291" s="1989">
        <v>0</v>
      </c>
      <c r="U291" s="1989">
        <v>0</v>
      </c>
      <c r="V291" s="1989">
        <v>0</v>
      </c>
      <c r="W291" s="1989">
        <v>-58999</v>
      </c>
      <c r="X291" s="1989">
        <v>-50699</v>
      </c>
      <c r="Y291" s="1989">
        <v>-17691</v>
      </c>
      <c r="Z291" s="1989">
        <v>38901826</v>
      </c>
      <c r="AA291" s="1989">
        <v>-888060</v>
      </c>
      <c r="AB291" s="1990"/>
      <c r="AC291" s="1989">
        <v>250</v>
      </c>
      <c r="AD291" s="1989">
        <v>26</v>
      </c>
      <c r="AE291" s="1989">
        <v>0</v>
      </c>
      <c r="AF291" s="1989">
        <v>2</v>
      </c>
      <c r="AG291" s="1989">
        <v>284</v>
      </c>
      <c r="AH291" s="1989">
        <v>80</v>
      </c>
      <c r="AI291" s="1989">
        <v>48</v>
      </c>
      <c r="AJ291" s="1989">
        <v>2</v>
      </c>
      <c r="AK291" s="1989">
        <v>0</v>
      </c>
      <c r="AL291" s="1989">
        <v>0</v>
      </c>
      <c r="AM291" s="1989">
        <v>0</v>
      </c>
      <c r="AN291" s="1989">
        <v>0</v>
      </c>
      <c r="AO291" s="1989">
        <v>1595</v>
      </c>
      <c r="AP291" s="1989">
        <v>2248</v>
      </c>
      <c r="AQ291" s="1989">
        <v>1507</v>
      </c>
      <c r="AR291" s="1989">
        <v>741</v>
      </c>
      <c r="AS291" s="1989">
        <v>1200</v>
      </c>
      <c r="AT291" s="1988">
        <v>5110</v>
      </c>
      <c r="AU291" s="1991"/>
      <c r="AV291" s="1991"/>
      <c r="AX291" s="1992"/>
      <c r="AY291" s="1992"/>
      <c r="AZ291" s="1992"/>
      <c r="BA291" s="1992"/>
      <c r="BB291" s="1992"/>
      <c r="BD291" s="1992"/>
      <c r="BE291" s="1992"/>
      <c r="BG291" s="1992"/>
      <c r="BI291" s="1992"/>
      <c r="BJ291" s="1992"/>
      <c r="BK291" s="1992"/>
    </row>
    <row r="292" spans="1:63" ht="12.75" x14ac:dyDescent="0.2">
      <c r="A292" s="1984">
        <v>285</v>
      </c>
      <c r="B292" s="1995" t="s">
        <v>480</v>
      </c>
      <c r="C292" s="1994" t="s">
        <v>481</v>
      </c>
      <c r="D292" s="1987">
        <v>132592</v>
      </c>
      <c r="E292" s="1988">
        <v>36837000</v>
      </c>
      <c r="F292" s="1989">
        <v>16054733</v>
      </c>
      <c r="G292" s="1989">
        <v>-2933808</v>
      </c>
      <c r="H292" s="1989">
        <v>271242</v>
      </c>
      <c r="I292" s="1989">
        <v>-2662566</v>
      </c>
      <c r="J292" s="1989">
        <v>-1273845</v>
      </c>
      <c r="K292" s="1989">
        <v>-30983</v>
      </c>
      <c r="L292" s="1989">
        <v>-61554</v>
      </c>
      <c r="M292" s="1989">
        <v>0</v>
      </c>
      <c r="N292" s="1989">
        <v>-270453</v>
      </c>
      <c r="O292" s="1989">
        <v>-88772</v>
      </c>
      <c r="P292" s="1989">
        <v>-25139</v>
      </c>
      <c r="Q292" s="1989">
        <v>-3508</v>
      </c>
      <c r="R292" s="1989">
        <v>-15716</v>
      </c>
      <c r="S292" s="1989">
        <v>0</v>
      </c>
      <c r="T292" s="1989">
        <v>0</v>
      </c>
      <c r="U292" s="1989">
        <v>0</v>
      </c>
      <c r="V292" s="1989">
        <v>0</v>
      </c>
      <c r="W292" s="1989">
        <v>0</v>
      </c>
      <c r="X292" s="1989">
        <v>-9879</v>
      </c>
      <c r="Y292" s="1989">
        <v>-8569</v>
      </c>
      <c r="Z292" s="1989">
        <v>11603749</v>
      </c>
      <c r="AA292" s="1989">
        <v>-328531</v>
      </c>
      <c r="AB292" s="1990"/>
      <c r="AC292" s="1989">
        <v>260</v>
      </c>
      <c r="AD292" s="1989">
        <v>11</v>
      </c>
      <c r="AE292" s="1989">
        <v>46</v>
      </c>
      <c r="AF292" s="1989">
        <v>0</v>
      </c>
      <c r="AG292" s="1989">
        <v>144</v>
      </c>
      <c r="AH292" s="1989">
        <v>120</v>
      </c>
      <c r="AI292" s="1989">
        <v>10</v>
      </c>
      <c r="AJ292" s="1989">
        <v>7</v>
      </c>
      <c r="AK292" s="1989">
        <v>22</v>
      </c>
      <c r="AL292" s="1989">
        <v>0</v>
      </c>
      <c r="AM292" s="1989">
        <v>0</v>
      </c>
      <c r="AN292" s="1989">
        <v>0</v>
      </c>
      <c r="AO292" s="1989">
        <v>733</v>
      </c>
      <c r="AP292" s="1989">
        <v>2062</v>
      </c>
      <c r="AQ292" s="1989">
        <v>1729</v>
      </c>
      <c r="AR292" s="1989">
        <v>333</v>
      </c>
      <c r="AS292" s="1989">
        <v>829</v>
      </c>
      <c r="AT292" s="1988">
        <v>3690</v>
      </c>
      <c r="AU292" s="1991"/>
      <c r="AV292" s="1991"/>
      <c r="AX292" s="1992"/>
      <c r="AY292" s="1992"/>
      <c r="AZ292" s="1992"/>
      <c r="BA292" s="1992"/>
      <c r="BB292" s="1992"/>
      <c r="BD292" s="1992"/>
      <c r="BE292" s="1992"/>
      <c r="BG292" s="1992"/>
      <c r="BI292" s="1992"/>
      <c r="BJ292" s="1992"/>
      <c r="BK292" s="1992"/>
    </row>
    <row r="293" spans="1:63" ht="12.75" x14ac:dyDescent="0.2">
      <c r="A293" s="1984">
        <v>286</v>
      </c>
      <c r="B293" s="1995" t="s">
        <v>482</v>
      </c>
      <c r="C293" s="1994" t="s">
        <v>483</v>
      </c>
      <c r="D293" s="1987">
        <v>1016741</v>
      </c>
      <c r="E293" s="1988">
        <v>1042685000</v>
      </c>
      <c r="F293" s="1989">
        <v>420233662</v>
      </c>
      <c r="G293" s="1989">
        <v>-6454473</v>
      </c>
      <c r="H293" s="1989">
        <v>10016621</v>
      </c>
      <c r="I293" s="1989">
        <v>3562148</v>
      </c>
      <c r="J293" s="1989">
        <v>-13108751</v>
      </c>
      <c r="K293" s="1989">
        <v>0</v>
      </c>
      <c r="L293" s="1989">
        <v>0</v>
      </c>
      <c r="M293" s="1989">
        <v>-100000</v>
      </c>
      <c r="N293" s="1989">
        <v>-10552924</v>
      </c>
      <c r="O293" s="1989">
        <v>-576729</v>
      </c>
      <c r="P293" s="1989">
        <v>-373879</v>
      </c>
      <c r="Q293" s="1989">
        <v>0</v>
      </c>
      <c r="R293" s="1989">
        <v>0</v>
      </c>
      <c r="S293" s="1989">
        <v>0</v>
      </c>
      <c r="T293" s="1989">
        <v>0</v>
      </c>
      <c r="U293" s="1989">
        <v>0</v>
      </c>
      <c r="V293" s="1989">
        <v>0</v>
      </c>
      <c r="W293" s="1989">
        <v>-14494</v>
      </c>
      <c r="X293" s="1989">
        <v>-25652</v>
      </c>
      <c r="Y293" s="1989">
        <v>-81159</v>
      </c>
      <c r="Z293" s="1989">
        <v>398901164</v>
      </c>
      <c r="AA293" s="1989">
        <v>-3000000</v>
      </c>
      <c r="AB293" s="1990"/>
      <c r="AC293" s="1989">
        <v>650</v>
      </c>
      <c r="AD293" s="1989">
        <v>0</v>
      </c>
      <c r="AE293" s="1989">
        <v>0</v>
      </c>
      <c r="AF293" s="1989">
        <v>0</v>
      </c>
      <c r="AG293" s="1989">
        <v>1749</v>
      </c>
      <c r="AH293" s="1989">
        <v>263</v>
      </c>
      <c r="AI293" s="1989">
        <v>62</v>
      </c>
      <c r="AJ293" s="1989">
        <v>0</v>
      </c>
      <c r="AK293" s="1989">
        <v>0</v>
      </c>
      <c r="AL293" s="1989">
        <v>0</v>
      </c>
      <c r="AM293" s="1989">
        <v>0</v>
      </c>
      <c r="AN293" s="1989">
        <v>73</v>
      </c>
      <c r="AO293" s="1989">
        <v>5742</v>
      </c>
      <c r="AP293" s="1989">
        <v>3514</v>
      </c>
      <c r="AQ293" s="1989">
        <v>2013</v>
      </c>
      <c r="AR293" s="1989">
        <v>1501</v>
      </c>
      <c r="AS293" s="1989">
        <v>5921</v>
      </c>
      <c r="AT293" s="1988">
        <v>15930</v>
      </c>
      <c r="AU293" s="1991"/>
      <c r="AV293" s="1991"/>
      <c r="AX293" s="1992"/>
      <c r="AY293" s="1992"/>
      <c r="AZ293" s="1992"/>
      <c r="BA293" s="1992"/>
      <c r="BB293" s="1992"/>
      <c r="BD293" s="1992"/>
      <c r="BE293" s="1992"/>
      <c r="BG293" s="1992"/>
      <c r="BI293" s="1992"/>
      <c r="BJ293" s="1992"/>
      <c r="BK293" s="1992"/>
    </row>
    <row r="294" spans="1:63" ht="12.75" x14ac:dyDescent="0.2">
      <c r="A294" s="1984">
        <v>287</v>
      </c>
      <c r="B294" s="1995" t="s">
        <v>484</v>
      </c>
      <c r="C294" s="1994" t="s">
        <v>485</v>
      </c>
      <c r="D294" s="1987">
        <v>442753</v>
      </c>
      <c r="E294" s="1988">
        <v>370233000</v>
      </c>
      <c r="F294" s="1989">
        <v>189120395</v>
      </c>
      <c r="G294" s="1989">
        <v>-4436165</v>
      </c>
      <c r="H294" s="1989">
        <v>4508052</v>
      </c>
      <c r="I294" s="1989">
        <v>71887</v>
      </c>
      <c r="J294" s="1989">
        <v>-4762310</v>
      </c>
      <c r="K294" s="1989">
        <v>-62622</v>
      </c>
      <c r="L294" s="1989">
        <v>-509</v>
      </c>
      <c r="M294" s="1989">
        <v>0</v>
      </c>
      <c r="N294" s="1989">
        <v>-3954288</v>
      </c>
      <c r="O294" s="1989">
        <v>-141444</v>
      </c>
      <c r="P294" s="1989">
        <v>-305792</v>
      </c>
      <c r="Q294" s="1989">
        <v>-11257</v>
      </c>
      <c r="R294" s="1989">
        <v>-509</v>
      </c>
      <c r="S294" s="1989">
        <v>0</v>
      </c>
      <c r="T294" s="1989">
        <v>0</v>
      </c>
      <c r="U294" s="1989">
        <v>0</v>
      </c>
      <c r="V294" s="1989">
        <v>0</v>
      </c>
      <c r="W294" s="1989">
        <v>0</v>
      </c>
      <c r="X294" s="1989">
        <v>-49672</v>
      </c>
      <c r="Y294" s="1989">
        <v>-3526</v>
      </c>
      <c r="Z294" s="1989">
        <v>176600353</v>
      </c>
      <c r="AA294" s="1989">
        <v>-3960572</v>
      </c>
      <c r="AB294" s="1990"/>
      <c r="AC294" s="1989">
        <v>304</v>
      </c>
      <c r="AD294" s="1989">
        <v>9</v>
      </c>
      <c r="AE294" s="1989">
        <v>1</v>
      </c>
      <c r="AF294" s="1989">
        <v>0</v>
      </c>
      <c r="AG294" s="1989">
        <v>1237</v>
      </c>
      <c r="AH294" s="1989">
        <v>56</v>
      </c>
      <c r="AI294" s="1989">
        <v>44</v>
      </c>
      <c r="AJ294" s="1989">
        <v>0</v>
      </c>
      <c r="AK294" s="1989">
        <v>1</v>
      </c>
      <c r="AL294" s="1989">
        <v>0</v>
      </c>
      <c r="AM294" s="1989">
        <v>0</v>
      </c>
      <c r="AN294" s="1989">
        <v>0</v>
      </c>
      <c r="AO294" s="1989">
        <v>4486</v>
      </c>
      <c r="AP294" s="1989">
        <v>2181</v>
      </c>
      <c r="AQ294" s="1989">
        <v>1153</v>
      </c>
      <c r="AR294" s="1989">
        <v>1036</v>
      </c>
      <c r="AS294" s="1989">
        <v>3056</v>
      </c>
      <c r="AT294" s="1988">
        <v>9890</v>
      </c>
      <c r="AU294" s="1991"/>
      <c r="AV294" s="1991"/>
      <c r="AX294" s="1992"/>
      <c r="AY294" s="1992"/>
      <c r="AZ294" s="1992"/>
      <c r="BA294" s="1992"/>
      <c r="BB294" s="1992"/>
      <c r="BD294" s="1992"/>
      <c r="BE294" s="1992"/>
      <c r="BG294" s="1992"/>
      <c r="BI294" s="1992"/>
      <c r="BJ294" s="1992"/>
      <c r="BK294" s="1992"/>
    </row>
    <row r="295" spans="1:63" ht="12.75" x14ac:dyDescent="0.2">
      <c r="A295" s="1984">
        <v>288</v>
      </c>
      <c r="B295" s="1995" t="s">
        <v>486</v>
      </c>
      <c r="C295" s="1994" t="s">
        <v>487</v>
      </c>
      <c r="D295" s="1987">
        <v>172841</v>
      </c>
      <c r="E295" s="1988">
        <v>134740000</v>
      </c>
      <c r="F295" s="1989">
        <v>60605803</v>
      </c>
      <c r="G295" s="1989">
        <v>-2393590</v>
      </c>
      <c r="H295" s="1989">
        <v>1439442</v>
      </c>
      <c r="I295" s="1989">
        <v>-954148</v>
      </c>
      <c r="J295" s="1989">
        <v>-4165009</v>
      </c>
      <c r="K295" s="1989">
        <v>-20675</v>
      </c>
      <c r="L295" s="1989">
        <v>-8952</v>
      </c>
      <c r="M295" s="1989">
        <v>0</v>
      </c>
      <c r="N295" s="1989">
        <v>-599552</v>
      </c>
      <c r="O295" s="1989">
        <v>-24905</v>
      </c>
      <c r="P295" s="1989">
        <v>-12848</v>
      </c>
      <c r="Q295" s="1989">
        <v>0</v>
      </c>
      <c r="R295" s="1989">
        <v>-5113</v>
      </c>
      <c r="S295" s="1989">
        <v>-16045</v>
      </c>
      <c r="T295" s="1989">
        <v>0</v>
      </c>
      <c r="U295" s="1989">
        <v>0</v>
      </c>
      <c r="V295" s="1989">
        <v>0</v>
      </c>
      <c r="W295" s="1989">
        <v>0</v>
      </c>
      <c r="X295" s="1989">
        <v>-29904</v>
      </c>
      <c r="Y295" s="1989">
        <v>-6850</v>
      </c>
      <c r="Z295" s="1989">
        <v>54161802</v>
      </c>
      <c r="AA295" s="1989">
        <v>-900000</v>
      </c>
      <c r="AB295" s="1990"/>
      <c r="AC295" s="1989">
        <v>209</v>
      </c>
      <c r="AD295" s="1989">
        <v>4</v>
      </c>
      <c r="AE295" s="1989">
        <v>7</v>
      </c>
      <c r="AF295" s="1989">
        <v>0</v>
      </c>
      <c r="AG295" s="1989">
        <v>182</v>
      </c>
      <c r="AH295" s="1989">
        <v>33</v>
      </c>
      <c r="AI295" s="1989">
        <v>4</v>
      </c>
      <c r="AJ295" s="1989">
        <v>1</v>
      </c>
      <c r="AK295" s="1989">
        <v>5</v>
      </c>
      <c r="AL295" s="1989">
        <v>2</v>
      </c>
      <c r="AM295" s="1989">
        <v>0</v>
      </c>
      <c r="AN295" s="1989">
        <v>0</v>
      </c>
      <c r="AO295" s="1989">
        <v>1725</v>
      </c>
      <c r="AP295" s="1989">
        <v>1240</v>
      </c>
      <c r="AQ295" s="1989">
        <v>714</v>
      </c>
      <c r="AR295" s="1989">
        <v>526</v>
      </c>
      <c r="AS295" s="1989">
        <v>1030</v>
      </c>
      <c r="AT295" s="1988">
        <v>4000</v>
      </c>
      <c r="AU295" s="1991"/>
      <c r="AV295" s="1991"/>
      <c r="AX295" s="1992"/>
      <c r="AY295" s="1992"/>
      <c r="AZ295" s="1992"/>
      <c r="BA295" s="1992"/>
      <c r="BB295" s="1992"/>
      <c r="BD295" s="1992"/>
      <c r="BE295" s="1992"/>
      <c r="BG295" s="1992"/>
      <c r="BI295" s="1992"/>
      <c r="BJ295" s="1992"/>
      <c r="BK295" s="1992"/>
    </row>
    <row r="296" spans="1:63" ht="12.75" x14ac:dyDescent="0.2">
      <c r="A296" s="1984">
        <v>289</v>
      </c>
      <c r="B296" s="1995" t="s">
        <v>488</v>
      </c>
      <c r="C296" s="1994" t="s">
        <v>489</v>
      </c>
      <c r="D296" s="1987">
        <v>138766</v>
      </c>
      <c r="E296" s="1988">
        <v>109949000</v>
      </c>
      <c r="F296" s="1989">
        <v>49933641</v>
      </c>
      <c r="G296" s="1989">
        <v>-1986432</v>
      </c>
      <c r="H296" s="1989">
        <v>1166909</v>
      </c>
      <c r="I296" s="1989">
        <v>-819523</v>
      </c>
      <c r="J296" s="1989">
        <v>-1947890</v>
      </c>
      <c r="K296" s="1989">
        <v>-54968</v>
      </c>
      <c r="L296" s="1989">
        <v>-49925</v>
      </c>
      <c r="M296" s="1989">
        <v>-100000</v>
      </c>
      <c r="N296" s="1989">
        <v>-786695</v>
      </c>
      <c r="O296" s="1989">
        <v>-46345</v>
      </c>
      <c r="P296" s="1989">
        <v>-127165</v>
      </c>
      <c r="Q296" s="1989">
        <v>-169</v>
      </c>
      <c r="R296" s="1989">
        <v>-42445</v>
      </c>
      <c r="S296" s="1989">
        <v>-115726</v>
      </c>
      <c r="T296" s="1989">
        <v>-41003</v>
      </c>
      <c r="U296" s="1989">
        <v>0</v>
      </c>
      <c r="V296" s="1989">
        <v>0</v>
      </c>
      <c r="W296" s="1989">
        <v>0</v>
      </c>
      <c r="X296" s="1989">
        <v>-4970</v>
      </c>
      <c r="Y296" s="1989">
        <v>-12000</v>
      </c>
      <c r="Z296" s="1989">
        <v>45784817</v>
      </c>
      <c r="AA296" s="1989">
        <v>-2021009</v>
      </c>
      <c r="AB296" s="1990"/>
      <c r="AC296" s="1989">
        <v>168</v>
      </c>
      <c r="AD296" s="1989">
        <v>6</v>
      </c>
      <c r="AE296" s="1989">
        <v>29</v>
      </c>
      <c r="AF296" s="1989">
        <v>0</v>
      </c>
      <c r="AG296" s="1989">
        <v>335</v>
      </c>
      <c r="AH296" s="1989">
        <v>77</v>
      </c>
      <c r="AI296" s="1989">
        <v>76</v>
      </c>
      <c r="AJ296" s="1989">
        <v>1</v>
      </c>
      <c r="AK296" s="1989">
        <v>25</v>
      </c>
      <c r="AL296" s="1989">
        <v>19</v>
      </c>
      <c r="AM296" s="1989">
        <v>0</v>
      </c>
      <c r="AN296" s="1989">
        <v>5</v>
      </c>
      <c r="AO296" s="1989">
        <v>1258</v>
      </c>
      <c r="AP296" s="1989">
        <v>1014</v>
      </c>
      <c r="AQ296" s="1989">
        <v>637</v>
      </c>
      <c r="AR296" s="1989">
        <v>377</v>
      </c>
      <c r="AS296" s="1989">
        <v>806</v>
      </c>
      <c r="AT296" s="1988">
        <v>3170</v>
      </c>
      <c r="AU296" s="1991"/>
      <c r="AV296" s="1991"/>
      <c r="AX296" s="1992"/>
      <c r="AY296" s="1992"/>
      <c r="AZ296" s="1992"/>
      <c r="BA296" s="1992"/>
      <c r="BB296" s="1992"/>
      <c r="BD296" s="1992"/>
      <c r="BE296" s="1992"/>
      <c r="BG296" s="1992"/>
      <c r="BI296" s="1992"/>
      <c r="BJ296" s="1992"/>
      <c r="BK296" s="1992"/>
    </row>
    <row r="297" spans="1:63" ht="12.75" x14ac:dyDescent="0.2">
      <c r="A297" s="1984">
        <v>290</v>
      </c>
      <c r="B297" s="1995" t="s">
        <v>490</v>
      </c>
      <c r="C297" s="1994" t="s">
        <v>491</v>
      </c>
      <c r="D297" s="1987">
        <v>179515</v>
      </c>
      <c r="E297" s="1988">
        <v>145019000</v>
      </c>
      <c r="F297" s="1989">
        <v>68723417</v>
      </c>
      <c r="G297" s="1989">
        <v>-1707310</v>
      </c>
      <c r="H297" s="1989">
        <v>1664210</v>
      </c>
      <c r="I297" s="1989">
        <v>-43100</v>
      </c>
      <c r="J297" s="1989">
        <v>-6836889</v>
      </c>
      <c r="K297" s="1989">
        <v>-87750</v>
      </c>
      <c r="L297" s="1989">
        <v>-38218</v>
      </c>
      <c r="M297" s="1989">
        <v>0</v>
      </c>
      <c r="N297" s="1989">
        <v>-1084271</v>
      </c>
      <c r="O297" s="1989">
        <v>-160142</v>
      </c>
      <c r="P297" s="1989">
        <v>-8533</v>
      </c>
      <c r="Q297" s="1989">
        <v>-5484</v>
      </c>
      <c r="R297" s="1989">
        <v>-15021</v>
      </c>
      <c r="S297" s="1989">
        <v>0</v>
      </c>
      <c r="T297" s="1989">
        <v>-521956</v>
      </c>
      <c r="U297" s="1989">
        <v>-521956</v>
      </c>
      <c r="V297" s="1989">
        <v>0</v>
      </c>
      <c r="W297" s="1989">
        <v>0</v>
      </c>
      <c r="X297" s="1989">
        <v>0</v>
      </c>
      <c r="Y297" s="1989">
        <v>-4196</v>
      </c>
      <c r="Z297" s="1989">
        <v>59835857</v>
      </c>
      <c r="AA297" s="1989">
        <v>-780875</v>
      </c>
      <c r="AB297" s="1990"/>
      <c r="AC297" s="1989">
        <v>270</v>
      </c>
      <c r="AD297" s="1989">
        <v>29</v>
      </c>
      <c r="AE297" s="1989">
        <v>31</v>
      </c>
      <c r="AF297" s="1989">
        <v>0</v>
      </c>
      <c r="AG297" s="1989">
        <v>425</v>
      </c>
      <c r="AH297" s="1989">
        <v>123</v>
      </c>
      <c r="AI297" s="1989">
        <v>8</v>
      </c>
      <c r="AJ297" s="1989">
        <v>29</v>
      </c>
      <c r="AK297" s="1989">
        <v>16</v>
      </c>
      <c r="AL297" s="1989">
        <v>0</v>
      </c>
      <c r="AM297" s="1989">
        <v>35</v>
      </c>
      <c r="AN297" s="1989">
        <v>0</v>
      </c>
      <c r="AO297" s="1989">
        <v>1677</v>
      </c>
      <c r="AP297" s="1989">
        <v>886</v>
      </c>
      <c r="AQ297" s="1989">
        <v>527</v>
      </c>
      <c r="AR297" s="1989">
        <v>359</v>
      </c>
      <c r="AS297" s="1989">
        <v>1294</v>
      </c>
      <c r="AT297" s="1988">
        <v>3870</v>
      </c>
      <c r="AU297" s="1991"/>
      <c r="AV297" s="1991"/>
      <c r="AX297" s="1992"/>
      <c r="AY297" s="1992"/>
      <c r="AZ297" s="1992"/>
      <c r="BA297" s="1992"/>
      <c r="BB297" s="1992"/>
      <c r="BD297" s="1992"/>
      <c r="BE297" s="1992"/>
      <c r="BG297" s="1992"/>
      <c r="BI297" s="1992"/>
      <c r="BJ297" s="1992"/>
      <c r="BK297" s="1992"/>
    </row>
    <row r="298" spans="1:63" ht="12.75" x14ac:dyDescent="0.2">
      <c r="A298" s="1984">
        <v>291</v>
      </c>
      <c r="B298" s="1995" t="s">
        <v>492</v>
      </c>
      <c r="C298" s="1994" t="s">
        <v>493</v>
      </c>
      <c r="D298" s="1987">
        <v>451332</v>
      </c>
      <c r="E298" s="1988">
        <v>308472000</v>
      </c>
      <c r="F298" s="1989">
        <v>149455524</v>
      </c>
      <c r="G298" s="1989">
        <v>-8000000</v>
      </c>
      <c r="H298" s="1989">
        <v>3500000</v>
      </c>
      <c r="I298" s="1989">
        <v>-4500000</v>
      </c>
      <c r="J298" s="1989">
        <v>-7424469</v>
      </c>
      <c r="K298" s="1989">
        <v>-66386</v>
      </c>
      <c r="L298" s="1989">
        <v>-9145</v>
      </c>
      <c r="M298" s="1989">
        <v>-500000</v>
      </c>
      <c r="N298" s="1989">
        <v>-5734537</v>
      </c>
      <c r="O298" s="1989">
        <v>-820000</v>
      </c>
      <c r="P298" s="1989">
        <v>-490000</v>
      </c>
      <c r="Q298" s="1989">
        <v>-10000</v>
      </c>
      <c r="R298" s="1989">
        <v>0</v>
      </c>
      <c r="S298" s="1989">
        <v>0</v>
      </c>
      <c r="T298" s="1989">
        <v>0</v>
      </c>
      <c r="U298" s="1989">
        <v>0</v>
      </c>
      <c r="V298" s="1989">
        <v>0</v>
      </c>
      <c r="W298" s="1989">
        <v>-1300</v>
      </c>
      <c r="X298" s="1989">
        <v>-98700</v>
      </c>
      <c r="Y298" s="1989">
        <v>-20000</v>
      </c>
      <c r="Z298" s="1989">
        <v>129780987</v>
      </c>
      <c r="AA298" s="1989">
        <v>-4000000</v>
      </c>
      <c r="AB298" s="1990"/>
      <c r="AC298" s="1989">
        <v>430</v>
      </c>
      <c r="AD298" s="1989">
        <v>6</v>
      </c>
      <c r="AE298" s="1989">
        <v>10</v>
      </c>
      <c r="AF298" s="1989">
        <v>0</v>
      </c>
      <c r="AG298" s="1989">
        <v>681</v>
      </c>
      <c r="AH298" s="1989">
        <v>292</v>
      </c>
      <c r="AI298" s="1989">
        <v>94</v>
      </c>
      <c r="AJ298" s="1989">
        <v>0</v>
      </c>
      <c r="AK298" s="1989">
        <v>0</v>
      </c>
      <c r="AL298" s="1989">
        <v>0</v>
      </c>
      <c r="AM298" s="1989">
        <v>0</v>
      </c>
      <c r="AN298" s="1989">
        <v>0</v>
      </c>
      <c r="AO298" s="1989">
        <v>3644</v>
      </c>
      <c r="AP298" s="1989">
        <v>4352</v>
      </c>
      <c r="AQ298" s="1989">
        <v>3138</v>
      </c>
      <c r="AR298" s="1989">
        <v>1214</v>
      </c>
      <c r="AS298" s="1989">
        <v>2691</v>
      </c>
      <c r="AT298" s="1988">
        <v>10850</v>
      </c>
      <c r="AU298" s="1991"/>
      <c r="AV298" s="1991"/>
      <c r="AX298" s="1992"/>
      <c r="AY298" s="1992"/>
      <c r="AZ298" s="1992"/>
      <c r="BA298" s="1992"/>
      <c r="BB298" s="1992"/>
      <c r="BD298" s="1992"/>
      <c r="BE298" s="1992"/>
      <c r="BG298" s="1992"/>
      <c r="BI298" s="1992"/>
      <c r="BJ298" s="1992"/>
      <c r="BK298" s="1992"/>
    </row>
    <row r="299" spans="1:63" ht="12.75" x14ac:dyDescent="0.2">
      <c r="A299" s="1984">
        <v>292</v>
      </c>
      <c r="B299" s="1995" t="s">
        <v>494</v>
      </c>
      <c r="C299" s="1994" t="s">
        <v>495</v>
      </c>
      <c r="D299" s="1987">
        <v>337320</v>
      </c>
      <c r="E299" s="1988">
        <v>191356000</v>
      </c>
      <c r="F299" s="1989">
        <v>84891505</v>
      </c>
      <c r="G299" s="1989">
        <v>-5878737</v>
      </c>
      <c r="H299" s="1989">
        <v>1850086</v>
      </c>
      <c r="I299" s="1989">
        <v>-4028651</v>
      </c>
      <c r="J299" s="1989">
        <v>-4807558</v>
      </c>
      <c r="K299" s="1989">
        <v>-39896</v>
      </c>
      <c r="L299" s="1989">
        <v>0</v>
      </c>
      <c r="M299" s="1989">
        <v>-37092</v>
      </c>
      <c r="N299" s="1989">
        <v>-2135705</v>
      </c>
      <c r="O299" s="1989">
        <v>-159672</v>
      </c>
      <c r="P299" s="1989">
        <v>-62553</v>
      </c>
      <c r="Q299" s="1989">
        <v>-3417</v>
      </c>
      <c r="R299" s="1989">
        <v>0</v>
      </c>
      <c r="S299" s="1989">
        <v>0</v>
      </c>
      <c r="T299" s="1989">
        <v>0</v>
      </c>
      <c r="U299" s="1989">
        <v>0</v>
      </c>
      <c r="V299" s="1989">
        <v>0</v>
      </c>
      <c r="W299" s="1989">
        <v>0</v>
      </c>
      <c r="X299" s="1989">
        <v>-53317</v>
      </c>
      <c r="Y299" s="1989">
        <v>0</v>
      </c>
      <c r="Z299" s="1989">
        <v>73563644</v>
      </c>
      <c r="AA299" s="1989">
        <v>-1543180</v>
      </c>
      <c r="AB299" s="1990"/>
      <c r="AC299" s="1989">
        <v>366</v>
      </c>
      <c r="AD299" s="1989">
        <v>10</v>
      </c>
      <c r="AE299" s="1989">
        <v>0</v>
      </c>
      <c r="AF299" s="1989">
        <v>25</v>
      </c>
      <c r="AG299" s="1989">
        <v>864</v>
      </c>
      <c r="AH299" s="1989">
        <v>160</v>
      </c>
      <c r="AI299" s="1989">
        <v>38</v>
      </c>
      <c r="AJ299" s="1989">
        <v>8</v>
      </c>
      <c r="AK299" s="1989">
        <v>0</v>
      </c>
      <c r="AL299" s="1989">
        <v>0</v>
      </c>
      <c r="AM299" s="1989">
        <v>0</v>
      </c>
      <c r="AN299" s="1989">
        <v>0</v>
      </c>
      <c r="AO299" s="1989">
        <v>2838</v>
      </c>
      <c r="AP299" s="1989">
        <v>3098</v>
      </c>
      <c r="AQ299" s="1989">
        <v>2099</v>
      </c>
      <c r="AR299" s="1989">
        <v>999</v>
      </c>
      <c r="AS299" s="1989">
        <v>2275</v>
      </c>
      <c r="AT299" s="1988">
        <v>8380</v>
      </c>
      <c r="AU299" s="1991"/>
      <c r="AV299" s="1991"/>
      <c r="AX299" s="1992"/>
      <c r="AY299" s="1992"/>
      <c r="AZ299" s="1992"/>
      <c r="BA299" s="1992"/>
      <c r="BB299" s="1992"/>
      <c r="BD299" s="1992"/>
      <c r="BE299" s="1992"/>
      <c r="BG299" s="1992"/>
      <c r="BI299" s="1992"/>
      <c r="BJ299" s="1992"/>
      <c r="BK299" s="1992"/>
    </row>
    <row r="300" spans="1:63" ht="12.75" x14ac:dyDescent="0.2">
      <c r="A300" s="1984">
        <v>293</v>
      </c>
      <c r="B300" s="1995" t="s">
        <v>496</v>
      </c>
      <c r="C300" s="1994" t="s">
        <v>497</v>
      </c>
      <c r="D300" s="1987">
        <v>294648</v>
      </c>
      <c r="E300" s="1988">
        <v>185863000</v>
      </c>
      <c r="F300" s="1989">
        <v>70800074</v>
      </c>
      <c r="G300" s="1989">
        <v>-5549441</v>
      </c>
      <c r="H300" s="1989">
        <v>1344036</v>
      </c>
      <c r="I300" s="1989">
        <v>-4205405</v>
      </c>
      <c r="J300" s="1989">
        <v>-4817512</v>
      </c>
      <c r="K300" s="1989">
        <v>-47064</v>
      </c>
      <c r="L300" s="1989">
        <v>0</v>
      </c>
      <c r="M300" s="1989">
        <v>-10000</v>
      </c>
      <c r="N300" s="1989">
        <v>-1561560</v>
      </c>
      <c r="O300" s="1989">
        <v>-154273</v>
      </c>
      <c r="P300" s="1989">
        <v>-40039</v>
      </c>
      <c r="Q300" s="1989">
        <v>-2734</v>
      </c>
      <c r="R300" s="1989">
        <v>0</v>
      </c>
      <c r="S300" s="1989">
        <v>0</v>
      </c>
      <c r="T300" s="1989">
        <v>0</v>
      </c>
      <c r="U300" s="1989">
        <v>0</v>
      </c>
      <c r="V300" s="1989">
        <v>0</v>
      </c>
      <c r="W300" s="1989">
        <v>-30000</v>
      </c>
      <c r="X300" s="1989">
        <v>-10000</v>
      </c>
      <c r="Y300" s="1989">
        <v>-15000</v>
      </c>
      <c r="Z300" s="1989">
        <v>59906487</v>
      </c>
      <c r="AA300" s="1989">
        <v>-1059936</v>
      </c>
      <c r="AB300" s="1990"/>
      <c r="AC300" s="1989">
        <v>234</v>
      </c>
      <c r="AD300" s="1989">
        <v>8</v>
      </c>
      <c r="AE300" s="1989">
        <v>0</v>
      </c>
      <c r="AF300" s="1989">
        <v>0</v>
      </c>
      <c r="AG300" s="1989">
        <v>185</v>
      </c>
      <c r="AH300" s="1989">
        <v>35</v>
      </c>
      <c r="AI300" s="1989">
        <v>4</v>
      </c>
      <c r="AJ300" s="1989">
        <v>2</v>
      </c>
      <c r="AK300" s="1989">
        <v>0</v>
      </c>
      <c r="AL300" s="1989">
        <v>0</v>
      </c>
      <c r="AM300" s="1989">
        <v>0</v>
      </c>
      <c r="AN300" s="1989">
        <v>0</v>
      </c>
      <c r="AO300" s="1989">
        <v>1633</v>
      </c>
      <c r="AP300" s="1989">
        <v>2547</v>
      </c>
      <c r="AQ300" s="1989">
        <v>1091</v>
      </c>
      <c r="AR300" s="1989">
        <v>1456</v>
      </c>
      <c r="AS300" s="1989">
        <v>2387</v>
      </c>
      <c r="AT300" s="1988">
        <v>6640</v>
      </c>
      <c r="AU300" s="1991"/>
      <c r="AV300" s="1991"/>
      <c r="AX300" s="1992"/>
      <c r="AY300" s="1992"/>
      <c r="AZ300" s="1992"/>
      <c r="BA300" s="1992"/>
      <c r="BB300" s="1992"/>
      <c r="BD300" s="1992"/>
      <c r="BE300" s="1992"/>
      <c r="BG300" s="1992"/>
      <c r="BI300" s="1992"/>
      <c r="BJ300" s="1992"/>
      <c r="BK300" s="1992"/>
    </row>
    <row r="301" spans="1:63" ht="12.75" x14ac:dyDescent="0.2">
      <c r="A301" s="1984">
        <v>294</v>
      </c>
      <c r="B301" s="1995" t="s">
        <v>498</v>
      </c>
      <c r="C301" s="1994" t="s">
        <v>499</v>
      </c>
      <c r="D301" s="1987">
        <v>462945</v>
      </c>
      <c r="E301" s="1988">
        <v>298266000</v>
      </c>
      <c r="F301" s="1989">
        <v>121495402</v>
      </c>
      <c r="G301" s="1989">
        <v>-3879648</v>
      </c>
      <c r="H301" s="1989">
        <v>2575066</v>
      </c>
      <c r="I301" s="1989">
        <v>-1304582</v>
      </c>
      <c r="J301" s="1989">
        <v>-8468305</v>
      </c>
      <c r="K301" s="1989">
        <v>-30278</v>
      </c>
      <c r="L301" s="1989">
        <v>0</v>
      </c>
      <c r="M301" s="1989">
        <v>-2059</v>
      </c>
      <c r="N301" s="1989">
        <v>-2953432</v>
      </c>
      <c r="O301" s="1989">
        <v>-128276</v>
      </c>
      <c r="P301" s="1989">
        <v>-695742</v>
      </c>
      <c r="Q301" s="1989">
        <v>-1384</v>
      </c>
      <c r="R301" s="1989">
        <v>0</v>
      </c>
      <c r="S301" s="1989">
        <v>0</v>
      </c>
      <c r="T301" s="1989">
        <v>0</v>
      </c>
      <c r="U301" s="1989">
        <v>0</v>
      </c>
      <c r="V301" s="1989">
        <v>0</v>
      </c>
      <c r="W301" s="1989">
        <v>0</v>
      </c>
      <c r="X301" s="1989">
        <v>-28259</v>
      </c>
      <c r="Y301" s="1989">
        <v>-22559</v>
      </c>
      <c r="Z301" s="1989">
        <v>107860526</v>
      </c>
      <c r="AA301" s="1989">
        <v>-1724200</v>
      </c>
      <c r="AB301" s="1990"/>
      <c r="AC301" s="1989">
        <v>335</v>
      </c>
      <c r="AD301" s="1989">
        <v>9</v>
      </c>
      <c r="AE301" s="1989">
        <v>0</v>
      </c>
      <c r="AF301" s="1989">
        <v>0</v>
      </c>
      <c r="AG301" s="1989">
        <v>417</v>
      </c>
      <c r="AH301" s="1989">
        <v>58</v>
      </c>
      <c r="AI301" s="1989">
        <v>20</v>
      </c>
      <c r="AJ301" s="1989">
        <v>9</v>
      </c>
      <c r="AK301" s="1989">
        <v>0</v>
      </c>
      <c r="AL301" s="1989">
        <v>0</v>
      </c>
      <c r="AM301" s="1989">
        <v>0</v>
      </c>
      <c r="AN301" s="1989">
        <v>0</v>
      </c>
      <c r="AO301" s="1989">
        <v>3213</v>
      </c>
      <c r="AP301" s="1989">
        <v>2008</v>
      </c>
      <c r="AQ301" s="1989">
        <v>963</v>
      </c>
      <c r="AR301" s="1989">
        <v>1045</v>
      </c>
      <c r="AS301" s="1989">
        <v>3662</v>
      </c>
      <c r="AT301" s="1988">
        <v>8830</v>
      </c>
      <c r="AU301" s="1991"/>
      <c r="AV301" s="1991"/>
      <c r="AX301" s="1992"/>
      <c r="AY301" s="1992"/>
      <c r="AZ301" s="1992"/>
      <c r="BA301" s="1992"/>
      <c r="BB301" s="1992"/>
      <c r="BD301" s="1992"/>
      <c r="BE301" s="1992"/>
      <c r="BG301" s="1992"/>
      <c r="BI301" s="1992"/>
      <c r="BJ301" s="1992"/>
      <c r="BK301" s="1992"/>
    </row>
    <row r="302" spans="1:63" ht="12.75" x14ac:dyDescent="0.2">
      <c r="A302" s="1984">
        <v>295</v>
      </c>
      <c r="B302" s="1996" t="s">
        <v>631</v>
      </c>
      <c r="C302" s="1994" t="s">
        <v>501</v>
      </c>
      <c r="D302" s="1987">
        <v>294932</v>
      </c>
      <c r="E302" s="1988">
        <v>241240000</v>
      </c>
      <c r="F302" s="1989">
        <v>123889172</v>
      </c>
      <c r="G302" s="1989">
        <v>-3159485</v>
      </c>
      <c r="H302" s="1989">
        <v>3012406</v>
      </c>
      <c r="I302" s="1989">
        <v>-147079</v>
      </c>
      <c r="J302" s="1989">
        <v>-3226394</v>
      </c>
      <c r="K302" s="1989">
        <v>-65365</v>
      </c>
      <c r="L302" s="1989">
        <v>-813</v>
      </c>
      <c r="M302" s="1989">
        <v>0</v>
      </c>
      <c r="N302" s="1989">
        <v>-1452496</v>
      </c>
      <c r="O302" s="1989">
        <v>-23463</v>
      </c>
      <c r="P302" s="1989">
        <v>-752055</v>
      </c>
      <c r="Q302" s="1989">
        <v>-2087</v>
      </c>
      <c r="R302" s="1989">
        <v>0</v>
      </c>
      <c r="S302" s="1989">
        <v>-3557</v>
      </c>
      <c r="T302" s="1989">
        <v>0</v>
      </c>
      <c r="U302" s="1989">
        <v>0</v>
      </c>
      <c r="V302" s="1989">
        <v>0</v>
      </c>
      <c r="W302" s="1989">
        <v>-13622</v>
      </c>
      <c r="X302" s="1989">
        <v>0</v>
      </c>
      <c r="Y302" s="1989">
        <v>-12248</v>
      </c>
      <c r="Z302" s="1989">
        <v>118189993</v>
      </c>
      <c r="AA302" s="1989">
        <v>-1341047</v>
      </c>
      <c r="AB302" s="1990"/>
      <c r="AC302" s="1989">
        <v>174</v>
      </c>
      <c r="AD302" s="1989">
        <v>6</v>
      </c>
      <c r="AE302" s="1989">
        <v>2</v>
      </c>
      <c r="AF302" s="1989">
        <v>0</v>
      </c>
      <c r="AG302" s="1989">
        <v>361</v>
      </c>
      <c r="AH302" s="1989">
        <v>15</v>
      </c>
      <c r="AI302" s="1989">
        <v>24</v>
      </c>
      <c r="AJ302" s="1989">
        <v>1</v>
      </c>
      <c r="AK302" s="1989">
        <v>0</v>
      </c>
      <c r="AL302" s="1989">
        <v>1</v>
      </c>
      <c r="AM302" s="1989">
        <v>0</v>
      </c>
      <c r="AN302" s="1989">
        <v>17</v>
      </c>
      <c r="AO302" s="1989">
        <v>2883</v>
      </c>
      <c r="AP302" s="1989">
        <v>1646</v>
      </c>
      <c r="AQ302" s="1989">
        <v>1136</v>
      </c>
      <c r="AR302" s="1989">
        <v>510</v>
      </c>
      <c r="AS302" s="1989">
        <v>2003</v>
      </c>
      <c r="AT302" s="1988">
        <v>6670</v>
      </c>
      <c r="AU302" s="1991"/>
      <c r="AV302" s="1991"/>
      <c r="AX302" s="1992"/>
      <c r="AY302" s="1992"/>
      <c r="AZ302" s="1992"/>
      <c r="BA302" s="1992"/>
      <c r="BB302" s="1992"/>
      <c r="BD302" s="1992"/>
      <c r="BE302" s="1992"/>
      <c r="BG302" s="1992"/>
      <c r="BI302" s="1992"/>
      <c r="BJ302" s="1992"/>
      <c r="BK302" s="1992"/>
    </row>
    <row r="303" spans="1:63" ht="12.75" x14ac:dyDescent="0.2">
      <c r="A303" s="1984">
        <v>296</v>
      </c>
      <c r="B303" s="1995" t="s">
        <v>502</v>
      </c>
      <c r="C303" s="1994" t="s">
        <v>503</v>
      </c>
      <c r="D303" s="1987">
        <v>209611</v>
      </c>
      <c r="E303" s="1988">
        <v>169153000</v>
      </c>
      <c r="F303" s="1989">
        <v>76936241</v>
      </c>
      <c r="G303" s="1989">
        <v>-2285424.31</v>
      </c>
      <c r="H303" s="1989">
        <v>1877617.02</v>
      </c>
      <c r="I303" s="1989">
        <v>-407807.29000000004</v>
      </c>
      <c r="J303" s="1989">
        <v>-4137165.17</v>
      </c>
      <c r="K303" s="1989">
        <v>-60365.62</v>
      </c>
      <c r="L303" s="1989">
        <v>-8604.33</v>
      </c>
      <c r="M303" s="1989">
        <v>-100000</v>
      </c>
      <c r="N303" s="1989">
        <v>-1576718.86</v>
      </c>
      <c r="O303" s="1989">
        <v>-6856.88</v>
      </c>
      <c r="P303" s="1989">
        <v>-90893.86</v>
      </c>
      <c r="Q303" s="1989">
        <v>0</v>
      </c>
      <c r="R303" s="1989">
        <v>-12418.4</v>
      </c>
      <c r="S303" s="1989">
        <v>0</v>
      </c>
      <c r="T303" s="1989">
        <v>0</v>
      </c>
      <c r="U303" s="1989">
        <v>0</v>
      </c>
      <c r="V303" s="1989">
        <v>0</v>
      </c>
      <c r="W303" s="1989">
        <v>0</v>
      </c>
      <c r="X303" s="1989">
        <v>-30000</v>
      </c>
      <c r="Y303" s="1989">
        <v>-10000</v>
      </c>
      <c r="Z303" s="1989">
        <v>70145410.590000004</v>
      </c>
      <c r="AA303" s="1989">
        <v>-2164566</v>
      </c>
      <c r="AB303" s="1990"/>
      <c r="AC303" s="1989">
        <v>267</v>
      </c>
      <c r="AD303" s="1989">
        <v>14</v>
      </c>
      <c r="AE303" s="1989">
        <v>8</v>
      </c>
      <c r="AF303" s="1989">
        <v>1</v>
      </c>
      <c r="AG303" s="1989">
        <v>310</v>
      </c>
      <c r="AH303" s="1989">
        <v>34</v>
      </c>
      <c r="AI303" s="1989">
        <v>23</v>
      </c>
      <c r="AJ303" s="1989">
        <v>0</v>
      </c>
      <c r="AK303" s="1989">
        <v>9</v>
      </c>
      <c r="AL303" s="1989">
        <v>0</v>
      </c>
      <c r="AM303" s="1989">
        <v>0</v>
      </c>
      <c r="AN303" s="1989">
        <v>0</v>
      </c>
      <c r="AO303" s="1989">
        <v>2004</v>
      </c>
      <c r="AP303" s="1989">
        <v>1489</v>
      </c>
      <c r="AQ303" s="1989">
        <v>875</v>
      </c>
      <c r="AR303" s="1989">
        <v>614</v>
      </c>
      <c r="AS303" s="1989">
        <v>1178</v>
      </c>
      <c r="AT303" s="1988">
        <v>4710</v>
      </c>
      <c r="AU303" s="1991"/>
      <c r="AV303" s="1991"/>
      <c r="AX303" s="1992"/>
      <c r="AY303" s="1992"/>
      <c r="AZ303" s="1992"/>
      <c r="BA303" s="1992"/>
      <c r="BB303" s="1992"/>
      <c r="BD303" s="1992"/>
      <c r="BE303" s="1992"/>
      <c r="BG303" s="1992"/>
      <c r="BI303" s="1992"/>
      <c r="BJ303" s="1992"/>
      <c r="BK303" s="1992"/>
    </row>
    <row r="304" spans="1:63" ht="12.75" x14ac:dyDescent="0.2">
      <c r="A304" s="1984">
        <v>297</v>
      </c>
      <c r="B304" s="1995" t="s">
        <v>504</v>
      </c>
      <c r="C304" s="1994" t="s">
        <v>505</v>
      </c>
      <c r="D304" s="1987">
        <v>166600</v>
      </c>
      <c r="E304" s="1988">
        <v>148755000</v>
      </c>
      <c r="F304" s="1989">
        <v>71276578</v>
      </c>
      <c r="G304" s="1989">
        <v>-1338098</v>
      </c>
      <c r="H304" s="1989">
        <v>1893402</v>
      </c>
      <c r="I304" s="1989">
        <v>555304</v>
      </c>
      <c r="J304" s="1989">
        <v>-3108004</v>
      </c>
      <c r="K304" s="1989">
        <v>0</v>
      </c>
      <c r="L304" s="1989">
        <v>0</v>
      </c>
      <c r="M304" s="1989">
        <v>-13146</v>
      </c>
      <c r="N304" s="1989">
        <v>-3363080</v>
      </c>
      <c r="O304" s="1989">
        <v>-278213</v>
      </c>
      <c r="P304" s="1989">
        <v>-102316</v>
      </c>
      <c r="Q304" s="1989">
        <v>0</v>
      </c>
      <c r="R304" s="1989">
        <v>0</v>
      </c>
      <c r="S304" s="1989">
        <v>0</v>
      </c>
      <c r="T304" s="1989">
        <v>0</v>
      </c>
      <c r="U304" s="1989">
        <v>0</v>
      </c>
      <c r="V304" s="1989">
        <v>0</v>
      </c>
      <c r="W304" s="1989">
        <v>0</v>
      </c>
      <c r="X304" s="1989">
        <v>-37959</v>
      </c>
      <c r="Y304" s="1989">
        <v>-13553</v>
      </c>
      <c r="Z304" s="1989">
        <v>64915611</v>
      </c>
      <c r="AA304" s="1989">
        <v>-728146</v>
      </c>
      <c r="AB304" s="1990"/>
      <c r="AC304" s="1989">
        <v>135</v>
      </c>
      <c r="AD304" s="1989">
        <v>0</v>
      </c>
      <c r="AE304" s="1989">
        <v>0</v>
      </c>
      <c r="AF304" s="1989">
        <v>1</v>
      </c>
      <c r="AG304" s="1989">
        <v>643</v>
      </c>
      <c r="AH304" s="1989">
        <v>72</v>
      </c>
      <c r="AI304" s="1989">
        <v>6</v>
      </c>
      <c r="AJ304" s="1989">
        <v>0</v>
      </c>
      <c r="AK304" s="1989">
        <v>0</v>
      </c>
      <c r="AL304" s="1989">
        <v>0</v>
      </c>
      <c r="AM304" s="1989">
        <v>0</v>
      </c>
      <c r="AN304" s="1989">
        <v>586</v>
      </c>
      <c r="AO304" s="1989">
        <v>1802</v>
      </c>
      <c r="AP304" s="1989">
        <v>651</v>
      </c>
      <c r="AQ304" s="1989">
        <v>294</v>
      </c>
      <c r="AR304" s="1989">
        <v>357</v>
      </c>
      <c r="AS304" s="1989">
        <v>826</v>
      </c>
      <c r="AT304" s="1988">
        <v>3340</v>
      </c>
      <c r="AU304" s="1991"/>
      <c r="AV304" s="1991"/>
      <c r="AX304" s="1992"/>
      <c r="AY304" s="1992"/>
      <c r="AZ304" s="1992"/>
      <c r="BA304" s="1992"/>
      <c r="BB304" s="1992"/>
      <c r="BD304" s="1992"/>
      <c r="BE304" s="1992"/>
      <c r="BG304" s="1992"/>
      <c r="BI304" s="1992"/>
      <c r="BJ304" s="1992"/>
      <c r="BK304" s="1992"/>
    </row>
    <row r="305" spans="1:63" ht="12.75" x14ac:dyDescent="0.2">
      <c r="A305" s="1984">
        <v>298</v>
      </c>
      <c r="B305" s="1995" t="s">
        <v>506</v>
      </c>
      <c r="C305" s="1994" t="s">
        <v>507</v>
      </c>
      <c r="D305" s="1987">
        <v>202129</v>
      </c>
      <c r="E305" s="1988">
        <v>77679000</v>
      </c>
      <c r="F305" s="1989">
        <v>34524325</v>
      </c>
      <c r="G305" s="1989">
        <v>-3309504</v>
      </c>
      <c r="H305" s="1989">
        <v>719244</v>
      </c>
      <c r="I305" s="1989">
        <v>-2590260</v>
      </c>
      <c r="J305" s="1989">
        <v>-2202780</v>
      </c>
      <c r="K305" s="1989">
        <v>-64773</v>
      </c>
      <c r="L305" s="1989">
        <v>-18513</v>
      </c>
      <c r="M305" s="1989">
        <v>-5000</v>
      </c>
      <c r="N305" s="1989">
        <v>-1060262</v>
      </c>
      <c r="O305" s="1989">
        <v>-65716</v>
      </c>
      <c r="P305" s="1989">
        <v>-5400</v>
      </c>
      <c r="Q305" s="1989">
        <v>-204</v>
      </c>
      <c r="R305" s="1989">
        <v>0</v>
      </c>
      <c r="S305" s="1989">
        <v>0</v>
      </c>
      <c r="T305" s="1989">
        <v>-140090</v>
      </c>
      <c r="U305" s="1989">
        <v>-140090</v>
      </c>
      <c r="V305" s="1989">
        <v>0</v>
      </c>
      <c r="W305" s="1989">
        <v>0</v>
      </c>
      <c r="X305" s="1989">
        <v>-11742</v>
      </c>
      <c r="Y305" s="1989">
        <v>-4255</v>
      </c>
      <c r="Z305" s="1989">
        <v>28355330</v>
      </c>
      <c r="AA305" s="1989">
        <v>-524787</v>
      </c>
      <c r="AB305" s="1990"/>
      <c r="AC305" s="1989">
        <v>283</v>
      </c>
      <c r="AD305" s="1989">
        <v>18</v>
      </c>
      <c r="AE305" s="1989">
        <v>10</v>
      </c>
      <c r="AF305" s="1989">
        <v>1</v>
      </c>
      <c r="AG305" s="1989">
        <v>535</v>
      </c>
      <c r="AH305" s="1989">
        <v>56</v>
      </c>
      <c r="AI305" s="1989">
        <v>2</v>
      </c>
      <c r="AJ305" s="1989">
        <v>1</v>
      </c>
      <c r="AK305" s="1989">
        <v>0</v>
      </c>
      <c r="AL305" s="1989">
        <v>0</v>
      </c>
      <c r="AM305" s="1989">
        <v>15</v>
      </c>
      <c r="AN305" s="1989">
        <v>14</v>
      </c>
      <c r="AO305" s="1989">
        <v>1368</v>
      </c>
      <c r="AP305" s="1989">
        <v>2646</v>
      </c>
      <c r="AQ305" s="1989">
        <v>2270</v>
      </c>
      <c r="AR305" s="1989">
        <v>376</v>
      </c>
      <c r="AS305" s="1989">
        <v>1374</v>
      </c>
      <c r="AT305" s="1988">
        <v>5400</v>
      </c>
      <c r="AU305" s="1991"/>
      <c r="AV305" s="1991"/>
      <c r="AX305" s="1992"/>
      <c r="AY305" s="1992"/>
      <c r="AZ305" s="1992"/>
      <c r="BA305" s="1992"/>
      <c r="BB305" s="1992"/>
      <c r="BD305" s="1992"/>
      <c r="BE305" s="1992"/>
      <c r="BG305" s="1992"/>
      <c r="BI305" s="1992"/>
      <c r="BJ305" s="1992"/>
      <c r="BK305" s="1992"/>
    </row>
    <row r="306" spans="1:63" ht="12.75" x14ac:dyDescent="0.2">
      <c r="A306" s="1984">
        <v>299</v>
      </c>
      <c r="B306" s="1995" t="s">
        <v>508</v>
      </c>
      <c r="C306" s="1994" t="s">
        <v>509</v>
      </c>
      <c r="D306" s="1987">
        <v>177540</v>
      </c>
      <c r="E306" s="1988">
        <v>109138000</v>
      </c>
      <c r="F306" s="1989">
        <v>45930619</v>
      </c>
      <c r="G306" s="1989">
        <v>-2231748</v>
      </c>
      <c r="H306" s="1989">
        <v>1034025</v>
      </c>
      <c r="I306" s="1989">
        <v>-1197723</v>
      </c>
      <c r="J306" s="1989">
        <v>-4956132</v>
      </c>
      <c r="K306" s="1989">
        <v>-45008</v>
      </c>
      <c r="L306" s="1989">
        <v>-7107</v>
      </c>
      <c r="M306" s="1989">
        <v>0</v>
      </c>
      <c r="N306" s="1989">
        <v>-842691</v>
      </c>
      <c r="O306" s="1989">
        <v>-67148</v>
      </c>
      <c r="P306" s="1989">
        <v>-491296</v>
      </c>
      <c r="Q306" s="1989">
        <v>0</v>
      </c>
      <c r="R306" s="1989">
        <v>-4264</v>
      </c>
      <c r="S306" s="1989">
        <v>-6699</v>
      </c>
      <c r="T306" s="1989">
        <v>0</v>
      </c>
      <c r="U306" s="1989">
        <v>0</v>
      </c>
      <c r="V306" s="1989">
        <v>0</v>
      </c>
      <c r="W306" s="1989">
        <v>0</v>
      </c>
      <c r="X306" s="1989">
        <v>-12960</v>
      </c>
      <c r="Y306" s="1989">
        <v>-405</v>
      </c>
      <c r="Z306" s="1989">
        <v>38299186</v>
      </c>
      <c r="AA306" s="1989">
        <v>-312000</v>
      </c>
      <c r="AB306" s="1990"/>
      <c r="AC306" s="1989">
        <v>269</v>
      </c>
      <c r="AD306" s="1989">
        <v>26</v>
      </c>
      <c r="AE306" s="1989">
        <v>4</v>
      </c>
      <c r="AF306" s="1989">
        <v>0</v>
      </c>
      <c r="AG306" s="1989">
        <v>231</v>
      </c>
      <c r="AH306" s="1989">
        <v>59</v>
      </c>
      <c r="AI306" s="1989">
        <v>15</v>
      </c>
      <c r="AJ306" s="1989">
        <v>0</v>
      </c>
      <c r="AK306" s="1989">
        <v>5</v>
      </c>
      <c r="AL306" s="1989">
        <v>2</v>
      </c>
      <c r="AM306" s="1989">
        <v>0</v>
      </c>
      <c r="AN306" s="1989">
        <v>0</v>
      </c>
      <c r="AO306" s="1989">
        <v>1633</v>
      </c>
      <c r="AP306" s="1989">
        <v>1162</v>
      </c>
      <c r="AQ306" s="1989">
        <v>638</v>
      </c>
      <c r="AR306" s="1989">
        <v>524</v>
      </c>
      <c r="AS306" s="1989">
        <v>1102</v>
      </c>
      <c r="AT306" s="1988">
        <v>3900</v>
      </c>
      <c r="AU306" s="1991"/>
      <c r="AV306" s="1991"/>
      <c r="AX306" s="1992"/>
      <c r="AY306" s="1992"/>
      <c r="AZ306" s="1992"/>
      <c r="BA306" s="1992"/>
      <c r="BB306" s="1992"/>
      <c r="BD306" s="1992"/>
      <c r="BE306" s="1992"/>
      <c r="BG306" s="1992"/>
      <c r="BI306" s="1992"/>
      <c r="BJ306" s="1992"/>
      <c r="BK306" s="1992"/>
    </row>
    <row r="307" spans="1:63" ht="12.75" x14ac:dyDescent="0.2">
      <c r="A307" s="1984">
        <v>300</v>
      </c>
      <c r="B307" s="1995" t="s">
        <v>510</v>
      </c>
      <c r="C307" s="1994" t="s">
        <v>511</v>
      </c>
      <c r="D307" s="1987">
        <v>214771</v>
      </c>
      <c r="E307" s="1988">
        <v>88651000</v>
      </c>
      <c r="F307" s="1989">
        <v>39453605</v>
      </c>
      <c r="G307" s="1989">
        <v>-4887801</v>
      </c>
      <c r="H307" s="1989">
        <v>733330</v>
      </c>
      <c r="I307" s="1989">
        <v>-4154471</v>
      </c>
      <c r="J307" s="1989">
        <v>-2674154</v>
      </c>
      <c r="K307" s="1989">
        <v>-122963</v>
      </c>
      <c r="L307" s="1989">
        <v>-68269</v>
      </c>
      <c r="M307" s="1989">
        <v>-18000</v>
      </c>
      <c r="N307" s="1989">
        <v>-702663</v>
      </c>
      <c r="O307" s="1989">
        <v>-82599</v>
      </c>
      <c r="P307" s="1989">
        <v>-10055</v>
      </c>
      <c r="Q307" s="1989">
        <v>0</v>
      </c>
      <c r="R307" s="1989">
        <v>-10395</v>
      </c>
      <c r="S307" s="1989">
        <v>-13843</v>
      </c>
      <c r="T307" s="1989">
        <v>0</v>
      </c>
      <c r="U307" s="1989">
        <v>0</v>
      </c>
      <c r="V307" s="1989">
        <v>0</v>
      </c>
      <c r="W307" s="1989">
        <v>0</v>
      </c>
      <c r="X307" s="1989">
        <v>-1536</v>
      </c>
      <c r="Y307" s="1989">
        <v>-8913</v>
      </c>
      <c r="Z307" s="1989">
        <v>31585744</v>
      </c>
      <c r="AA307" s="1989">
        <v>-65000</v>
      </c>
      <c r="AB307" s="1990"/>
      <c r="AC307" s="1989">
        <v>294</v>
      </c>
      <c r="AD307" s="1989">
        <v>44</v>
      </c>
      <c r="AE307" s="1989">
        <v>38</v>
      </c>
      <c r="AF307" s="1989">
        <v>0</v>
      </c>
      <c r="AG307" s="1989">
        <v>157</v>
      </c>
      <c r="AH307" s="1989">
        <v>14</v>
      </c>
      <c r="AI307" s="1989">
        <v>3</v>
      </c>
      <c r="AJ307" s="1989">
        <v>0</v>
      </c>
      <c r="AK307" s="1989">
        <v>15</v>
      </c>
      <c r="AL307" s="1989">
        <v>5</v>
      </c>
      <c r="AM307" s="1989">
        <v>0</v>
      </c>
      <c r="AN307" s="1989">
        <v>23</v>
      </c>
      <c r="AO307" s="1989">
        <v>1506</v>
      </c>
      <c r="AP307" s="1989">
        <v>2691</v>
      </c>
      <c r="AQ307" s="1989">
        <v>1730</v>
      </c>
      <c r="AR307" s="1989">
        <v>961</v>
      </c>
      <c r="AS307" s="1989">
        <v>1318</v>
      </c>
      <c r="AT307" s="1988">
        <v>5660</v>
      </c>
      <c r="AU307" s="1991"/>
      <c r="AV307" s="1991"/>
      <c r="AX307" s="1992"/>
      <c r="AY307" s="1992"/>
      <c r="AZ307" s="1992"/>
      <c r="BA307" s="1992"/>
      <c r="BB307" s="1992"/>
      <c r="BD307" s="1992"/>
      <c r="BE307" s="1992"/>
      <c r="BG307" s="1992"/>
      <c r="BI307" s="1992"/>
      <c r="BJ307" s="1992"/>
      <c r="BK307" s="1992"/>
    </row>
    <row r="308" spans="1:63" ht="12.75" x14ac:dyDescent="0.2">
      <c r="A308" s="1984">
        <v>301</v>
      </c>
      <c r="B308" s="1995" t="s">
        <v>512</v>
      </c>
      <c r="C308" s="1994" t="s">
        <v>513</v>
      </c>
      <c r="D308" s="1987">
        <v>109064</v>
      </c>
      <c r="E308" s="1988">
        <v>70836000</v>
      </c>
      <c r="F308" s="1989">
        <v>34780211</v>
      </c>
      <c r="G308" s="1989">
        <v>-2003651</v>
      </c>
      <c r="H308" s="1989">
        <v>805474</v>
      </c>
      <c r="I308" s="1989">
        <v>-1198177</v>
      </c>
      <c r="J308" s="1989">
        <v>-1782037</v>
      </c>
      <c r="K308" s="1989">
        <v>-8428</v>
      </c>
      <c r="L308" s="1989">
        <v>-4386</v>
      </c>
      <c r="M308" s="1989">
        <v>0</v>
      </c>
      <c r="N308" s="1989">
        <v>-904335</v>
      </c>
      <c r="O308" s="1989">
        <v>-89786</v>
      </c>
      <c r="P308" s="1989">
        <v>-11817</v>
      </c>
      <c r="Q308" s="1989">
        <v>-378</v>
      </c>
      <c r="R308" s="1989">
        <v>0</v>
      </c>
      <c r="S308" s="1989">
        <v>0</v>
      </c>
      <c r="T308" s="1989">
        <v>0</v>
      </c>
      <c r="U308" s="1989">
        <v>0</v>
      </c>
      <c r="V308" s="1989">
        <v>0</v>
      </c>
      <c r="W308" s="1989">
        <v>0</v>
      </c>
      <c r="X308" s="1989">
        <v>-57109</v>
      </c>
      <c r="Y308" s="1989">
        <v>0</v>
      </c>
      <c r="Z308" s="1989">
        <v>30723758</v>
      </c>
      <c r="AA308" s="1989">
        <v>-120000</v>
      </c>
      <c r="AB308" s="1990"/>
      <c r="AC308" s="1989">
        <v>138</v>
      </c>
      <c r="AD308" s="1989">
        <v>3</v>
      </c>
      <c r="AE308" s="1989">
        <v>2</v>
      </c>
      <c r="AF308" s="1989">
        <v>0</v>
      </c>
      <c r="AG308" s="1989">
        <v>233</v>
      </c>
      <c r="AH308" s="1989">
        <v>79</v>
      </c>
      <c r="AI308" s="1989">
        <v>3</v>
      </c>
      <c r="AJ308" s="1989">
        <v>2</v>
      </c>
      <c r="AK308" s="1989">
        <v>0</v>
      </c>
      <c r="AL308" s="1989">
        <v>0</v>
      </c>
      <c r="AM308" s="1989">
        <v>0</v>
      </c>
      <c r="AN308" s="1989">
        <v>0</v>
      </c>
      <c r="AO308" s="1989">
        <v>963</v>
      </c>
      <c r="AP308" s="1989">
        <v>1041</v>
      </c>
      <c r="AQ308" s="1989">
        <v>601</v>
      </c>
      <c r="AR308" s="1989">
        <v>440</v>
      </c>
      <c r="AS308" s="1989">
        <v>584</v>
      </c>
      <c r="AT308" s="1988">
        <v>2630</v>
      </c>
      <c r="AU308" s="1991"/>
      <c r="AV308" s="1991"/>
      <c r="AX308" s="1992"/>
      <c r="AY308" s="1992"/>
      <c r="AZ308" s="1992"/>
      <c r="BA308" s="1992"/>
      <c r="BB308" s="1992"/>
      <c r="BD308" s="1992"/>
      <c r="BE308" s="1992"/>
      <c r="BG308" s="1992"/>
      <c r="BI308" s="1992"/>
      <c r="BJ308" s="1992"/>
      <c r="BK308" s="1992"/>
    </row>
    <row r="309" spans="1:63" ht="12.75" x14ac:dyDescent="0.2">
      <c r="A309" s="1984">
        <v>302</v>
      </c>
      <c r="B309" s="1995" t="s">
        <v>514</v>
      </c>
      <c r="C309" s="1994" t="s">
        <v>515</v>
      </c>
      <c r="D309" s="1987">
        <v>152235</v>
      </c>
      <c r="E309" s="1988">
        <v>148466000</v>
      </c>
      <c r="F309" s="1989">
        <v>68536335</v>
      </c>
      <c r="G309" s="1989">
        <v>-1331746</v>
      </c>
      <c r="H309" s="1989">
        <v>1705112</v>
      </c>
      <c r="I309" s="1989">
        <v>373366</v>
      </c>
      <c r="J309" s="1989">
        <v>-5652892</v>
      </c>
      <c r="K309" s="1989">
        <v>-45823</v>
      </c>
      <c r="L309" s="1989">
        <v>0</v>
      </c>
      <c r="M309" s="1989">
        <v>-101630</v>
      </c>
      <c r="N309" s="1989">
        <v>-640486</v>
      </c>
      <c r="O309" s="1989">
        <v>-257372</v>
      </c>
      <c r="P309" s="1989">
        <v>-48481</v>
      </c>
      <c r="Q309" s="1989">
        <v>-4832</v>
      </c>
      <c r="R309" s="1989">
        <v>0</v>
      </c>
      <c r="S309" s="1989">
        <v>0</v>
      </c>
      <c r="T309" s="1989">
        <v>0</v>
      </c>
      <c r="U309" s="1989">
        <v>0</v>
      </c>
      <c r="V309" s="1989">
        <v>0</v>
      </c>
      <c r="W309" s="1989">
        <v>0</v>
      </c>
      <c r="X309" s="1989">
        <v>-13108</v>
      </c>
      <c r="Y309" s="1989">
        <v>-3612</v>
      </c>
      <c r="Z309" s="1989">
        <v>61806203</v>
      </c>
      <c r="AA309" s="1989">
        <v>-991145</v>
      </c>
      <c r="AB309" s="1990"/>
      <c r="AC309" s="1989">
        <v>188</v>
      </c>
      <c r="AD309" s="1989">
        <v>9</v>
      </c>
      <c r="AE309" s="1989">
        <v>0</v>
      </c>
      <c r="AF309" s="1989">
        <v>1</v>
      </c>
      <c r="AG309" s="1989">
        <v>94</v>
      </c>
      <c r="AH309" s="1989">
        <v>74</v>
      </c>
      <c r="AI309" s="1989">
        <v>11</v>
      </c>
      <c r="AJ309" s="1989">
        <v>7</v>
      </c>
      <c r="AK309" s="1989">
        <v>0</v>
      </c>
      <c r="AL309" s="1989">
        <v>0</v>
      </c>
      <c r="AM309" s="1989">
        <v>0</v>
      </c>
      <c r="AN309" s="1989">
        <v>10</v>
      </c>
      <c r="AO309" s="1989">
        <v>1344</v>
      </c>
      <c r="AP309" s="1989">
        <v>674</v>
      </c>
      <c r="AQ309" s="1989">
        <v>438</v>
      </c>
      <c r="AR309" s="1989">
        <v>236</v>
      </c>
      <c r="AS309" s="1989">
        <v>855</v>
      </c>
      <c r="AT309" s="1988">
        <v>2940</v>
      </c>
      <c r="AU309" s="1991"/>
      <c r="AV309" s="1991"/>
      <c r="AX309" s="1992"/>
      <c r="AY309" s="1992"/>
      <c r="AZ309" s="1992"/>
      <c r="BA309" s="1992"/>
      <c r="BB309" s="1992"/>
      <c r="BD309" s="1992"/>
      <c r="BE309" s="1992"/>
      <c r="BG309" s="1992"/>
      <c r="BI309" s="1992"/>
      <c r="BJ309" s="1992"/>
      <c r="BK309" s="1992"/>
    </row>
    <row r="310" spans="1:63" ht="12.75" x14ac:dyDescent="0.2">
      <c r="A310" s="1984">
        <v>303</v>
      </c>
      <c r="B310" s="1996" t="s">
        <v>613</v>
      </c>
      <c r="C310" s="1994" t="s">
        <v>517</v>
      </c>
      <c r="D310" s="1987">
        <v>257198</v>
      </c>
      <c r="E310" s="1988">
        <v>206477000</v>
      </c>
      <c r="F310" s="1989">
        <v>94830516</v>
      </c>
      <c r="G310" s="1989">
        <v>-2380658</v>
      </c>
      <c r="H310" s="1989">
        <v>2219647</v>
      </c>
      <c r="I310" s="1989">
        <v>-161011</v>
      </c>
      <c r="J310" s="1989">
        <v>-4029751</v>
      </c>
      <c r="K310" s="1989">
        <v>-71160</v>
      </c>
      <c r="L310" s="1989">
        <v>-31351</v>
      </c>
      <c r="M310" s="1989">
        <v>0</v>
      </c>
      <c r="N310" s="1989">
        <v>-1091919</v>
      </c>
      <c r="O310" s="1989">
        <v>-35298</v>
      </c>
      <c r="P310" s="1989">
        <v>-29263</v>
      </c>
      <c r="Q310" s="1989">
        <v>-15152</v>
      </c>
      <c r="R310" s="1989">
        <v>-8095</v>
      </c>
      <c r="S310" s="1989">
        <v>-39906</v>
      </c>
      <c r="T310" s="1989">
        <v>0</v>
      </c>
      <c r="U310" s="1989">
        <v>0</v>
      </c>
      <c r="V310" s="1989">
        <v>0</v>
      </c>
      <c r="W310" s="1989">
        <v>0</v>
      </c>
      <c r="X310" s="1989">
        <v>0</v>
      </c>
      <c r="Y310" s="1989">
        <v>0</v>
      </c>
      <c r="Z310" s="1989">
        <v>89317610</v>
      </c>
      <c r="AA310" s="1989">
        <v>-1400000</v>
      </c>
      <c r="AB310" s="1990"/>
      <c r="AC310" s="1989">
        <v>238</v>
      </c>
      <c r="AD310" s="1989">
        <v>18</v>
      </c>
      <c r="AE310" s="1989">
        <v>9</v>
      </c>
      <c r="AF310" s="1989">
        <v>0</v>
      </c>
      <c r="AG310" s="1989">
        <v>280</v>
      </c>
      <c r="AH310" s="1989">
        <v>29</v>
      </c>
      <c r="AI310" s="1989">
        <v>14</v>
      </c>
      <c r="AJ310" s="1989">
        <v>2</v>
      </c>
      <c r="AK310" s="1989">
        <v>5</v>
      </c>
      <c r="AL310" s="1989">
        <v>17</v>
      </c>
      <c r="AM310" s="1989">
        <v>0</v>
      </c>
      <c r="AN310" s="1989">
        <v>0</v>
      </c>
      <c r="AO310" s="1989">
        <v>2170</v>
      </c>
      <c r="AP310" s="1989">
        <v>1263</v>
      </c>
      <c r="AQ310" s="1989">
        <v>710</v>
      </c>
      <c r="AR310" s="1989">
        <v>553</v>
      </c>
      <c r="AS310" s="1989">
        <v>1855</v>
      </c>
      <c r="AT310" s="1988">
        <v>5370</v>
      </c>
      <c r="AU310" s="1991"/>
      <c r="AV310" s="1991"/>
      <c r="AX310" s="1992"/>
      <c r="AY310" s="1992"/>
      <c r="AZ310" s="1992"/>
      <c r="BA310" s="1992"/>
      <c r="BB310" s="1992"/>
      <c r="BD310" s="1992"/>
      <c r="BE310" s="1992"/>
      <c r="BG310" s="1992"/>
      <c r="BI310" s="1992"/>
      <c r="BJ310" s="1992"/>
      <c r="BK310" s="1992"/>
    </row>
    <row r="311" spans="1:63" ht="12.75" x14ac:dyDescent="0.2">
      <c r="A311" s="1984">
        <v>304</v>
      </c>
      <c r="B311" s="1995" t="s">
        <v>518</v>
      </c>
      <c r="C311" s="1994" t="s">
        <v>519</v>
      </c>
      <c r="D311" s="1987">
        <v>83792</v>
      </c>
      <c r="E311" s="1988">
        <v>31328000</v>
      </c>
      <c r="F311" s="1989">
        <v>13930585</v>
      </c>
      <c r="G311" s="1989">
        <v>-1699705</v>
      </c>
      <c r="H311" s="1989">
        <v>250041</v>
      </c>
      <c r="I311" s="1989">
        <v>-1449664</v>
      </c>
      <c r="J311" s="1989">
        <v>-778232</v>
      </c>
      <c r="K311" s="1989">
        <v>-68880</v>
      </c>
      <c r="L311" s="1989">
        <v>-44606</v>
      </c>
      <c r="M311" s="1989">
        <v>-40000</v>
      </c>
      <c r="N311" s="1989">
        <v>-260378</v>
      </c>
      <c r="O311" s="1989">
        <v>-70187</v>
      </c>
      <c r="P311" s="1989">
        <v>-18697</v>
      </c>
      <c r="Q311" s="1989">
        <v>-6730</v>
      </c>
      <c r="R311" s="1989">
        <v>-16041</v>
      </c>
      <c r="S311" s="1989">
        <v>0</v>
      </c>
      <c r="T311" s="1989">
        <v>0</v>
      </c>
      <c r="U311" s="1989">
        <v>0</v>
      </c>
      <c r="V311" s="1989">
        <v>0</v>
      </c>
      <c r="W311" s="1989">
        <v>-10000</v>
      </c>
      <c r="X311" s="1989">
        <v>-5000</v>
      </c>
      <c r="Y311" s="1989">
        <v>-15381</v>
      </c>
      <c r="Z311" s="1989">
        <v>11146789</v>
      </c>
      <c r="AA311" s="1989">
        <v>-272235</v>
      </c>
      <c r="AB311" s="1990"/>
      <c r="AC311" s="1989">
        <v>166</v>
      </c>
      <c r="AD311" s="1989">
        <v>28</v>
      </c>
      <c r="AE311" s="1989">
        <v>34</v>
      </c>
      <c r="AF311" s="1989">
        <v>0</v>
      </c>
      <c r="AG311" s="1989">
        <v>140</v>
      </c>
      <c r="AH311" s="1989">
        <v>87</v>
      </c>
      <c r="AI311" s="1989">
        <v>1</v>
      </c>
      <c r="AJ311" s="1989">
        <v>6</v>
      </c>
      <c r="AK311" s="1989">
        <v>6</v>
      </c>
      <c r="AL311" s="1989">
        <v>0</v>
      </c>
      <c r="AM311" s="1989">
        <v>0</v>
      </c>
      <c r="AN311" s="1989">
        <v>0</v>
      </c>
      <c r="AO311" s="1989">
        <v>642</v>
      </c>
      <c r="AP311" s="1989">
        <v>908</v>
      </c>
      <c r="AQ311" s="1989">
        <v>670</v>
      </c>
      <c r="AR311" s="1989">
        <v>238</v>
      </c>
      <c r="AS311" s="1989">
        <v>715</v>
      </c>
      <c r="AT311" s="1988">
        <v>2260</v>
      </c>
      <c r="AU311" s="1991"/>
      <c r="AV311" s="1991"/>
      <c r="AX311" s="1992"/>
      <c r="AY311" s="1992"/>
      <c r="AZ311" s="1992"/>
      <c r="BA311" s="1992"/>
      <c r="BB311" s="1992"/>
      <c r="BD311" s="1992"/>
      <c r="BE311" s="1992"/>
      <c r="BG311" s="1992"/>
      <c r="BI311" s="1992"/>
      <c r="BJ311" s="1992"/>
      <c r="BK311" s="1992"/>
    </row>
    <row r="312" spans="1:63" ht="12.75" x14ac:dyDescent="0.2">
      <c r="A312" s="1984">
        <v>305</v>
      </c>
      <c r="B312" s="1995" t="s">
        <v>520</v>
      </c>
      <c r="C312" s="1994" t="s">
        <v>521</v>
      </c>
      <c r="D312" s="1987">
        <v>211340</v>
      </c>
      <c r="E312" s="1988">
        <v>92464000</v>
      </c>
      <c r="F312" s="1989">
        <v>39465917</v>
      </c>
      <c r="G312" s="1989">
        <v>-3947368</v>
      </c>
      <c r="H312" s="1989">
        <v>779085</v>
      </c>
      <c r="I312" s="1989">
        <v>-3168283</v>
      </c>
      <c r="J312" s="1989">
        <v>-3227254</v>
      </c>
      <c r="K312" s="1989">
        <v>-105368</v>
      </c>
      <c r="L312" s="1989">
        <v>-82800</v>
      </c>
      <c r="M312" s="1989">
        <v>0</v>
      </c>
      <c r="N312" s="1989">
        <v>-858183</v>
      </c>
      <c r="O312" s="1989">
        <v>-162841</v>
      </c>
      <c r="P312" s="1989">
        <v>-7873</v>
      </c>
      <c r="Q312" s="1989">
        <v>-1531</v>
      </c>
      <c r="R312" s="1989">
        <v>-54129</v>
      </c>
      <c r="S312" s="1989">
        <v>0</v>
      </c>
      <c r="T312" s="1989">
        <v>0</v>
      </c>
      <c r="U312" s="1989">
        <v>0</v>
      </c>
      <c r="V312" s="1989">
        <v>0</v>
      </c>
      <c r="W312" s="1989">
        <v>-5964</v>
      </c>
      <c r="X312" s="1989">
        <v>-12880</v>
      </c>
      <c r="Y312" s="1989">
        <v>-9475</v>
      </c>
      <c r="Z312" s="1989">
        <v>31769336</v>
      </c>
      <c r="AA312" s="1989">
        <v>-1683775</v>
      </c>
      <c r="AB312" s="1990"/>
      <c r="AC312" s="1989">
        <v>334</v>
      </c>
      <c r="AD312" s="1989">
        <v>26</v>
      </c>
      <c r="AE312" s="1989">
        <v>62</v>
      </c>
      <c r="AF312" s="1989">
        <v>0</v>
      </c>
      <c r="AG312" s="1989">
        <v>355</v>
      </c>
      <c r="AH312" s="1989">
        <v>168</v>
      </c>
      <c r="AI312" s="1989">
        <v>2</v>
      </c>
      <c r="AJ312" s="1989">
        <v>3</v>
      </c>
      <c r="AK312" s="1989">
        <v>41</v>
      </c>
      <c r="AL312" s="1989">
        <v>0</v>
      </c>
      <c r="AM312" s="1989">
        <v>0</v>
      </c>
      <c r="AN312" s="1989">
        <v>0</v>
      </c>
      <c r="AO312" s="1989">
        <v>1420</v>
      </c>
      <c r="AP312" s="1989">
        <v>2450</v>
      </c>
      <c r="AQ312" s="1989">
        <v>1837</v>
      </c>
      <c r="AR312" s="1989">
        <v>613</v>
      </c>
      <c r="AS312" s="1989">
        <v>1609</v>
      </c>
      <c r="AT312" s="1988">
        <v>5580</v>
      </c>
      <c r="AU312" s="1991"/>
      <c r="AV312" s="1991"/>
      <c r="AX312" s="1992"/>
      <c r="AY312" s="1992"/>
      <c r="AZ312" s="1992"/>
      <c r="BA312" s="1992"/>
      <c r="BB312" s="1992"/>
      <c r="BD312" s="1992"/>
      <c r="BE312" s="1992"/>
      <c r="BG312" s="1992"/>
      <c r="BI312" s="1992"/>
      <c r="BJ312" s="1992"/>
      <c r="BK312" s="1992"/>
    </row>
    <row r="313" spans="1:63" ht="12.75" x14ac:dyDescent="0.2">
      <c r="A313" s="1984">
        <v>306</v>
      </c>
      <c r="B313" s="1995" t="s">
        <v>522</v>
      </c>
      <c r="C313" s="1994" t="s">
        <v>523</v>
      </c>
      <c r="D313" s="1987">
        <v>128797</v>
      </c>
      <c r="E313" s="1988">
        <v>78809000</v>
      </c>
      <c r="F313" s="1989">
        <v>38983748</v>
      </c>
      <c r="G313" s="1989">
        <v>-2166124</v>
      </c>
      <c r="H313" s="1989">
        <v>889015</v>
      </c>
      <c r="I313" s="1989">
        <v>-1277109</v>
      </c>
      <c r="J313" s="1989">
        <v>-2415195</v>
      </c>
      <c r="K313" s="1989">
        <v>0</v>
      </c>
      <c r="L313" s="1989">
        <v>-3690</v>
      </c>
      <c r="M313" s="1989">
        <v>-95000</v>
      </c>
      <c r="N313" s="1989">
        <v>-1195606</v>
      </c>
      <c r="O313" s="1989">
        <v>-8966</v>
      </c>
      <c r="P313" s="1989">
        <v>-38313</v>
      </c>
      <c r="Q313" s="1989">
        <v>0</v>
      </c>
      <c r="R313" s="1989">
        <v>0</v>
      </c>
      <c r="S313" s="1989">
        <v>0</v>
      </c>
      <c r="T313" s="1989">
        <v>0</v>
      </c>
      <c r="U313" s="1989">
        <v>0</v>
      </c>
      <c r="V313" s="1989">
        <v>0</v>
      </c>
      <c r="W313" s="1989">
        <v>0</v>
      </c>
      <c r="X313" s="1989">
        <v>-5000</v>
      </c>
      <c r="Y313" s="1989">
        <v>-8617</v>
      </c>
      <c r="Z313" s="1989">
        <v>33436252</v>
      </c>
      <c r="AA313" s="1989">
        <v>-334363</v>
      </c>
      <c r="AB313" s="1990"/>
      <c r="AC313" s="1989">
        <v>171</v>
      </c>
      <c r="AD313" s="1989">
        <v>0</v>
      </c>
      <c r="AE313" s="1989">
        <v>4</v>
      </c>
      <c r="AF313" s="1989">
        <v>0</v>
      </c>
      <c r="AG313" s="1989">
        <v>426</v>
      </c>
      <c r="AH313" s="1989">
        <v>6</v>
      </c>
      <c r="AI313" s="1989">
        <v>25</v>
      </c>
      <c r="AJ313" s="1989">
        <v>0</v>
      </c>
      <c r="AK313" s="1989">
        <v>0</v>
      </c>
      <c r="AL313" s="1989">
        <v>0</v>
      </c>
      <c r="AM313" s="1989">
        <v>0</v>
      </c>
      <c r="AN313" s="1989">
        <v>0</v>
      </c>
      <c r="AO313" s="1989">
        <v>1617</v>
      </c>
      <c r="AP313" s="1989">
        <v>1135</v>
      </c>
      <c r="AQ313" s="1989">
        <v>758</v>
      </c>
      <c r="AR313" s="1989">
        <v>377</v>
      </c>
      <c r="AS313" s="1989">
        <v>420</v>
      </c>
      <c r="AT313" s="1988">
        <v>3200</v>
      </c>
      <c r="AU313" s="1991"/>
      <c r="AV313" s="1991"/>
      <c r="AX313" s="1992"/>
      <c r="AY313" s="1992"/>
      <c r="AZ313" s="1992"/>
      <c r="BA313" s="1992"/>
      <c r="BB313" s="1992"/>
      <c r="BD313" s="1992"/>
      <c r="BE313" s="1992"/>
      <c r="BG313" s="1992"/>
      <c r="BI313" s="1992"/>
      <c r="BJ313" s="1992"/>
      <c r="BK313" s="1992"/>
    </row>
    <row r="314" spans="1:63" ht="12.75" x14ac:dyDescent="0.2">
      <c r="A314" s="1984">
        <v>307</v>
      </c>
      <c r="B314" s="1995" t="s">
        <v>524</v>
      </c>
      <c r="C314" s="1994" t="s">
        <v>525</v>
      </c>
      <c r="D314" s="1987">
        <v>104972</v>
      </c>
      <c r="E314" s="1988">
        <v>46104000</v>
      </c>
      <c r="F314" s="1989">
        <v>20584874</v>
      </c>
      <c r="G314" s="1989">
        <v>-1799647</v>
      </c>
      <c r="H314" s="1989">
        <v>437023</v>
      </c>
      <c r="I314" s="1989">
        <v>-1362624</v>
      </c>
      <c r="J314" s="1989">
        <v>-1418269</v>
      </c>
      <c r="K314" s="1989">
        <v>-36092</v>
      </c>
      <c r="L314" s="1989">
        <v>-35549</v>
      </c>
      <c r="M314" s="1989">
        <v>0</v>
      </c>
      <c r="N314" s="1989">
        <v>-486630</v>
      </c>
      <c r="O314" s="1989">
        <v>-30817</v>
      </c>
      <c r="P314" s="1989">
        <v>-12089</v>
      </c>
      <c r="Q314" s="1989">
        <v>-723</v>
      </c>
      <c r="R314" s="1989">
        <v>-6312</v>
      </c>
      <c r="S314" s="1989">
        <v>-245</v>
      </c>
      <c r="T314" s="1989">
        <v>0</v>
      </c>
      <c r="U314" s="1989">
        <v>0</v>
      </c>
      <c r="V314" s="1989">
        <v>0</v>
      </c>
      <c r="W314" s="1989">
        <v>-60758</v>
      </c>
      <c r="X314" s="1989">
        <v>-9319</v>
      </c>
      <c r="Y314" s="1989">
        <v>0</v>
      </c>
      <c r="Z314" s="1989">
        <v>17125447</v>
      </c>
      <c r="AA314" s="1989">
        <v>-303542</v>
      </c>
      <c r="AB314" s="1990"/>
      <c r="AC314" s="1989">
        <v>164</v>
      </c>
      <c r="AD314" s="1989">
        <v>9</v>
      </c>
      <c r="AE314" s="1989">
        <v>36</v>
      </c>
      <c r="AF314" s="1989">
        <v>0</v>
      </c>
      <c r="AG314" s="1989">
        <v>200</v>
      </c>
      <c r="AH314" s="1989">
        <v>83</v>
      </c>
      <c r="AI314" s="1989">
        <v>24</v>
      </c>
      <c r="AJ314" s="1989">
        <v>5</v>
      </c>
      <c r="AK314" s="1989">
        <v>14</v>
      </c>
      <c r="AL314" s="1989">
        <v>1</v>
      </c>
      <c r="AM314" s="1989">
        <v>0</v>
      </c>
      <c r="AN314" s="1989">
        <v>0</v>
      </c>
      <c r="AO314" s="1989">
        <v>1189</v>
      </c>
      <c r="AP314" s="1989">
        <v>1149</v>
      </c>
      <c r="AQ314" s="1989">
        <v>899</v>
      </c>
      <c r="AR314" s="1989">
        <v>250</v>
      </c>
      <c r="AS314" s="1989">
        <v>419</v>
      </c>
      <c r="AT314" s="1988">
        <v>2770</v>
      </c>
      <c r="AU314" s="1991"/>
      <c r="AV314" s="1991"/>
      <c r="AX314" s="1992"/>
      <c r="AY314" s="1992"/>
      <c r="AZ314" s="1992"/>
      <c r="BA314" s="1992"/>
      <c r="BB314" s="1992"/>
      <c r="BD314" s="1992"/>
      <c r="BE314" s="1992"/>
      <c r="BG314" s="1992"/>
      <c r="BI314" s="1992"/>
      <c r="BJ314" s="1992"/>
      <c r="BK314" s="1992"/>
    </row>
    <row r="315" spans="1:63" ht="12.75" x14ac:dyDescent="0.2">
      <c r="A315" s="1984">
        <v>308</v>
      </c>
      <c r="B315" s="1995" t="s">
        <v>526</v>
      </c>
      <c r="C315" s="1994" t="s">
        <v>527</v>
      </c>
      <c r="D315" s="1987">
        <v>163845</v>
      </c>
      <c r="E315" s="1988">
        <v>95666000</v>
      </c>
      <c r="F315" s="1989">
        <v>39722845</v>
      </c>
      <c r="G315" s="1989">
        <v>-2545704</v>
      </c>
      <c r="H315" s="1989">
        <v>851925</v>
      </c>
      <c r="I315" s="1989">
        <v>-1693779</v>
      </c>
      <c r="J315" s="1989">
        <v>-2502216</v>
      </c>
      <c r="K315" s="1989">
        <v>-61702</v>
      </c>
      <c r="L315" s="1989">
        <v>-44250</v>
      </c>
      <c r="M315" s="1989">
        <v>0</v>
      </c>
      <c r="N315" s="1989">
        <v>-587104</v>
      </c>
      <c r="O315" s="1989">
        <v>-79600</v>
      </c>
      <c r="P315" s="1989">
        <v>0</v>
      </c>
      <c r="Q315" s="1989">
        <v>0</v>
      </c>
      <c r="R315" s="1989">
        <v>-1802</v>
      </c>
      <c r="S315" s="1989">
        <v>0</v>
      </c>
      <c r="T315" s="1989">
        <v>0</v>
      </c>
      <c r="U315" s="1989">
        <v>0</v>
      </c>
      <c r="V315" s="1989">
        <v>0</v>
      </c>
      <c r="W315" s="1989">
        <v>0</v>
      </c>
      <c r="X315" s="1989">
        <v>-3520</v>
      </c>
      <c r="Y315" s="1989">
        <v>-5704</v>
      </c>
      <c r="Z315" s="1989">
        <v>34743168</v>
      </c>
      <c r="AA315" s="1989">
        <v>-568501</v>
      </c>
      <c r="AB315" s="1990"/>
      <c r="AC315" s="1989">
        <v>252</v>
      </c>
      <c r="AD315" s="1989">
        <v>19</v>
      </c>
      <c r="AE315" s="1989">
        <v>31</v>
      </c>
      <c r="AF315" s="1989">
        <v>0</v>
      </c>
      <c r="AG315" s="1989">
        <v>178</v>
      </c>
      <c r="AH315" s="1989">
        <v>21</v>
      </c>
      <c r="AI315" s="1989">
        <v>0</v>
      </c>
      <c r="AJ315" s="1989">
        <v>0</v>
      </c>
      <c r="AK315" s="1989">
        <v>2</v>
      </c>
      <c r="AL315" s="1989">
        <v>0</v>
      </c>
      <c r="AM315" s="1989">
        <v>0</v>
      </c>
      <c r="AN315" s="1989">
        <v>0</v>
      </c>
      <c r="AO315" s="1989">
        <v>1538</v>
      </c>
      <c r="AP315" s="1989">
        <v>1412</v>
      </c>
      <c r="AQ315" s="1989">
        <v>967</v>
      </c>
      <c r="AR315" s="1989">
        <v>445</v>
      </c>
      <c r="AS315" s="1989">
        <v>899</v>
      </c>
      <c r="AT315" s="1988">
        <v>3860</v>
      </c>
      <c r="AU315" s="1991"/>
      <c r="AV315" s="1991"/>
      <c r="AX315" s="1992"/>
      <c r="AY315" s="1992"/>
      <c r="AZ315" s="1992"/>
      <c r="BA315" s="1992"/>
      <c r="BB315" s="1992"/>
      <c r="BD315" s="1992"/>
      <c r="BE315" s="1992"/>
      <c r="BG315" s="1992"/>
      <c r="BI315" s="1992"/>
      <c r="BJ315" s="1992"/>
      <c r="BK315" s="1992"/>
    </row>
    <row r="316" spans="1:63" ht="12.75" x14ac:dyDescent="0.2">
      <c r="A316" s="1984">
        <v>309</v>
      </c>
      <c r="B316" s="1995" t="s">
        <v>528</v>
      </c>
      <c r="C316" s="1994" t="s">
        <v>529</v>
      </c>
      <c r="D316" s="1987">
        <v>78132</v>
      </c>
      <c r="E316" s="1988">
        <v>52422000</v>
      </c>
      <c r="F316" s="1989">
        <v>13683763</v>
      </c>
      <c r="G316" s="1989">
        <v>-1418498</v>
      </c>
      <c r="H316" s="1989">
        <v>281258</v>
      </c>
      <c r="I316" s="1989">
        <v>-1137240</v>
      </c>
      <c r="J316" s="1989">
        <v>-631796</v>
      </c>
      <c r="K316" s="1989">
        <v>-11751</v>
      </c>
      <c r="L316" s="1989">
        <v>-45459</v>
      </c>
      <c r="M316" s="1989">
        <v>0</v>
      </c>
      <c r="N316" s="1989">
        <v>-92145</v>
      </c>
      <c r="O316" s="1989">
        <v>-32431</v>
      </c>
      <c r="P316" s="1989">
        <v>-83663</v>
      </c>
      <c r="Q316" s="1989">
        <v>-2898</v>
      </c>
      <c r="R316" s="1989">
        <v>-49066</v>
      </c>
      <c r="S316" s="1989">
        <v>-52764</v>
      </c>
      <c r="T316" s="1989">
        <v>-38111</v>
      </c>
      <c r="U316" s="1989">
        <v>0</v>
      </c>
      <c r="V316" s="1989">
        <v>0</v>
      </c>
      <c r="W316" s="1989">
        <v>-18734</v>
      </c>
      <c r="X316" s="1989">
        <v>0</v>
      </c>
      <c r="Y316" s="1989">
        <v>-14500</v>
      </c>
      <c r="Z316" s="1989">
        <v>11380205</v>
      </c>
      <c r="AA316" s="1989">
        <v>-267000</v>
      </c>
      <c r="AB316" s="1990"/>
      <c r="AC316" s="1989">
        <v>149</v>
      </c>
      <c r="AD316" s="1989">
        <v>4</v>
      </c>
      <c r="AE316" s="1989">
        <v>36</v>
      </c>
      <c r="AF316" s="1989">
        <v>0</v>
      </c>
      <c r="AG316" s="1989">
        <v>57</v>
      </c>
      <c r="AH316" s="1989">
        <v>31</v>
      </c>
      <c r="AI316" s="1989">
        <v>0</v>
      </c>
      <c r="AJ316" s="1989">
        <v>2</v>
      </c>
      <c r="AK316" s="1989">
        <v>122</v>
      </c>
      <c r="AL316" s="1989">
        <v>16</v>
      </c>
      <c r="AM316" s="1989">
        <v>0</v>
      </c>
      <c r="AN316" s="1989">
        <v>0</v>
      </c>
      <c r="AO316" s="1989">
        <v>451</v>
      </c>
      <c r="AP316" s="1989">
        <v>902</v>
      </c>
      <c r="AQ316" s="1989">
        <v>714</v>
      </c>
      <c r="AR316" s="1989">
        <v>188</v>
      </c>
      <c r="AS316" s="1989">
        <v>559</v>
      </c>
      <c r="AT316" s="1988">
        <v>1900</v>
      </c>
      <c r="AU316" s="1991"/>
      <c r="AV316" s="1991"/>
      <c r="AX316" s="1992"/>
      <c r="AY316" s="1992"/>
      <c r="AZ316" s="1992"/>
      <c r="BA316" s="1992"/>
      <c r="BB316" s="1992"/>
      <c r="BD316" s="1992"/>
      <c r="BE316" s="1992"/>
      <c r="BG316" s="1992"/>
      <c r="BI316" s="1992"/>
      <c r="BJ316" s="1992"/>
      <c r="BK316" s="1992"/>
    </row>
    <row r="317" spans="1:63" ht="12.75" x14ac:dyDescent="0.2">
      <c r="A317" s="1984">
        <v>310</v>
      </c>
      <c r="B317" s="1995" t="s">
        <v>530</v>
      </c>
      <c r="C317" s="1994" t="s">
        <v>531</v>
      </c>
      <c r="D317" s="1987">
        <v>3306395</v>
      </c>
      <c r="E317" s="1988">
        <v>5167606000</v>
      </c>
      <c r="F317" s="1989">
        <v>1992256685</v>
      </c>
      <c r="G317" s="1989">
        <v>-2205563</v>
      </c>
      <c r="H317" s="1989">
        <v>51807595</v>
      </c>
      <c r="I317" s="1989">
        <v>49602032</v>
      </c>
      <c r="J317" s="1989">
        <v>-64010872</v>
      </c>
      <c r="K317" s="1989">
        <v>-23458</v>
      </c>
      <c r="L317" s="1989">
        <v>0</v>
      </c>
      <c r="M317" s="1989">
        <v>-264736</v>
      </c>
      <c r="N317" s="1989">
        <v>-123479181</v>
      </c>
      <c r="O317" s="1989">
        <v>-352716</v>
      </c>
      <c r="P317" s="1989">
        <v>-18874</v>
      </c>
      <c r="Q317" s="1989">
        <v>-5865</v>
      </c>
      <c r="R317" s="1989">
        <v>0</v>
      </c>
      <c r="S317" s="1989">
        <v>0</v>
      </c>
      <c r="T317" s="1989">
        <v>0</v>
      </c>
      <c r="U317" s="1989">
        <v>0</v>
      </c>
      <c r="V317" s="1989">
        <v>0</v>
      </c>
      <c r="W317" s="1989">
        <v>0</v>
      </c>
      <c r="X317" s="1989">
        <v>-182837</v>
      </c>
      <c r="Y317" s="1989">
        <v>-15539</v>
      </c>
      <c r="Z317" s="1989">
        <v>1853504639</v>
      </c>
      <c r="AA317" s="1989">
        <v>-76232735</v>
      </c>
      <c r="AB317" s="1990"/>
      <c r="AC317" s="1989">
        <v>1094</v>
      </c>
      <c r="AD317" s="1989">
        <v>1</v>
      </c>
      <c r="AE317" s="1989">
        <v>0</v>
      </c>
      <c r="AF317" s="1989">
        <v>2</v>
      </c>
      <c r="AG317" s="1989">
        <v>5868</v>
      </c>
      <c r="AH317" s="1989">
        <v>125</v>
      </c>
      <c r="AI317" s="1989">
        <v>4</v>
      </c>
      <c r="AJ317" s="1989">
        <v>1</v>
      </c>
      <c r="AK317" s="1989">
        <v>0</v>
      </c>
      <c r="AL317" s="1989">
        <v>0</v>
      </c>
      <c r="AM317" s="1989">
        <v>0</v>
      </c>
      <c r="AN317" s="1989">
        <v>0</v>
      </c>
      <c r="AO317" s="1989">
        <v>21740</v>
      </c>
      <c r="AP317" s="1989">
        <v>1126</v>
      </c>
      <c r="AQ317" s="1989">
        <v>420</v>
      </c>
      <c r="AR317" s="1989">
        <v>706</v>
      </c>
      <c r="AS317" s="1989">
        <v>11550</v>
      </c>
      <c r="AT317" s="1988">
        <v>35930</v>
      </c>
      <c r="AU317" s="1991"/>
      <c r="AV317" s="1991"/>
      <c r="AX317" s="1992"/>
      <c r="AY317" s="1992"/>
      <c r="AZ317" s="1992"/>
      <c r="BA317" s="1992"/>
      <c r="BB317" s="1992"/>
      <c r="BD317" s="1992"/>
      <c r="BE317" s="1992"/>
      <c r="BG317" s="1992"/>
      <c r="BI317" s="1992"/>
      <c r="BJ317" s="1992"/>
      <c r="BK317" s="1992"/>
    </row>
    <row r="318" spans="1:63" ht="12.75" x14ac:dyDescent="0.2">
      <c r="A318" s="1984">
        <v>311</v>
      </c>
      <c r="B318" s="1995" t="s">
        <v>532</v>
      </c>
      <c r="C318" s="1994" t="s">
        <v>533</v>
      </c>
      <c r="D318" s="1987">
        <v>106013</v>
      </c>
      <c r="E318" s="1988">
        <v>46278000</v>
      </c>
      <c r="F318" s="1989">
        <v>21387134</v>
      </c>
      <c r="G318" s="1989">
        <v>-1616773</v>
      </c>
      <c r="H318" s="1989">
        <v>465487</v>
      </c>
      <c r="I318" s="1989">
        <v>-1151286</v>
      </c>
      <c r="J318" s="1989">
        <v>-1207454</v>
      </c>
      <c r="K318" s="1989">
        <v>-73725</v>
      </c>
      <c r="L318" s="1989">
        <v>0</v>
      </c>
      <c r="M318" s="1989">
        <v>0</v>
      </c>
      <c r="N318" s="1989">
        <v>-650750</v>
      </c>
      <c r="O318" s="1989">
        <v>-26316</v>
      </c>
      <c r="P318" s="1989">
        <v>-98300</v>
      </c>
      <c r="Q318" s="1989">
        <v>0</v>
      </c>
      <c r="R318" s="1989">
        <v>0</v>
      </c>
      <c r="S318" s="1989">
        <v>0</v>
      </c>
      <c r="T318" s="1989">
        <v>0</v>
      </c>
      <c r="U318" s="1989">
        <v>0</v>
      </c>
      <c r="V318" s="1989">
        <v>0</v>
      </c>
      <c r="W318" s="1989">
        <v>0</v>
      </c>
      <c r="X318" s="1989">
        <v>0</v>
      </c>
      <c r="Y318" s="1989">
        <v>-11</v>
      </c>
      <c r="Z318" s="1989">
        <v>18179292</v>
      </c>
      <c r="AA318" s="1989">
        <v>-963502</v>
      </c>
      <c r="AB318" s="1990"/>
      <c r="AC318" s="1989">
        <v>128</v>
      </c>
      <c r="AD318" s="1989">
        <v>15</v>
      </c>
      <c r="AE318" s="1989">
        <v>0</v>
      </c>
      <c r="AF318" s="1989">
        <v>0</v>
      </c>
      <c r="AG318" s="1989">
        <v>213</v>
      </c>
      <c r="AH318" s="1989">
        <v>7</v>
      </c>
      <c r="AI318" s="1989">
        <v>3</v>
      </c>
      <c r="AJ318" s="1989">
        <v>0</v>
      </c>
      <c r="AK318" s="1989">
        <v>0</v>
      </c>
      <c r="AL318" s="1989">
        <v>0</v>
      </c>
      <c r="AM318" s="1989">
        <v>0</v>
      </c>
      <c r="AN318" s="1989">
        <v>0</v>
      </c>
      <c r="AO318" s="1989">
        <v>729</v>
      </c>
      <c r="AP318" s="1989">
        <v>1306</v>
      </c>
      <c r="AQ318" s="1989">
        <v>980</v>
      </c>
      <c r="AR318" s="1989">
        <v>326</v>
      </c>
      <c r="AS318" s="1989">
        <v>727</v>
      </c>
      <c r="AT318" s="1988">
        <v>2800</v>
      </c>
      <c r="AU318" s="1991"/>
      <c r="AV318" s="1991"/>
      <c r="AX318" s="1992"/>
      <c r="AY318" s="1992"/>
      <c r="AZ318" s="1992"/>
      <c r="BA318" s="1992"/>
      <c r="BB318" s="1992"/>
      <c r="BD318" s="1992"/>
      <c r="BE318" s="1992"/>
      <c r="BG318" s="1992"/>
      <c r="BI318" s="1992"/>
      <c r="BJ318" s="1992"/>
      <c r="BK318" s="1992"/>
    </row>
    <row r="319" spans="1:63" ht="12.75" x14ac:dyDescent="0.2">
      <c r="A319" s="1984">
        <v>312</v>
      </c>
      <c r="B319" s="1995" t="s">
        <v>534</v>
      </c>
      <c r="C319" s="1994" t="s">
        <v>535</v>
      </c>
      <c r="D319" s="1987">
        <v>379246</v>
      </c>
      <c r="E319" s="1988">
        <v>209825000</v>
      </c>
      <c r="F319" s="1989">
        <v>100470893</v>
      </c>
      <c r="G319" s="1989">
        <v>-7052363</v>
      </c>
      <c r="H319" s="1989">
        <v>2245784</v>
      </c>
      <c r="I319" s="1989">
        <v>-4806579</v>
      </c>
      <c r="J319" s="1989">
        <v>-5362625</v>
      </c>
      <c r="K319" s="1989">
        <v>-155214</v>
      </c>
      <c r="L319" s="1989">
        <v>0</v>
      </c>
      <c r="M319" s="1989">
        <v>-52556</v>
      </c>
      <c r="N319" s="1989">
        <v>-4064118</v>
      </c>
      <c r="O319" s="1989">
        <v>-741113</v>
      </c>
      <c r="P319" s="1989">
        <v>-403384</v>
      </c>
      <c r="Q319" s="1989">
        <v>-20680</v>
      </c>
      <c r="R319" s="1989">
        <v>0</v>
      </c>
      <c r="S319" s="1989">
        <v>0</v>
      </c>
      <c r="T319" s="1989">
        <v>0</v>
      </c>
      <c r="U319" s="1989">
        <v>0</v>
      </c>
      <c r="V319" s="1989">
        <v>0</v>
      </c>
      <c r="W319" s="1989">
        <v>0</v>
      </c>
      <c r="X319" s="1989">
        <v>-84900</v>
      </c>
      <c r="Y319" s="1989">
        <v>0</v>
      </c>
      <c r="Z319" s="1989">
        <v>84779724</v>
      </c>
      <c r="AA319" s="1989">
        <v>-1000000</v>
      </c>
      <c r="AB319" s="1990"/>
      <c r="AC319" s="1989">
        <v>363</v>
      </c>
      <c r="AD319" s="1989">
        <v>9</v>
      </c>
      <c r="AE319" s="1989">
        <v>0</v>
      </c>
      <c r="AF319" s="1989">
        <v>0</v>
      </c>
      <c r="AG319" s="1989">
        <v>1272</v>
      </c>
      <c r="AH319" s="1989">
        <v>252</v>
      </c>
      <c r="AI319" s="1989">
        <v>83</v>
      </c>
      <c r="AJ319" s="1989">
        <v>7</v>
      </c>
      <c r="AK319" s="1989">
        <v>0</v>
      </c>
      <c r="AL319" s="1989">
        <v>0</v>
      </c>
      <c r="AM319" s="1989">
        <v>0</v>
      </c>
      <c r="AN319" s="1989">
        <v>0</v>
      </c>
      <c r="AO319" s="1989">
        <v>3330</v>
      </c>
      <c r="AP319" s="1989">
        <v>3624</v>
      </c>
      <c r="AQ319" s="1989">
        <v>2476</v>
      </c>
      <c r="AR319" s="1989">
        <v>1148</v>
      </c>
      <c r="AS319" s="1989">
        <v>2293</v>
      </c>
      <c r="AT319" s="1988">
        <v>9430</v>
      </c>
      <c r="AU319" s="1991"/>
      <c r="AV319" s="1991"/>
      <c r="AX319" s="1992"/>
      <c r="AY319" s="1992"/>
      <c r="AZ319" s="1992"/>
      <c r="BA319" s="1992"/>
      <c r="BB319" s="1992"/>
      <c r="BD319" s="1992"/>
      <c r="BE319" s="1992"/>
      <c r="BG319" s="1992"/>
      <c r="BI319" s="1992"/>
      <c r="BJ319" s="1992"/>
      <c r="BK319" s="1992"/>
    </row>
    <row r="320" spans="1:63" ht="12.75" x14ac:dyDescent="0.2">
      <c r="A320" s="1984">
        <v>313</v>
      </c>
      <c r="B320" s="1995" t="s">
        <v>536</v>
      </c>
      <c r="C320" s="1994" t="s">
        <v>537</v>
      </c>
      <c r="D320" s="1987">
        <v>621868</v>
      </c>
      <c r="E320" s="1988">
        <v>380727000</v>
      </c>
      <c r="F320" s="1989">
        <v>170561335</v>
      </c>
      <c r="G320" s="1989">
        <v>-10140269</v>
      </c>
      <c r="H320" s="1989">
        <v>3924668</v>
      </c>
      <c r="I320" s="1989">
        <v>-6215601</v>
      </c>
      <c r="J320" s="1989">
        <v>-10797611</v>
      </c>
      <c r="K320" s="1989">
        <v>-190824</v>
      </c>
      <c r="L320" s="1989">
        <v>-248256</v>
      </c>
      <c r="M320" s="1989">
        <v>-80000</v>
      </c>
      <c r="N320" s="1989">
        <v>-2681781</v>
      </c>
      <c r="O320" s="1989">
        <v>-292960</v>
      </c>
      <c r="P320" s="1989">
        <v>-55323</v>
      </c>
      <c r="Q320" s="1989">
        <v>0</v>
      </c>
      <c r="R320" s="1989">
        <v>-253982</v>
      </c>
      <c r="S320" s="1989">
        <v>0</v>
      </c>
      <c r="T320" s="1989">
        <v>-15000</v>
      </c>
      <c r="U320" s="1989">
        <v>0</v>
      </c>
      <c r="V320" s="1989">
        <v>0</v>
      </c>
      <c r="W320" s="1989">
        <v>-116621</v>
      </c>
      <c r="X320" s="1989">
        <v>-40605</v>
      </c>
      <c r="Y320" s="1989">
        <v>0</v>
      </c>
      <c r="Z320" s="1989">
        <v>148972694</v>
      </c>
      <c r="AA320" s="1989">
        <v>-1752064</v>
      </c>
      <c r="AB320" s="1990"/>
      <c r="AC320" s="1989">
        <v>1047</v>
      </c>
      <c r="AD320" s="1989">
        <v>39</v>
      </c>
      <c r="AE320" s="1989">
        <v>162</v>
      </c>
      <c r="AF320" s="1989">
        <v>0</v>
      </c>
      <c r="AG320" s="1989">
        <v>1294</v>
      </c>
      <c r="AH320" s="1989">
        <v>413</v>
      </c>
      <c r="AI320" s="1989">
        <v>25</v>
      </c>
      <c r="AJ320" s="1989">
        <v>0</v>
      </c>
      <c r="AK320" s="1989">
        <v>163</v>
      </c>
      <c r="AL320" s="1989">
        <v>0</v>
      </c>
      <c r="AM320" s="1989">
        <v>0</v>
      </c>
      <c r="AN320" s="1989">
        <v>0</v>
      </c>
      <c r="AO320" s="1989">
        <v>5572</v>
      </c>
      <c r="AP320" s="1989">
        <v>5484</v>
      </c>
      <c r="AQ320" s="1989">
        <v>3617</v>
      </c>
      <c r="AR320" s="1989">
        <v>1867</v>
      </c>
      <c r="AS320" s="1989">
        <v>3770</v>
      </c>
      <c r="AT320" s="1988">
        <v>15050</v>
      </c>
      <c r="AU320" s="1991"/>
      <c r="AV320" s="1991"/>
      <c r="AX320" s="1992"/>
      <c r="AY320" s="1992"/>
      <c r="AZ320" s="1992"/>
      <c r="BA320" s="1992"/>
      <c r="BB320" s="1992"/>
      <c r="BD320" s="1992"/>
      <c r="BE320" s="1992"/>
      <c r="BG320" s="1992"/>
      <c r="BI320" s="1992"/>
      <c r="BJ320" s="1992"/>
      <c r="BK320" s="1992"/>
    </row>
    <row r="321" spans="1:63" ht="12.75" x14ac:dyDescent="0.2">
      <c r="A321" s="1984">
        <v>314</v>
      </c>
      <c r="B321" s="1995" t="s">
        <v>538</v>
      </c>
      <c r="C321" s="1994" t="s">
        <v>539</v>
      </c>
      <c r="D321" s="1987">
        <v>198201</v>
      </c>
      <c r="E321" s="1988">
        <v>152125000</v>
      </c>
      <c r="F321" s="1989">
        <v>65137859</v>
      </c>
      <c r="G321" s="1989">
        <v>-2790955</v>
      </c>
      <c r="H321" s="1989">
        <v>1766120</v>
      </c>
      <c r="I321" s="1989">
        <v>-1024835</v>
      </c>
      <c r="J321" s="1989">
        <v>-3425811</v>
      </c>
      <c r="K321" s="1989">
        <v>-45375</v>
      </c>
      <c r="L321" s="1989">
        <v>-13678</v>
      </c>
      <c r="M321" s="1989">
        <v>-45030</v>
      </c>
      <c r="N321" s="1989">
        <v>-1219407</v>
      </c>
      <c r="O321" s="1989">
        <v>-67257</v>
      </c>
      <c r="P321" s="1989">
        <v>-188031</v>
      </c>
      <c r="Q321" s="1989">
        <v>-4120</v>
      </c>
      <c r="R321" s="1989">
        <v>-7422</v>
      </c>
      <c r="S321" s="1989">
        <v>-7571</v>
      </c>
      <c r="T321" s="1989">
        <v>0</v>
      </c>
      <c r="U321" s="1989">
        <v>0</v>
      </c>
      <c r="V321" s="1989">
        <v>0</v>
      </c>
      <c r="W321" s="1989">
        <v>0</v>
      </c>
      <c r="X321" s="1989">
        <v>-5025</v>
      </c>
      <c r="Y321" s="1989">
        <v>-15345</v>
      </c>
      <c r="Z321" s="1989">
        <v>58835057</v>
      </c>
      <c r="AA321" s="1989">
        <v>-1314000</v>
      </c>
      <c r="AB321" s="1990"/>
      <c r="AC321" s="1989">
        <v>209</v>
      </c>
      <c r="AD321" s="1989">
        <v>22</v>
      </c>
      <c r="AE321" s="1989">
        <v>10</v>
      </c>
      <c r="AF321" s="1989">
        <v>2</v>
      </c>
      <c r="AG321" s="1989">
        <v>377</v>
      </c>
      <c r="AH321" s="1989">
        <v>90</v>
      </c>
      <c r="AI321" s="1989">
        <v>2</v>
      </c>
      <c r="AJ321" s="1989">
        <v>7</v>
      </c>
      <c r="AK321" s="1989">
        <v>7</v>
      </c>
      <c r="AL321" s="1989">
        <v>4</v>
      </c>
      <c r="AM321" s="1989">
        <v>0</v>
      </c>
      <c r="AN321" s="1989">
        <v>0</v>
      </c>
      <c r="AO321" s="1989">
        <v>1741</v>
      </c>
      <c r="AP321" s="1989">
        <v>1468</v>
      </c>
      <c r="AQ321" s="1989">
        <v>982</v>
      </c>
      <c r="AR321" s="1989">
        <v>486</v>
      </c>
      <c r="AS321" s="1989">
        <v>1203</v>
      </c>
      <c r="AT321" s="1988">
        <v>4440</v>
      </c>
      <c r="AU321" s="1991"/>
      <c r="AV321" s="1991"/>
      <c r="AX321" s="1992"/>
      <c r="AY321" s="1992"/>
      <c r="AZ321" s="1992"/>
      <c r="BA321" s="1992"/>
      <c r="BB321" s="1992"/>
      <c r="BD321" s="1992"/>
      <c r="BE321" s="1992"/>
      <c r="BG321" s="1992"/>
      <c r="BI321" s="1992"/>
      <c r="BJ321" s="1992"/>
      <c r="BK321" s="1992"/>
    </row>
    <row r="322" spans="1:63" ht="12.75" x14ac:dyDescent="0.2">
      <c r="A322" s="1984">
        <v>315</v>
      </c>
      <c r="B322" s="1996" t="s">
        <v>2336</v>
      </c>
      <c r="C322" s="1994" t="s">
        <v>541</v>
      </c>
      <c r="D322" s="1987">
        <v>249199</v>
      </c>
      <c r="E322" s="1988">
        <v>232007000</v>
      </c>
      <c r="F322" s="1989">
        <v>93292762</v>
      </c>
      <c r="G322" s="1989">
        <v>-1797002</v>
      </c>
      <c r="H322" s="1989">
        <v>2244606</v>
      </c>
      <c r="I322" s="1989">
        <v>447604</v>
      </c>
      <c r="J322" s="1989">
        <v>-6288733</v>
      </c>
      <c r="K322" s="1989">
        <v>-80000</v>
      </c>
      <c r="L322" s="1989">
        <v>-6188</v>
      </c>
      <c r="M322" s="1989">
        <v>-39923</v>
      </c>
      <c r="N322" s="1989">
        <v>-2545895</v>
      </c>
      <c r="O322" s="1989">
        <v>-365896</v>
      </c>
      <c r="P322" s="1989">
        <v>-135518</v>
      </c>
      <c r="Q322" s="1989">
        <v>-20000</v>
      </c>
      <c r="R322" s="1989">
        <v>0</v>
      </c>
      <c r="S322" s="1989">
        <v>-15921</v>
      </c>
      <c r="T322" s="1989">
        <v>-74602</v>
      </c>
      <c r="U322" s="1989">
        <v>0</v>
      </c>
      <c r="V322" s="1989">
        <v>0</v>
      </c>
      <c r="W322" s="1989">
        <v>0</v>
      </c>
      <c r="X322" s="1989">
        <v>-127325</v>
      </c>
      <c r="Y322" s="1989">
        <v>-29321</v>
      </c>
      <c r="Z322" s="1989">
        <v>84011044</v>
      </c>
      <c r="AA322" s="1989">
        <v>0</v>
      </c>
      <c r="AB322" s="1990"/>
      <c r="AC322" s="1989">
        <v>275</v>
      </c>
      <c r="AD322" s="1989">
        <v>0</v>
      </c>
      <c r="AE322" s="1989">
        <v>2</v>
      </c>
      <c r="AF322" s="1989">
        <v>2</v>
      </c>
      <c r="AG322" s="1989">
        <v>312</v>
      </c>
      <c r="AH322" s="1989">
        <v>124</v>
      </c>
      <c r="AI322" s="1989">
        <v>44</v>
      </c>
      <c r="AJ322" s="1989">
        <v>0</v>
      </c>
      <c r="AK322" s="1989">
        <v>0</v>
      </c>
      <c r="AL322" s="1989">
        <v>5</v>
      </c>
      <c r="AM322" s="1989">
        <v>0</v>
      </c>
      <c r="AN322" s="1989">
        <v>13</v>
      </c>
      <c r="AO322" s="1989">
        <v>2429</v>
      </c>
      <c r="AP322" s="1989">
        <v>927</v>
      </c>
      <c r="AQ322" s="1989">
        <v>462</v>
      </c>
      <c r="AR322" s="1989">
        <v>465</v>
      </c>
      <c r="AS322" s="1989">
        <v>1330</v>
      </c>
      <c r="AT322" s="1988">
        <v>4770</v>
      </c>
      <c r="AU322" s="1991"/>
      <c r="AV322" s="1991"/>
      <c r="AX322" s="1992"/>
      <c r="AY322" s="1992"/>
      <c r="AZ322" s="1992"/>
      <c r="BA322" s="1992"/>
      <c r="BB322" s="1992"/>
      <c r="BD322" s="1992"/>
      <c r="BE322" s="1992"/>
      <c r="BG322" s="1992"/>
      <c r="BI322" s="1992"/>
      <c r="BJ322" s="1992"/>
      <c r="BK322" s="1992"/>
    </row>
    <row r="323" spans="1:63" ht="12.75" x14ac:dyDescent="0.2">
      <c r="A323" s="1984">
        <v>316</v>
      </c>
      <c r="B323" s="1995" t="s">
        <v>542</v>
      </c>
      <c r="C323" s="1994" t="s">
        <v>543</v>
      </c>
      <c r="D323" s="1987">
        <v>334347</v>
      </c>
      <c r="E323" s="1988">
        <v>192436000</v>
      </c>
      <c r="F323" s="1989">
        <v>88294790</v>
      </c>
      <c r="G323" s="1989">
        <v>-6479751</v>
      </c>
      <c r="H323" s="1989">
        <v>1941910</v>
      </c>
      <c r="I323" s="1989">
        <v>-4537841</v>
      </c>
      <c r="J323" s="1989">
        <v>-4533378</v>
      </c>
      <c r="K323" s="1989">
        <v>-29721</v>
      </c>
      <c r="L323" s="1989">
        <v>-596</v>
      </c>
      <c r="M323" s="1989">
        <v>-150000</v>
      </c>
      <c r="N323" s="1989">
        <v>-2046138</v>
      </c>
      <c r="O323" s="1989">
        <v>-487319</v>
      </c>
      <c r="P323" s="1989">
        <v>-139477</v>
      </c>
      <c r="Q323" s="1989">
        <v>-7430</v>
      </c>
      <c r="R323" s="1989">
        <v>0</v>
      </c>
      <c r="S323" s="1989">
        <v>0</v>
      </c>
      <c r="T323" s="1989">
        <v>0</v>
      </c>
      <c r="U323" s="1989">
        <v>0</v>
      </c>
      <c r="V323" s="1989">
        <v>0</v>
      </c>
      <c r="W323" s="1989">
        <v>-50000</v>
      </c>
      <c r="X323" s="1989">
        <v>-22800</v>
      </c>
      <c r="Y323" s="1989">
        <v>-6524</v>
      </c>
      <c r="Z323" s="1989">
        <v>74883566</v>
      </c>
      <c r="AA323" s="1989">
        <v>-1500000</v>
      </c>
      <c r="AB323" s="1990"/>
      <c r="AC323" s="1989">
        <v>380</v>
      </c>
      <c r="AD323" s="1989">
        <v>8</v>
      </c>
      <c r="AE323" s="1989">
        <v>1</v>
      </c>
      <c r="AF323" s="1989">
        <v>0</v>
      </c>
      <c r="AG323" s="1989">
        <v>639</v>
      </c>
      <c r="AH323" s="1989">
        <v>309</v>
      </c>
      <c r="AI323" s="1989">
        <v>21</v>
      </c>
      <c r="AJ323" s="1989">
        <v>8</v>
      </c>
      <c r="AK323" s="1989">
        <v>0</v>
      </c>
      <c r="AL323" s="1989">
        <v>0</v>
      </c>
      <c r="AM323" s="1989">
        <v>1</v>
      </c>
      <c r="AN323" s="1989">
        <v>0</v>
      </c>
      <c r="AO323" s="1989">
        <v>2877</v>
      </c>
      <c r="AP323" s="1989">
        <v>3556</v>
      </c>
      <c r="AQ323" s="1989">
        <v>2607</v>
      </c>
      <c r="AR323" s="1989">
        <v>949</v>
      </c>
      <c r="AS323" s="1989">
        <v>1808</v>
      </c>
      <c r="AT323" s="1988">
        <v>8340</v>
      </c>
      <c r="AU323" s="1991"/>
      <c r="AV323" s="1991"/>
      <c r="AX323" s="1992"/>
      <c r="AY323" s="1992"/>
      <c r="AZ323" s="1992"/>
      <c r="BA323" s="1992"/>
      <c r="BB323" s="1992"/>
      <c r="BD323" s="1992"/>
      <c r="BE323" s="1992"/>
      <c r="BG323" s="1992"/>
      <c r="BI323" s="1992"/>
      <c r="BJ323" s="1992"/>
      <c r="BK323" s="1992"/>
    </row>
    <row r="324" spans="1:63" ht="12.75" x14ac:dyDescent="0.2">
      <c r="A324" s="1984">
        <v>317</v>
      </c>
      <c r="B324" s="1995" t="s">
        <v>544</v>
      </c>
      <c r="C324" s="1994" t="s">
        <v>545</v>
      </c>
      <c r="D324" s="1987">
        <v>134878</v>
      </c>
      <c r="E324" s="1988">
        <v>119053000</v>
      </c>
      <c r="F324" s="1989">
        <v>54019778</v>
      </c>
      <c r="G324" s="1989">
        <v>-1133869</v>
      </c>
      <c r="H324" s="1989">
        <v>1324983</v>
      </c>
      <c r="I324" s="1989">
        <v>191114</v>
      </c>
      <c r="J324" s="1989">
        <v>-2839848</v>
      </c>
      <c r="K324" s="1989">
        <v>0</v>
      </c>
      <c r="L324" s="1989">
        <v>-714</v>
      </c>
      <c r="M324" s="1989">
        <v>0</v>
      </c>
      <c r="N324" s="1989">
        <v>-1491943</v>
      </c>
      <c r="O324" s="1989">
        <v>-363476</v>
      </c>
      <c r="P324" s="1989">
        <v>-65858</v>
      </c>
      <c r="Q324" s="1989">
        <v>0</v>
      </c>
      <c r="R324" s="1989">
        <v>0</v>
      </c>
      <c r="S324" s="1989">
        <v>0</v>
      </c>
      <c r="T324" s="1989">
        <v>-267477</v>
      </c>
      <c r="U324" s="1989">
        <v>0</v>
      </c>
      <c r="V324" s="1989">
        <v>0</v>
      </c>
      <c r="W324" s="1989">
        <v>0</v>
      </c>
      <c r="X324" s="1989">
        <v>-4070</v>
      </c>
      <c r="Y324" s="1989">
        <v>0</v>
      </c>
      <c r="Z324" s="1989">
        <v>49177506</v>
      </c>
      <c r="AA324" s="1989">
        <v>-1000000</v>
      </c>
      <c r="AB324" s="1990"/>
      <c r="AC324" s="1989">
        <v>159</v>
      </c>
      <c r="AD324" s="1989">
        <v>0</v>
      </c>
      <c r="AE324" s="1989">
        <v>1</v>
      </c>
      <c r="AF324" s="1989">
        <v>0</v>
      </c>
      <c r="AG324" s="1989">
        <v>316</v>
      </c>
      <c r="AH324" s="1989">
        <v>113</v>
      </c>
      <c r="AI324" s="1989">
        <v>14</v>
      </c>
      <c r="AJ324" s="1989">
        <v>0</v>
      </c>
      <c r="AK324" s="1989">
        <v>0</v>
      </c>
      <c r="AL324" s="1989">
        <v>0</v>
      </c>
      <c r="AM324" s="1989">
        <v>0</v>
      </c>
      <c r="AN324" s="1989">
        <v>3</v>
      </c>
      <c r="AO324" s="1989">
        <v>1380</v>
      </c>
      <c r="AP324" s="1989">
        <v>553</v>
      </c>
      <c r="AQ324" s="1989">
        <v>284</v>
      </c>
      <c r="AR324" s="1989">
        <v>269</v>
      </c>
      <c r="AS324" s="1989">
        <v>758</v>
      </c>
      <c r="AT324" s="1988">
        <v>2640</v>
      </c>
      <c r="AU324" s="1991"/>
      <c r="AV324" s="1991"/>
      <c r="AX324" s="1992"/>
      <c r="AY324" s="1992"/>
      <c r="AZ324" s="1992"/>
      <c r="BA324" s="1992"/>
      <c r="BB324" s="1992"/>
      <c r="BD324" s="1992"/>
      <c r="BE324" s="1992"/>
      <c r="BG324" s="1992"/>
      <c r="BI324" s="1992"/>
      <c r="BJ324" s="1992"/>
      <c r="BK324" s="1992"/>
    </row>
    <row r="325" spans="1:63" ht="12.75" x14ac:dyDescent="0.2">
      <c r="A325" s="1984">
        <v>318</v>
      </c>
      <c r="B325" s="1996" t="s">
        <v>617</v>
      </c>
      <c r="C325" s="1994" t="s">
        <v>547</v>
      </c>
      <c r="D325" s="1987">
        <v>190537</v>
      </c>
      <c r="E325" s="1988">
        <v>171790000</v>
      </c>
      <c r="F325" s="1989">
        <v>66444463</v>
      </c>
      <c r="G325" s="1989">
        <v>-1906249</v>
      </c>
      <c r="H325" s="1989">
        <v>1636675</v>
      </c>
      <c r="I325" s="1989">
        <v>-269574</v>
      </c>
      <c r="J325" s="1989">
        <v>-5474834</v>
      </c>
      <c r="K325" s="1989">
        <v>-55817</v>
      </c>
      <c r="L325" s="1989">
        <v>-5404</v>
      </c>
      <c r="M325" s="1989">
        <v>-26001</v>
      </c>
      <c r="N325" s="1989">
        <v>-2416397</v>
      </c>
      <c r="O325" s="1989">
        <v>-7300</v>
      </c>
      <c r="P325" s="1989">
        <v>-52424</v>
      </c>
      <c r="Q325" s="1989">
        <v>-452</v>
      </c>
      <c r="R325" s="1989">
        <v>-845</v>
      </c>
      <c r="S325" s="1989">
        <v>0</v>
      </c>
      <c r="T325" s="1989">
        <v>-16967</v>
      </c>
      <c r="U325" s="1989">
        <v>0</v>
      </c>
      <c r="V325" s="1989">
        <v>0</v>
      </c>
      <c r="W325" s="1989">
        <v>0</v>
      </c>
      <c r="X325" s="1989">
        <v>-36364</v>
      </c>
      <c r="Y325" s="1989">
        <v>-2076</v>
      </c>
      <c r="Z325" s="1989">
        <v>58569008</v>
      </c>
      <c r="AA325" s="1989">
        <v>-470240</v>
      </c>
      <c r="AB325" s="1990"/>
      <c r="AC325" s="1989">
        <v>191</v>
      </c>
      <c r="AD325" s="1989">
        <v>8</v>
      </c>
      <c r="AE325" s="1989">
        <v>4</v>
      </c>
      <c r="AF325" s="1989">
        <v>1</v>
      </c>
      <c r="AG325" s="1989">
        <v>192</v>
      </c>
      <c r="AH325" s="1989">
        <v>6</v>
      </c>
      <c r="AI325" s="1989">
        <v>21</v>
      </c>
      <c r="AJ325" s="1989">
        <v>1</v>
      </c>
      <c r="AK325" s="1989">
        <v>1</v>
      </c>
      <c r="AL325" s="1989">
        <v>0</v>
      </c>
      <c r="AM325" s="1989">
        <v>0</v>
      </c>
      <c r="AN325" s="1989">
        <v>3</v>
      </c>
      <c r="AO325" s="1989">
        <v>1688</v>
      </c>
      <c r="AP325" s="1989">
        <v>1013</v>
      </c>
      <c r="AQ325" s="1989">
        <v>620</v>
      </c>
      <c r="AR325" s="1989">
        <v>393</v>
      </c>
      <c r="AS325" s="1989">
        <v>68</v>
      </c>
      <c r="AT325" s="1988">
        <v>3810</v>
      </c>
      <c r="AU325" s="1991"/>
      <c r="AV325" s="1991"/>
      <c r="AX325" s="1992"/>
      <c r="AY325" s="1992"/>
      <c r="AZ325" s="1992"/>
      <c r="BA325" s="1992"/>
      <c r="BB325" s="1992"/>
      <c r="BD325" s="1992"/>
      <c r="BE325" s="1992"/>
      <c r="BG325" s="1992"/>
      <c r="BI325" s="1992"/>
      <c r="BJ325" s="1992"/>
      <c r="BK325" s="1992"/>
    </row>
    <row r="326" spans="1:63" ht="12.75" x14ac:dyDescent="0.2">
      <c r="A326" s="1984">
        <v>319</v>
      </c>
      <c r="B326" s="1995" t="s">
        <v>548</v>
      </c>
      <c r="C326" s="1994" t="s">
        <v>549</v>
      </c>
      <c r="D326" s="1987">
        <v>337306</v>
      </c>
      <c r="E326" s="1988">
        <v>196908000</v>
      </c>
      <c r="F326" s="1989">
        <v>93021390</v>
      </c>
      <c r="G326" s="1989">
        <v>-5675524</v>
      </c>
      <c r="H326" s="1989">
        <v>2096438</v>
      </c>
      <c r="I326" s="1989">
        <v>-3579086</v>
      </c>
      <c r="J326" s="1989">
        <v>-4819606</v>
      </c>
      <c r="K326" s="1989">
        <v>-19969</v>
      </c>
      <c r="L326" s="1989">
        <v>0</v>
      </c>
      <c r="M326" s="1989">
        <v>0</v>
      </c>
      <c r="N326" s="1989">
        <v>-3347437</v>
      </c>
      <c r="O326" s="1989">
        <v>-243055</v>
      </c>
      <c r="P326" s="1989">
        <v>-385194</v>
      </c>
      <c r="Q326" s="1989">
        <v>-2594</v>
      </c>
      <c r="R326" s="1989">
        <v>0</v>
      </c>
      <c r="S326" s="1989">
        <v>0</v>
      </c>
      <c r="T326" s="1989">
        <v>0</v>
      </c>
      <c r="U326" s="1989">
        <v>0</v>
      </c>
      <c r="V326" s="1989">
        <v>0</v>
      </c>
      <c r="W326" s="1989">
        <v>-5964</v>
      </c>
      <c r="X326" s="1989">
        <v>-25286</v>
      </c>
      <c r="Y326" s="1989">
        <v>0</v>
      </c>
      <c r="Z326" s="1989">
        <v>80593199</v>
      </c>
      <c r="AA326" s="1989">
        <v>-1483000</v>
      </c>
      <c r="AB326" s="1990"/>
      <c r="AC326" s="1989">
        <v>258</v>
      </c>
      <c r="AD326" s="1989">
        <v>4</v>
      </c>
      <c r="AE326" s="1989">
        <v>0</v>
      </c>
      <c r="AF326" s="1989">
        <v>8</v>
      </c>
      <c r="AG326" s="1989">
        <v>1417</v>
      </c>
      <c r="AH326" s="1989">
        <v>146</v>
      </c>
      <c r="AI326" s="1989">
        <v>52</v>
      </c>
      <c r="AJ326" s="1989">
        <v>4</v>
      </c>
      <c r="AK326" s="1989">
        <v>0</v>
      </c>
      <c r="AL326" s="1989">
        <v>0</v>
      </c>
      <c r="AM326" s="1989">
        <v>0</v>
      </c>
      <c r="AN326" s="1989">
        <v>0</v>
      </c>
      <c r="AO326" s="1989">
        <v>5164</v>
      </c>
      <c r="AP326" s="1989">
        <v>2963</v>
      </c>
      <c r="AQ326" s="1989">
        <v>2045</v>
      </c>
      <c r="AR326" s="1989">
        <v>918</v>
      </c>
      <c r="AS326" s="1989">
        <v>129</v>
      </c>
      <c r="AT326" s="1988">
        <v>8330</v>
      </c>
      <c r="AU326" s="1991"/>
      <c r="AV326" s="1991"/>
      <c r="AX326" s="1992"/>
      <c r="AY326" s="1992"/>
      <c r="AZ326" s="1992"/>
      <c r="BA326" s="1992"/>
      <c r="BB326" s="1992"/>
      <c r="BD326" s="1992"/>
      <c r="BE326" s="1992"/>
      <c r="BG326" s="1992"/>
      <c r="BI326" s="1992"/>
      <c r="BJ326" s="1992"/>
      <c r="BK326" s="1992"/>
    </row>
    <row r="327" spans="1:63" ht="12.75" x14ac:dyDescent="0.2">
      <c r="A327" s="1984">
        <v>320</v>
      </c>
      <c r="B327" s="1995" t="s">
        <v>550</v>
      </c>
      <c r="C327" s="1994" t="s">
        <v>551</v>
      </c>
      <c r="D327" s="1987">
        <v>133156</v>
      </c>
      <c r="E327" s="1988">
        <v>102554000</v>
      </c>
      <c r="F327" s="1989">
        <v>48811511</v>
      </c>
      <c r="G327" s="1989">
        <v>-1880793</v>
      </c>
      <c r="H327" s="1989">
        <v>1162483</v>
      </c>
      <c r="I327" s="1989">
        <v>-718310</v>
      </c>
      <c r="J327" s="1989">
        <v>-3874717</v>
      </c>
      <c r="K327" s="1989">
        <v>-18190</v>
      </c>
      <c r="L327" s="1989">
        <v>0</v>
      </c>
      <c r="M327" s="1989">
        <v>-76685</v>
      </c>
      <c r="N327" s="1989">
        <v>-1235535</v>
      </c>
      <c r="O327" s="1989">
        <v>-213430</v>
      </c>
      <c r="P327" s="1989">
        <v>-12602</v>
      </c>
      <c r="Q327" s="1989">
        <v>-4548</v>
      </c>
      <c r="R327" s="1989">
        <v>0</v>
      </c>
      <c r="S327" s="1989">
        <v>0</v>
      </c>
      <c r="T327" s="1989">
        <v>0</v>
      </c>
      <c r="U327" s="1989">
        <v>0</v>
      </c>
      <c r="V327" s="1989">
        <v>0</v>
      </c>
      <c r="W327" s="1989">
        <v>-50570</v>
      </c>
      <c r="X327" s="1989">
        <v>-46363</v>
      </c>
      <c r="Y327" s="1989">
        <v>-6710</v>
      </c>
      <c r="Z327" s="1989">
        <v>41853851</v>
      </c>
      <c r="AA327" s="1989">
        <v>-500000</v>
      </c>
      <c r="AB327" s="1990"/>
      <c r="AC327" s="1989">
        <v>228</v>
      </c>
      <c r="AD327" s="1989">
        <v>4</v>
      </c>
      <c r="AE327" s="1989">
        <v>0</v>
      </c>
      <c r="AF327" s="1989">
        <v>0</v>
      </c>
      <c r="AG327" s="1989">
        <v>201</v>
      </c>
      <c r="AH327" s="1989">
        <v>117</v>
      </c>
      <c r="AI327" s="1989">
        <v>8</v>
      </c>
      <c r="AJ327" s="1989">
        <v>4</v>
      </c>
      <c r="AK327" s="1989">
        <v>0</v>
      </c>
      <c r="AL327" s="1989">
        <v>0</v>
      </c>
      <c r="AM327" s="1989">
        <v>0</v>
      </c>
      <c r="AN327" s="1989">
        <v>0</v>
      </c>
      <c r="AO327" s="1989">
        <v>1381</v>
      </c>
      <c r="AP327" s="1989">
        <v>964</v>
      </c>
      <c r="AQ327" s="1989">
        <v>616</v>
      </c>
      <c r="AR327" s="1989">
        <v>348</v>
      </c>
      <c r="AS327" s="1989">
        <v>765</v>
      </c>
      <c r="AT327" s="1988">
        <v>3120</v>
      </c>
      <c r="AU327" s="1991"/>
      <c r="AV327" s="1991"/>
      <c r="AX327" s="1992"/>
      <c r="AY327" s="1992"/>
      <c r="AZ327" s="1992"/>
      <c r="BA327" s="1992"/>
      <c r="BB327" s="1992"/>
      <c r="BD327" s="1992"/>
      <c r="BE327" s="1992"/>
      <c r="BG327" s="1992"/>
      <c r="BI327" s="1992"/>
      <c r="BJ327" s="1992"/>
      <c r="BK327" s="1992"/>
    </row>
    <row r="328" spans="1:63" ht="12.75" x14ac:dyDescent="0.2">
      <c r="A328" s="1984">
        <v>321</v>
      </c>
      <c r="B328" s="1995" t="s">
        <v>552</v>
      </c>
      <c r="C328" s="1994" t="s">
        <v>553</v>
      </c>
      <c r="D328" s="1987">
        <v>128590</v>
      </c>
      <c r="E328" s="1988">
        <v>82585000</v>
      </c>
      <c r="F328" s="1989">
        <v>37917069</v>
      </c>
      <c r="G328" s="1989">
        <v>-2152512</v>
      </c>
      <c r="H328" s="1989">
        <v>854155</v>
      </c>
      <c r="I328" s="1989">
        <v>-1298357</v>
      </c>
      <c r="J328" s="1989">
        <v>-2404494</v>
      </c>
      <c r="K328" s="1989">
        <v>-40118</v>
      </c>
      <c r="L328" s="1989">
        <v>0</v>
      </c>
      <c r="M328" s="1989">
        <v>0</v>
      </c>
      <c r="N328" s="1989">
        <v>-592004</v>
      </c>
      <c r="O328" s="1989">
        <v>-173870</v>
      </c>
      <c r="P328" s="1989">
        <v>-4199</v>
      </c>
      <c r="Q328" s="1989">
        <v>-534</v>
      </c>
      <c r="R328" s="1989">
        <v>0</v>
      </c>
      <c r="S328" s="1989">
        <v>0</v>
      </c>
      <c r="T328" s="1989">
        <v>0</v>
      </c>
      <c r="U328" s="1989">
        <v>0</v>
      </c>
      <c r="V328" s="1989">
        <v>0</v>
      </c>
      <c r="W328" s="1989">
        <v>0</v>
      </c>
      <c r="X328" s="1989">
        <v>-31781</v>
      </c>
      <c r="Y328" s="1989">
        <v>-7367</v>
      </c>
      <c r="Z328" s="1989">
        <v>33255999</v>
      </c>
      <c r="AA328" s="1989">
        <v>-570000</v>
      </c>
      <c r="AB328" s="1990"/>
      <c r="AC328" s="1989">
        <v>172</v>
      </c>
      <c r="AD328" s="1989">
        <v>5</v>
      </c>
      <c r="AE328" s="1989">
        <v>0</v>
      </c>
      <c r="AF328" s="1989">
        <v>0</v>
      </c>
      <c r="AG328" s="1989">
        <v>280</v>
      </c>
      <c r="AH328" s="1989">
        <v>78</v>
      </c>
      <c r="AI328" s="1989">
        <v>2</v>
      </c>
      <c r="AJ328" s="1989">
        <v>1</v>
      </c>
      <c r="AK328" s="1989">
        <v>0</v>
      </c>
      <c r="AL328" s="1989">
        <v>0</v>
      </c>
      <c r="AM328" s="1989">
        <v>0</v>
      </c>
      <c r="AN328" s="1989">
        <v>639</v>
      </c>
      <c r="AO328" s="1989">
        <v>1045</v>
      </c>
      <c r="AP328" s="1989">
        <v>1300</v>
      </c>
      <c r="AQ328" s="1989">
        <v>907</v>
      </c>
      <c r="AR328" s="1989">
        <v>393</v>
      </c>
      <c r="AS328" s="1989">
        <v>832</v>
      </c>
      <c r="AT328" s="1988">
        <v>3160</v>
      </c>
      <c r="AU328" s="1991"/>
      <c r="AV328" s="1991"/>
      <c r="AX328" s="1992"/>
      <c r="AY328" s="1992"/>
      <c r="AZ328" s="1992"/>
      <c r="BA328" s="1992"/>
      <c r="BB328" s="1992"/>
      <c r="BD328" s="1992"/>
      <c r="BE328" s="1992"/>
      <c r="BG328" s="1992"/>
      <c r="BI328" s="1992"/>
      <c r="BJ328" s="1992"/>
      <c r="BK328" s="1992"/>
    </row>
    <row r="329" spans="1:63" ht="12.75" x14ac:dyDescent="0.2">
      <c r="A329" s="1984">
        <v>322</v>
      </c>
      <c r="B329" s="1995" t="s">
        <v>554</v>
      </c>
      <c r="C329" s="1994" t="s">
        <v>555</v>
      </c>
      <c r="D329" s="1987">
        <v>185069</v>
      </c>
      <c r="E329" s="1988">
        <v>102953000</v>
      </c>
      <c r="F329" s="1989">
        <v>47603500</v>
      </c>
      <c r="G329" s="1989">
        <v>-3202255</v>
      </c>
      <c r="H329" s="1989">
        <v>1062564</v>
      </c>
      <c r="I329" s="1989">
        <v>-2139691</v>
      </c>
      <c r="J329" s="1989">
        <v>-1901866</v>
      </c>
      <c r="K329" s="1989">
        <v>-50102</v>
      </c>
      <c r="L329" s="1989">
        <v>-66972</v>
      </c>
      <c r="M329" s="1989">
        <v>-215000</v>
      </c>
      <c r="N329" s="1989">
        <v>-1018893</v>
      </c>
      <c r="O329" s="1989">
        <v>-201801</v>
      </c>
      <c r="P329" s="1989">
        <v>-64380</v>
      </c>
      <c r="Q329" s="1989">
        <v>-12022</v>
      </c>
      <c r="R329" s="1989">
        <v>-47519</v>
      </c>
      <c r="S329" s="1989">
        <v>-25310</v>
      </c>
      <c r="T329" s="1989">
        <v>0</v>
      </c>
      <c r="U329" s="1989">
        <v>0</v>
      </c>
      <c r="V329" s="1989">
        <v>0</v>
      </c>
      <c r="W329" s="1989">
        <v>0</v>
      </c>
      <c r="X329" s="1989">
        <v>-30389</v>
      </c>
      <c r="Y329" s="1989">
        <v>-11118</v>
      </c>
      <c r="Z329" s="1989">
        <v>41218437</v>
      </c>
      <c r="AA329" s="1989">
        <v>-638718</v>
      </c>
      <c r="AB329" s="1990"/>
      <c r="AC329" s="1989">
        <v>254</v>
      </c>
      <c r="AD329" s="1989">
        <v>19</v>
      </c>
      <c r="AE329" s="1989">
        <v>46</v>
      </c>
      <c r="AF329" s="1989">
        <v>0</v>
      </c>
      <c r="AG329" s="1989">
        <v>302</v>
      </c>
      <c r="AH329" s="1989">
        <v>172</v>
      </c>
      <c r="AI329" s="1989">
        <v>28</v>
      </c>
      <c r="AJ329" s="1989">
        <v>18</v>
      </c>
      <c r="AK329" s="1989">
        <v>36</v>
      </c>
      <c r="AL329" s="1989">
        <v>14</v>
      </c>
      <c r="AM329" s="1989">
        <v>0</v>
      </c>
      <c r="AN329" s="1989">
        <v>0</v>
      </c>
      <c r="AO329" s="1989">
        <v>1702</v>
      </c>
      <c r="AP329" s="1989">
        <v>1807</v>
      </c>
      <c r="AQ329" s="1989">
        <v>1283</v>
      </c>
      <c r="AR329" s="1989">
        <v>524</v>
      </c>
      <c r="AS329" s="1989">
        <v>1111</v>
      </c>
      <c r="AT329" s="1988">
        <v>4690</v>
      </c>
      <c r="AU329" s="1991"/>
      <c r="AV329" s="1991"/>
      <c r="AX329" s="1992"/>
      <c r="AY329" s="1992"/>
      <c r="AZ329" s="1992"/>
      <c r="BA329" s="1992"/>
      <c r="BB329" s="1992"/>
      <c r="BD329" s="1992"/>
      <c r="BE329" s="1992"/>
      <c r="BG329" s="1992"/>
      <c r="BI329" s="1992"/>
      <c r="BJ329" s="1992"/>
      <c r="BK329" s="1992"/>
    </row>
    <row r="330" spans="1:63" ht="12.75" x14ac:dyDescent="0.2">
      <c r="A330" s="1984">
        <v>323</v>
      </c>
      <c r="B330" s="1995" t="s">
        <v>556</v>
      </c>
      <c r="C330" s="1994" t="s">
        <v>557</v>
      </c>
      <c r="D330" s="1987">
        <v>234376</v>
      </c>
      <c r="E330" s="1988">
        <v>178550000</v>
      </c>
      <c r="F330" s="1989">
        <v>83342764</v>
      </c>
      <c r="G330" s="1989">
        <v>-2397443</v>
      </c>
      <c r="H330" s="1989">
        <v>1968980</v>
      </c>
      <c r="I330" s="1989">
        <v>-428463</v>
      </c>
      <c r="J330" s="1989">
        <v>-4264387</v>
      </c>
      <c r="K330" s="1989">
        <v>-50147</v>
      </c>
      <c r="L330" s="1989">
        <v>-17755</v>
      </c>
      <c r="M330" s="1989">
        <v>0</v>
      </c>
      <c r="N330" s="1989">
        <v>-2828055</v>
      </c>
      <c r="O330" s="1989">
        <v>-90883</v>
      </c>
      <c r="P330" s="1989">
        <v>-68497</v>
      </c>
      <c r="Q330" s="1989">
        <v>-3636</v>
      </c>
      <c r="R330" s="1989">
        <v>-1404</v>
      </c>
      <c r="S330" s="1989">
        <v>-19955</v>
      </c>
      <c r="T330" s="1989">
        <v>0</v>
      </c>
      <c r="U330" s="1989">
        <v>0</v>
      </c>
      <c r="V330" s="1989">
        <v>0</v>
      </c>
      <c r="W330" s="1989">
        <v>0</v>
      </c>
      <c r="X330" s="1989">
        <v>-9020</v>
      </c>
      <c r="Y330" s="1989">
        <v>-21793</v>
      </c>
      <c r="Z330" s="1989">
        <v>75538769</v>
      </c>
      <c r="AA330" s="1989">
        <v>-550000</v>
      </c>
      <c r="AB330" s="1990"/>
      <c r="AC330" s="1989">
        <v>240</v>
      </c>
      <c r="AD330" s="1989">
        <v>11</v>
      </c>
      <c r="AE330" s="1989">
        <v>10</v>
      </c>
      <c r="AF330" s="1989">
        <v>0</v>
      </c>
      <c r="AG330" s="1989">
        <v>464</v>
      </c>
      <c r="AH330" s="1989">
        <v>55</v>
      </c>
      <c r="AI330" s="1989">
        <v>11</v>
      </c>
      <c r="AJ330" s="1989">
        <v>3</v>
      </c>
      <c r="AK330" s="1989">
        <v>4</v>
      </c>
      <c r="AL330" s="1989">
        <v>5</v>
      </c>
      <c r="AM330" s="1989">
        <v>0</v>
      </c>
      <c r="AN330" s="1989">
        <v>0</v>
      </c>
      <c r="AO330" s="1989">
        <v>2322</v>
      </c>
      <c r="AP330" s="1989">
        <v>1258</v>
      </c>
      <c r="AQ330" s="1989">
        <v>748</v>
      </c>
      <c r="AR330" s="1989">
        <v>510</v>
      </c>
      <c r="AS330" s="1989">
        <v>1476</v>
      </c>
      <c r="AT330" s="1988">
        <v>5060</v>
      </c>
      <c r="AU330" s="1991"/>
      <c r="AV330" s="1991"/>
      <c r="AX330" s="1992"/>
      <c r="AY330" s="1992"/>
      <c r="AZ330" s="1992"/>
      <c r="BA330" s="1992"/>
      <c r="BB330" s="1992"/>
      <c r="BD330" s="1992"/>
      <c r="BE330" s="1992"/>
      <c r="BG330" s="1992"/>
      <c r="BI330" s="1992"/>
      <c r="BJ330" s="1992"/>
      <c r="BK330" s="1992"/>
    </row>
    <row r="331" spans="1:63" ht="12.75" x14ac:dyDescent="0.2">
      <c r="A331" s="1984">
        <v>324</v>
      </c>
      <c r="B331" s="1995" t="s">
        <v>558</v>
      </c>
      <c r="C331" s="1994" t="s">
        <v>559</v>
      </c>
      <c r="D331" s="1987">
        <v>149805</v>
      </c>
      <c r="E331" s="1988">
        <v>68373000</v>
      </c>
      <c r="F331" s="1989">
        <v>33371698</v>
      </c>
      <c r="G331" s="1989">
        <v>-3042294</v>
      </c>
      <c r="H331" s="1989">
        <v>689781</v>
      </c>
      <c r="I331" s="1989">
        <v>-2352513</v>
      </c>
      <c r="J331" s="1989">
        <v>-1760324</v>
      </c>
      <c r="K331" s="1989">
        <v>-29528</v>
      </c>
      <c r="L331" s="1989">
        <v>-2847</v>
      </c>
      <c r="M331" s="1989">
        <v>0</v>
      </c>
      <c r="N331" s="1989">
        <v>-531481</v>
      </c>
      <c r="O331" s="1989">
        <v>-3298</v>
      </c>
      <c r="P331" s="1989">
        <v>-79955</v>
      </c>
      <c r="Q331" s="1989">
        <v>0</v>
      </c>
      <c r="R331" s="1989">
        <v>-40</v>
      </c>
      <c r="S331" s="1989">
        <v>0</v>
      </c>
      <c r="T331" s="1989">
        <v>0</v>
      </c>
      <c r="U331" s="1989">
        <v>0</v>
      </c>
      <c r="V331" s="1989">
        <v>0</v>
      </c>
      <c r="W331" s="1989">
        <v>0</v>
      </c>
      <c r="X331" s="1989">
        <v>-1908</v>
      </c>
      <c r="Y331" s="1989">
        <v>-10000</v>
      </c>
      <c r="Z331" s="1989">
        <v>28599804</v>
      </c>
      <c r="AA331" s="1989">
        <v>-1170009</v>
      </c>
      <c r="AB331" s="1990"/>
      <c r="AC331" s="1989">
        <v>162</v>
      </c>
      <c r="AD331" s="1989">
        <v>7</v>
      </c>
      <c r="AE331" s="1989">
        <v>4</v>
      </c>
      <c r="AF331" s="1989">
        <v>0</v>
      </c>
      <c r="AG331" s="1989">
        <v>314</v>
      </c>
      <c r="AH331" s="1989">
        <v>2</v>
      </c>
      <c r="AI331" s="1989">
        <v>42</v>
      </c>
      <c r="AJ331" s="1989">
        <v>0</v>
      </c>
      <c r="AK331" s="1989">
        <v>1</v>
      </c>
      <c r="AL331" s="1989">
        <v>0</v>
      </c>
      <c r="AM331" s="1989">
        <v>0</v>
      </c>
      <c r="AN331" s="1989">
        <v>0</v>
      </c>
      <c r="AO331" s="1989">
        <v>1092</v>
      </c>
      <c r="AP331" s="1989">
        <v>1707</v>
      </c>
      <c r="AQ331" s="1989">
        <v>1248</v>
      </c>
      <c r="AR331" s="1989">
        <v>459</v>
      </c>
      <c r="AS331" s="1989">
        <v>1129</v>
      </c>
      <c r="AT331" s="1988">
        <v>3930</v>
      </c>
      <c r="AU331" s="1991"/>
      <c r="AV331" s="1991"/>
      <c r="AX331" s="1992"/>
      <c r="AY331" s="1992"/>
      <c r="AZ331" s="1992"/>
      <c r="BA331" s="1992"/>
      <c r="BB331" s="1992"/>
      <c r="BD331" s="1992"/>
      <c r="BE331" s="1992"/>
      <c r="BG331" s="1992"/>
      <c r="BI331" s="1992"/>
      <c r="BJ331" s="1992"/>
      <c r="BK331" s="1992"/>
    </row>
    <row r="332" spans="1:63" ht="12.75" x14ac:dyDescent="0.2">
      <c r="A332" s="1984">
        <v>325</v>
      </c>
      <c r="B332" s="1995" t="s">
        <v>560</v>
      </c>
      <c r="C332" s="1994" t="s">
        <v>561</v>
      </c>
      <c r="D332" s="1987">
        <v>130713</v>
      </c>
      <c r="E332" s="1988">
        <v>74117000</v>
      </c>
      <c r="F332" s="1989">
        <v>35322891</v>
      </c>
      <c r="G332" s="1989">
        <v>-2249413</v>
      </c>
      <c r="H332" s="1989">
        <v>796757</v>
      </c>
      <c r="I332" s="1989">
        <v>-1452656</v>
      </c>
      <c r="J332" s="1989">
        <v>-1982990</v>
      </c>
      <c r="K332" s="1989">
        <v>-49551</v>
      </c>
      <c r="L332" s="1989">
        <v>-10263</v>
      </c>
      <c r="M332" s="1989">
        <v>-125000</v>
      </c>
      <c r="N332" s="1989">
        <v>-1249031</v>
      </c>
      <c r="O332" s="1989">
        <v>-85853</v>
      </c>
      <c r="P332" s="1989">
        <v>-99109</v>
      </c>
      <c r="Q332" s="1989">
        <v>0</v>
      </c>
      <c r="R332" s="1989">
        <v>-2840</v>
      </c>
      <c r="S332" s="1989">
        <v>0</v>
      </c>
      <c r="T332" s="1989">
        <v>0</v>
      </c>
      <c r="U332" s="1989">
        <v>0</v>
      </c>
      <c r="V332" s="1989">
        <v>0</v>
      </c>
      <c r="W332" s="1989">
        <v>0</v>
      </c>
      <c r="X332" s="1989">
        <v>0</v>
      </c>
      <c r="Y332" s="1989">
        <v>-259</v>
      </c>
      <c r="Z332" s="1989">
        <v>30015339</v>
      </c>
      <c r="AA332" s="1989">
        <v>-700000</v>
      </c>
      <c r="AB332" s="1990"/>
      <c r="AC332" s="1989">
        <v>197</v>
      </c>
      <c r="AD332" s="1989">
        <v>16</v>
      </c>
      <c r="AE332" s="1989">
        <v>7</v>
      </c>
      <c r="AF332" s="1989">
        <v>0</v>
      </c>
      <c r="AG332" s="1989">
        <v>290</v>
      </c>
      <c r="AH332" s="1989">
        <v>57</v>
      </c>
      <c r="AI332" s="1989">
        <v>24</v>
      </c>
      <c r="AJ332" s="1989">
        <v>0</v>
      </c>
      <c r="AK332" s="1989">
        <v>2</v>
      </c>
      <c r="AL332" s="1989">
        <v>0</v>
      </c>
      <c r="AM332" s="1989">
        <v>0</v>
      </c>
      <c r="AN332" s="1989">
        <v>0</v>
      </c>
      <c r="AO332" s="1989">
        <v>1249</v>
      </c>
      <c r="AP332" s="1989">
        <v>1153</v>
      </c>
      <c r="AQ332" s="1989">
        <v>742</v>
      </c>
      <c r="AR332" s="1989">
        <v>409</v>
      </c>
      <c r="AS332" s="1989">
        <v>851</v>
      </c>
      <c r="AT332" s="1988">
        <v>3300</v>
      </c>
      <c r="AU332" s="1991"/>
      <c r="AV332" s="1991"/>
      <c r="AX332" s="1992"/>
      <c r="AY332" s="1992"/>
      <c r="AZ332" s="1992"/>
      <c r="BA332" s="1992"/>
      <c r="BB332" s="1992"/>
      <c r="BD332" s="1992"/>
      <c r="BE332" s="1992"/>
      <c r="BG332" s="1992"/>
      <c r="BI332" s="1992"/>
      <c r="BJ332" s="1992"/>
      <c r="BK332" s="1992"/>
    </row>
    <row r="333" spans="1:63" ht="13.5" thickBot="1" x14ac:dyDescent="0.25">
      <c r="A333" s="1984">
        <v>326</v>
      </c>
      <c r="B333" s="1999" t="s">
        <v>726</v>
      </c>
      <c r="C333" s="2000" t="s">
        <v>563</v>
      </c>
      <c r="D333" s="1987">
        <v>291989</v>
      </c>
      <c r="E333" s="1988">
        <v>257529000</v>
      </c>
      <c r="F333" s="1989">
        <v>120114500</v>
      </c>
      <c r="G333" s="1989">
        <v>-3604333</v>
      </c>
      <c r="H333" s="1989">
        <v>2933517</v>
      </c>
      <c r="I333" s="1989">
        <v>-670816</v>
      </c>
      <c r="J333" s="1989">
        <v>-8986740</v>
      </c>
      <c r="K333" s="1989">
        <v>-160000</v>
      </c>
      <c r="L333" s="1989">
        <v>-8460</v>
      </c>
      <c r="M333" s="1989">
        <v>-50000</v>
      </c>
      <c r="N333" s="1989">
        <v>-3350000</v>
      </c>
      <c r="O333" s="1989">
        <v>-70000</v>
      </c>
      <c r="P333" s="1989">
        <v>-9710</v>
      </c>
      <c r="Q333" s="1989">
        <v>-20999</v>
      </c>
      <c r="R333" s="1989">
        <v>-3180</v>
      </c>
      <c r="S333" s="1989">
        <v>-34050</v>
      </c>
      <c r="T333" s="1989">
        <v>-19992</v>
      </c>
      <c r="U333" s="1989">
        <v>0</v>
      </c>
      <c r="V333" s="1989">
        <v>0</v>
      </c>
      <c r="W333" s="1989">
        <v>-71827</v>
      </c>
      <c r="X333" s="1989">
        <v>-142756</v>
      </c>
      <c r="Y333" s="1989">
        <v>0</v>
      </c>
      <c r="Z333" s="1989">
        <v>106515970</v>
      </c>
      <c r="AA333" s="1989">
        <v>-2500000</v>
      </c>
      <c r="AB333" s="1990"/>
      <c r="AC333" s="1989">
        <v>377</v>
      </c>
      <c r="AD333" s="1989">
        <v>26</v>
      </c>
      <c r="AE333" s="1989">
        <v>6</v>
      </c>
      <c r="AF333" s="1989">
        <v>4</v>
      </c>
      <c r="AG333" s="1989">
        <v>509</v>
      </c>
      <c r="AH333" s="1989">
        <v>50</v>
      </c>
      <c r="AI333" s="1989">
        <v>4</v>
      </c>
      <c r="AJ333" s="1989">
        <v>22</v>
      </c>
      <c r="AK333" s="1989">
        <v>3</v>
      </c>
      <c r="AL333" s="1989">
        <v>12</v>
      </c>
      <c r="AM333" s="1989">
        <v>0</v>
      </c>
      <c r="AN333" s="1989">
        <v>4</v>
      </c>
      <c r="AO333" s="1989">
        <v>2388</v>
      </c>
      <c r="AP333" s="1989">
        <v>1802</v>
      </c>
      <c r="AQ333" s="1989">
        <v>1110</v>
      </c>
      <c r="AR333" s="1989">
        <v>692</v>
      </c>
      <c r="AS333" s="1989">
        <v>2320</v>
      </c>
      <c r="AT333" s="1988">
        <v>6550</v>
      </c>
      <c r="AU333" s="1991"/>
      <c r="AV333" s="1991"/>
      <c r="AX333" s="1992"/>
      <c r="AY333" s="1992"/>
      <c r="AZ333" s="1992"/>
      <c r="BA333" s="1992"/>
      <c r="BB333" s="1992"/>
      <c r="BD333" s="1992"/>
      <c r="BE333" s="1992"/>
      <c r="BG333" s="1992"/>
      <c r="BI333" s="1992"/>
      <c r="BJ333" s="1992"/>
      <c r="BK333" s="1992"/>
    </row>
    <row r="334" spans="1:63" ht="13.5" thickBot="1" x14ac:dyDescent="0.25">
      <c r="A334" s="2001">
        <v>327</v>
      </c>
      <c r="B334" s="2002" t="s">
        <v>564</v>
      </c>
      <c r="C334" s="2003" t="s">
        <v>565</v>
      </c>
      <c r="D334" s="2004" t="e">
        <v>#N/A</v>
      </c>
      <c r="E334" s="2005" t="e">
        <v>#N/A</v>
      </c>
      <c r="F334" s="2006">
        <v>0</v>
      </c>
      <c r="G334" s="2006">
        <v>0</v>
      </c>
      <c r="H334" s="2006">
        <v>0</v>
      </c>
      <c r="I334" s="2006">
        <v>0</v>
      </c>
      <c r="J334" s="2006">
        <v>0</v>
      </c>
      <c r="K334" s="2006">
        <v>0</v>
      </c>
      <c r="L334" s="2006">
        <v>0</v>
      </c>
      <c r="M334" s="2006">
        <v>0</v>
      </c>
      <c r="N334" s="2006">
        <v>0</v>
      </c>
      <c r="O334" s="2006">
        <v>0</v>
      </c>
      <c r="P334" s="2006">
        <v>0</v>
      </c>
      <c r="Q334" s="2006">
        <v>0</v>
      </c>
      <c r="R334" s="2006">
        <v>0</v>
      </c>
      <c r="S334" s="2006">
        <v>0</v>
      </c>
      <c r="T334" s="2006">
        <v>0</v>
      </c>
      <c r="U334" s="2006">
        <v>0</v>
      </c>
      <c r="V334" s="2006">
        <v>0</v>
      </c>
      <c r="W334" s="2006">
        <v>0</v>
      </c>
      <c r="X334" s="2006">
        <v>0</v>
      </c>
      <c r="Y334" s="2006">
        <v>0</v>
      </c>
      <c r="Z334" s="2006" t="e">
        <v>#N/A</v>
      </c>
      <c r="AA334" s="2006">
        <v>0</v>
      </c>
      <c r="AB334" s="2007"/>
      <c r="AC334" s="2008" t="e">
        <v>#N/A</v>
      </c>
      <c r="AD334" s="2008" t="e">
        <v>#N/A</v>
      </c>
      <c r="AE334" s="2008" t="e">
        <v>#N/A</v>
      </c>
      <c r="AF334" s="2008" t="e">
        <v>#N/A</v>
      </c>
      <c r="AG334" s="2008" t="e">
        <v>#N/A</v>
      </c>
      <c r="AH334" s="2008" t="e">
        <v>#N/A</v>
      </c>
      <c r="AI334" s="2008" t="e">
        <v>#N/A</v>
      </c>
      <c r="AJ334" s="2008" t="e">
        <v>#N/A</v>
      </c>
      <c r="AK334" s="2008" t="e">
        <v>#N/A</v>
      </c>
      <c r="AL334" s="2008" t="e">
        <v>#N/A</v>
      </c>
      <c r="AM334" s="2008" t="e">
        <v>#N/A</v>
      </c>
      <c r="AN334" s="2008" t="e">
        <v>#N/A</v>
      </c>
      <c r="AO334" s="2008" t="e">
        <v>#N/A</v>
      </c>
      <c r="AP334" s="2008" t="e">
        <v>#N/A</v>
      </c>
      <c r="AQ334" s="2008" t="e">
        <v>#N/A</v>
      </c>
      <c r="AR334" s="2008" t="e">
        <v>#N/A</v>
      </c>
      <c r="AS334" s="2008" t="e">
        <v>#N/A</v>
      </c>
      <c r="AT334" s="2005" t="e">
        <v>#N/A</v>
      </c>
    </row>
    <row r="335" spans="1:63" s="2010" customFormat="1" ht="12.75" x14ac:dyDescent="0.2">
      <c r="A335" s="2009"/>
      <c r="B335" s="2009"/>
      <c r="C335" s="2009"/>
      <c r="D335" s="2009"/>
      <c r="AX335" s="2011"/>
      <c r="AY335" s="2011"/>
      <c r="AZ335" s="2011"/>
      <c r="BA335" s="2011"/>
      <c r="BB335" s="2011"/>
      <c r="BC335" s="2011"/>
      <c r="BD335" s="2011"/>
    </row>
    <row r="336" spans="1:63" s="2010" customFormat="1" x14ac:dyDescent="0.2">
      <c r="A336" s="2012"/>
      <c r="B336" s="2012"/>
      <c r="C336" s="2012"/>
      <c r="D336" s="2012"/>
    </row>
    <row r="337" spans="1:4" s="2010" customFormat="1" x14ac:dyDescent="0.2">
      <c r="A337" s="2012"/>
      <c r="B337" s="2012"/>
      <c r="C337" s="2012"/>
      <c r="D337" s="2012"/>
    </row>
    <row r="338" spans="1:4" s="2010" customFormat="1" x14ac:dyDescent="0.2">
      <c r="A338" s="2012"/>
      <c r="B338" s="2012"/>
      <c r="C338" s="2012"/>
      <c r="D338" s="2012"/>
    </row>
    <row r="339" spans="1:4" s="2010" customFormat="1" x14ac:dyDescent="0.2">
      <c r="A339" s="2012"/>
      <c r="B339" s="2012"/>
      <c r="C339" s="2012"/>
      <c r="D339" s="2012"/>
    </row>
    <row r="340" spans="1:4" s="2010" customFormat="1" x14ac:dyDescent="0.2">
      <c r="A340" s="2012"/>
      <c r="B340" s="2012"/>
      <c r="C340" s="2012"/>
      <c r="D340" s="2012"/>
    </row>
    <row r="341" spans="1:4" s="2010" customFormat="1" x14ac:dyDescent="0.2">
      <c r="A341" s="2012"/>
      <c r="B341" s="2012"/>
      <c r="C341" s="2012"/>
      <c r="D341" s="2012"/>
    </row>
    <row r="342" spans="1:4" s="2010" customFormat="1" x14ac:dyDescent="0.2">
      <c r="A342" s="2012"/>
      <c r="B342" s="2012"/>
      <c r="C342" s="2012"/>
      <c r="D342" s="2012"/>
    </row>
    <row r="343" spans="1:4" s="2010" customFormat="1" x14ac:dyDescent="0.2">
      <c r="A343" s="2012"/>
      <c r="B343" s="2012"/>
      <c r="C343" s="2012"/>
      <c r="D343" s="2012"/>
    </row>
    <row r="344" spans="1:4" s="2010" customFormat="1" x14ac:dyDescent="0.2">
      <c r="A344" s="2012"/>
      <c r="B344" s="2012"/>
      <c r="C344" s="2012"/>
      <c r="D344" s="2012"/>
    </row>
    <row r="345" spans="1:4" s="2010" customFormat="1" x14ac:dyDescent="0.2">
      <c r="A345" s="2012"/>
      <c r="B345" s="2012"/>
      <c r="C345" s="2012"/>
      <c r="D345" s="2012"/>
    </row>
    <row r="346" spans="1:4" s="2010" customFormat="1" x14ac:dyDescent="0.2">
      <c r="A346" s="2012"/>
      <c r="B346" s="2012"/>
      <c r="C346" s="2012"/>
      <c r="D346" s="2012"/>
    </row>
    <row r="347" spans="1:4" s="2010" customFormat="1" x14ac:dyDescent="0.2">
      <c r="A347" s="2012"/>
      <c r="B347" s="2012"/>
      <c r="C347" s="2012"/>
      <c r="D347" s="2012"/>
    </row>
    <row r="348" spans="1:4" s="2010" customFormat="1" x14ac:dyDescent="0.2">
      <c r="A348" s="2012"/>
      <c r="B348" s="2012"/>
      <c r="C348" s="2012"/>
      <c r="D348" s="2012"/>
    </row>
    <row r="349" spans="1:4" s="2010" customFormat="1" x14ac:dyDescent="0.2">
      <c r="A349" s="2012"/>
      <c r="B349" s="2012"/>
      <c r="C349" s="2012"/>
      <c r="D349" s="2012"/>
    </row>
    <row r="350" spans="1:4" s="2010" customFormat="1" x14ac:dyDescent="0.2">
      <c r="A350" s="2012"/>
      <c r="B350" s="2012"/>
      <c r="C350" s="2012"/>
      <c r="D350" s="2012"/>
    </row>
    <row r="351" spans="1:4" s="2010" customFormat="1" x14ac:dyDescent="0.2">
      <c r="A351" s="2012"/>
      <c r="B351" s="2012"/>
      <c r="C351" s="2012"/>
      <c r="D351" s="2012"/>
    </row>
    <row r="352" spans="1:4" s="2010" customFormat="1" x14ac:dyDescent="0.2">
      <c r="A352" s="2012"/>
      <c r="B352" s="2012"/>
      <c r="C352" s="2012"/>
      <c r="D352" s="2012"/>
    </row>
    <row r="353" spans="1:4" s="2010" customFormat="1" x14ac:dyDescent="0.2">
      <c r="A353" s="2012"/>
      <c r="B353" s="2012"/>
      <c r="C353" s="2012"/>
      <c r="D353" s="2012"/>
    </row>
    <row r="354" spans="1:4" s="2010" customFormat="1" x14ac:dyDescent="0.2">
      <c r="A354" s="2012"/>
      <c r="B354" s="2012"/>
      <c r="C354" s="2012"/>
      <c r="D354" s="2012"/>
    </row>
    <row r="355" spans="1:4" s="2010" customFormat="1" x14ac:dyDescent="0.2">
      <c r="A355" s="2012"/>
      <c r="B355" s="2012"/>
      <c r="C355" s="2012"/>
      <c r="D355" s="2012"/>
    </row>
    <row r="356" spans="1:4" s="2010" customFormat="1" x14ac:dyDescent="0.2">
      <c r="A356" s="2012"/>
      <c r="B356" s="2012"/>
      <c r="C356" s="2012"/>
      <c r="D356" s="2012"/>
    </row>
    <row r="357" spans="1:4" s="2010" customFormat="1" x14ac:dyDescent="0.2">
      <c r="A357" s="2012"/>
      <c r="B357" s="2012"/>
      <c r="C357" s="2012"/>
      <c r="D357" s="2012"/>
    </row>
    <row r="358" spans="1:4" s="2010" customFormat="1" x14ac:dyDescent="0.2">
      <c r="A358" s="2012"/>
      <c r="B358" s="2012"/>
      <c r="C358" s="2012"/>
      <c r="D358" s="2012"/>
    </row>
    <row r="359" spans="1:4" s="2010" customFormat="1" x14ac:dyDescent="0.2">
      <c r="A359" s="2012"/>
      <c r="B359" s="2012"/>
      <c r="C359" s="2012"/>
      <c r="D359" s="2012"/>
    </row>
    <row r="360" spans="1:4" s="2010" customFormat="1" x14ac:dyDescent="0.2">
      <c r="A360" s="2012"/>
      <c r="B360" s="2012"/>
      <c r="C360" s="2012"/>
      <c r="D360" s="2012"/>
    </row>
    <row r="361" spans="1:4" s="2010" customFormat="1" x14ac:dyDescent="0.2">
      <c r="A361" s="2012"/>
      <c r="B361" s="2012"/>
      <c r="C361" s="2012"/>
      <c r="D361" s="2012"/>
    </row>
    <row r="362" spans="1:4" s="2010" customFormat="1" x14ac:dyDescent="0.2">
      <c r="A362" s="2012"/>
      <c r="B362" s="2012"/>
      <c r="C362" s="2012"/>
      <c r="D362" s="2012"/>
    </row>
    <row r="363" spans="1:4" s="2010" customFormat="1" x14ac:dyDescent="0.2">
      <c r="A363" s="2012"/>
      <c r="B363" s="2012"/>
      <c r="C363" s="2012"/>
      <c r="D363" s="2012"/>
    </row>
    <row r="364" spans="1:4" s="2010" customFormat="1" x14ac:dyDescent="0.2">
      <c r="A364" s="2012"/>
      <c r="B364" s="2012"/>
      <c r="C364" s="2012"/>
      <c r="D364" s="2012"/>
    </row>
    <row r="365" spans="1:4" s="2010" customFormat="1" x14ac:dyDescent="0.2">
      <c r="A365" s="2012"/>
      <c r="B365" s="2012"/>
      <c r="C365" s="2012"/>
      <c r="D365" s="2012"/>
    </row>
    <row r="366" spans="1:4" s="2010" customFormat="1" x14ac:dyDescent="0.2">
      <c r="A366" s="2012"/>
      <c r="B366" s="2012"/>
      <c r="C366" s="2012"/>
      <c r="D366" s="2012"/>
    </row>
    <row r="367" spans="1:4" s="2010" customFormat="1" x14ac:dyDescent="0.2">
      <c r="A367" s="2012"/>
      <c r="B367" s="2012"/>
      <c r="C367" s="2012"/>
      <c r="D367" s="2012"/>
    </row>
    <row r="368" spans="1:4" s="2010" customFormat="1" x14ac:dyDescent="0.2">
      <c r="A368" s="2012"/>
      <c r="B368" s="2012"/>
      <c r="C368" s="2012"/>
      <c r="D368" s="2012"/>
    </row>
    <row r="369" spans="1:4" s="2010" customFormat="1" x14ac:dyDescent="0.2">
      <c r="A369" s="2012"/>
      <c r="B369" s="2012"/>
      <c r="C369" s="2012"/>
      <c r="D369" s="2012"/>
    </row>
    <row r="370" spans="1:4" s="2010" customFormat="1" x14ac:dyDescent="0.2">
      <c r="A370" s="2012"/>
      <c r="B370" s="2012"/>
      <c r="C370" s="2012"/>
      <c r="D370" s="2012"/>
    </row>
    <row r="371" spans="1:4" s="2010" customFormat="1" x14ac:dyDescent="0.2">
      <c r="A371" s="2012"/>
      <c r="B371" s="2012"/>
      <c r="C371" s="2012"/>
      <c r="D371" s="2012"/>
    </row>
    <row r="372" spans="1:4" s="2010" customFormat="1" x14ac:dyDescent="0.2">
      <c r="A372" s="2012"/>
      <c r="B372" s="2012"/>
      <c r="C372" s="2012"/>
      <c r="D372" s="2012"/>
    </row>
    <row r="373" spans="1:4" s="2010" customFormat="1" x14ac:dyDescent="0.2">
      <c r="A373" s="2012"/>
      <c r="B373" s="2012"/>
      <c r="C373" s="2012"/>
      <c r="D373" s="2012"/>
    </row>
    <row r="374" spans="1:4" s="2010" customFormat="1" x14ac:dyDescent="0.2">
      <c r="A374" s="2012"/>
      <c r="B374" s="2012"/>
      <c r="C374" s="2012"/>
      <c r="D374" s="2012"/>
    </row>
    <row r="375" spans="1:4" s="2010" customFormat="1" x14ac:dyDescent="0.2">
      <c r="A375" s="2012"/>
      <c r="B375" s="2012"/>
      <c r="C375" s="2012"/>
      <c r="D375" s="2012"/>
    </row>
    <row r="376" spans="1:4" s="2010" customFormat="1" x14ac:dyDescent="0.2">
      <c r="A376" s="2012"/>
      <c r="B376" s="2012"/>
      <c r="C376" s="2012"/>
      <c r="D376" s="2012"/>
    </row>
    <row r="377" spans="1:4" s="2010" customFormat="1" x14ac:dyDescent="0.2">
      <c r="A377" s="2012"/>
      <c r="B377" s="2012"/>
      <c r="C377" s="2012"/>
      <c r="D377" s="2012"/>
    </row>
    <row r="378" spans="1:4" s="2010" customFormat="1" x14ac:dyDescent="0.2">
      <c r="A378" s="2012"/>
      <c r="B378" s="2012"/>
      <c r="C378" s="2012"/>
      <c r="D378" s="2012"/>
    </row>
    <row r="379" spans="1:4" s="2010" customFormat="1" x14ac:dyDescent="0.2">
      <c r="A379" s="2012"/>
      <c r="B379" s="2012"/>
      <c r="C379" s="2012"/>
      <c r="D379" s="2012"/>
    </row>
    <row r="380" spans="1:4" s="2010" customFormat="1" x14ac:dyDescent="0.2">
      <c r="A380" s="2012"/>
      <c r="B380" s="2012"/>
      <c r="C380" s="2012"/>
      <c r="D380" s="2012"/>
    </row>
    <row r="381" spans="1:4" s="2010" customFormat="1" x14ac:dyDescent="0.2">
      <c r="A381" s="2012"/>
      <c r="B381" s="2012"/>
      <c r="C381" s="2012"/>
      <c r="D381" s="2012"/>
    </row>
    <row r="382" spans="1:4" s="2010" customFormat="1" x14ac:dyDescent="0.2">
      <c r="A382" s="2012"/>
      <c r="B382" s="2012"/>
      <c r="C382" s="2012"/>
      <c r="D382" s="2012"/>
    </row>
    <row r="383" spans="1:4" s="2010" customFormat="1" x14ac:dyDescent="0.2">
      <c r="A383" s="2012"/>
      <c r="B383" s="2012"/>
      <c r="C383" s="2012"/>
      <c r="D383" s="2012"/>
    </row>
    <row r="384" spans="1:4" s="2010" customFormat="1" x14ac:dyDescent="0.2">
      <c r="A384" s="2012"/>
      <c r="B384" s="2012"/>
      <c r="C384" s="2012"/>
      <c r="D384" s="2012"/>
    </row>
    <row r="385" spans="1:4" s="2010" customFormat="1" x14ac:dyDescent="0.2">
      <c r="A385" s="2012"/>
      <c r="B385" s="2012"/>
      <c r="C385" s="2012"/>
      <c r="D385" s="2012"/>
    </row>
    <row r="386" spans="1:4" s="2010" customFormat="1" x14ac:dyDescent="0.2">
      <c r="A386" s="2012"/>
      <c r="B386" s="2012"/>
      <c r="C386" s="2012"/>
      <c r="D386" s="2012"/>
    </row>
    <row r="387" spans="1:4" s="2010" customFormat="1" x14ac:dyDescent="0.2">
      <c r="A387" s="2012"/>
      <c r="B387" s="2012"/>
      <c r="C387" s="2012"/>
      <c r="D387" s="2012"/>
    </row>
    <row r="388" spans="1:4" s="2010" customFormat="1" x14ac:dyDescent="0.2">
      <c r="A388" s="2012"/>
      <c r="B388" s="2012"/>
      <c r="C388" s="2012"/>
      <c r="D388" s="2012"/>
    </row>
    <row r="389" spans="1:4" s="2010" customFormat="1" x14ac:dyDescent="0.2">
      <c r="A389" s="2012"/>
      <c r="B389" s="2012"/>
      <c r="C389" s="2012"/>
      <c r="D389" s="2012"/>
    </row>
    <row r="390" spans="1:4" s="2010" customFormat="1" x14ac:dyDescent="0.2">
      <c r="A390" s="2012"/>
      <c r="B390" s="2012"/>
      <c r="C390" s="2012"/>
      <c r="D390" s="2012"/>
    </row>
    <row r="391" spans="1:4" s="2010" customFormat="1" x14ac:dyDescent="0.2">
      <c r="A391" s="2012"/>
      <c r="B391" s="2012"/>
      <c r="C391" s="2012"/>
      <c r="D391" s="2012"/>
    </row>
    <row r="392" spans="1:4" s="2010" customFormat="1" x14ac:dyDescent="0.2">
      <c r="A392" s="2012"/>
      <c r="B392" s="2012"/>
      <c r="C392" s="2012"/>
      <c r="D392" s="2012"/>
    </row>
    <row r="393" spans="1:4" s="2010" customFormat="1" x14ac:dyDescent="0.2">
      <c r="A393" s="2012"/>
      <c r="B393" s="2012"/>
      <c r="C393" s="2012"/>
      <c r="D393" s="2012"/>
    </row>
    <row r="394" spans="1:4" s="2010" customFormat="1" x14ac:dyDescent="0.2">
      <c r="A394" s="2012"/>
      <c r="B394" s="2012"/>
      <c r="C394" s="2012"/>
      <c r="D394" s="2012"/>
    </row>
    <row r="395" spans="1:4" s="2010" customFormat="1" x14ac:dyDescent="0.2">
      <c r="A395" s="2012"/>
      <c r="B395" s="2012"/>
      <c r="C395" s="2012"/>
      <c r="D395" s="2012"/>
    </row>
    <row r="396" spans="1:4" s="2010" customFormat="1" x14ac:dyDescent="0.2">
      <c r="A396" s="2012"/>
      <c r="B396" s="2012"/>
      <c r="C396" s="2012"/>
      <c r="D396" s="2012"/>
    </row>
    <row r="397" spans="1:4" s="2010" customFormat="1" x14ac:dyDescent="0.2">
      <c r="A397" s="2012"/>
      <c r="B397" s="2012"/>
      <c r="C397" s="2012"/>
      <c r="D397" s="2012"/>
    </row>
    <row r="398" spans="1:4" s="2010" customFormat="1" x14ac:dyDescent="0.2">
      <c r="A398" s="2012"/>
      <c r="B398" s="2012"/>
      <c r="C398" s="2012"/>
      <c r="D398" s="2012"/>
    </row>
    <row r="399" spans="1:4" s="2010" customFormat="1" x14ac:dyDescent="0.2">
      <c r="A399" s="2012"/>
      <c r="B399" s="2012"/>
      <c r="C399" s="2012"/>
      <c r="D399" s="2012"/>
    </row>
    <row r="400" spans="1:4" s="2010" customFormat="1" x14ac:dyDescent="0.2">
      <c r="A400" s="2012"/>
      <c r="B400" s="2012"/>
      <c r="C400" s="2012"/>
      <c r="D400" s="2012"/>
    </row>
    <row r="401" spans="1:4" s="2010" customFormat="1" x14ac:dyDescent="0.2">
      <c r="A401" s="2012"/>
      <c r="B401" s="2012"/>
      <c r="C401" s="2012"/>
      <c r="D401" s="2012"/>
    </row>
    <row r="402" spans="1:4" s="2010" customFormat="1" x14ac:dyDescent="0.2">
      <c r="A402" s="2012"/>
      <c r="B402" s="2012"/>
      <c r="C402" s="2012"/>
      <c r="D402" s="2012"/>
    </row>
    <row r="403" spans="1:4" s="2010" customFormat="1" x14ac:dyDescent="0.2">
      <c r="A403" s="2012"/>
      <c r="B403" s="2012"/>
      <c r="C403" s="2012"/>
      <c r="D403" s="2012"/>
    </row>
    <row r="404" spans="1:4" s="2010" customFormat="1" x14ac:dyDescent="0.2">
      <c r="A404" s="2012"/>
      <c r="B404" s="2012"/>
      <c r="C404" s="2012"/>
      <c r="D404" s="2012"/>
    </row>
    <row r="405" spans="1:4" s="2010" customFormat="1" x14ac:dyDescent="0.2">
      <c r="A405" s="2012"/>
      <c r="B405" s="2012"/>
      <c r="C405" s="2012"/>
      <c r="D405" s="2012"/>
    </row>
    <row r="406" spans="1:4" s="2010" customFormat="1" x14ac:dyDescent="0.2">
      <c r="A406" s="2012"/>
      <c r="B406" s="2012"/>
      <c r="C406" s="2012"/>
      <c r="D406" s="2012"/>
    </row>
    <row r="407" spans="1:4" s="2010" customFormat="1" x14ac:dyDescent="0.2">
      <c r="A407" s="2012"/>
      <c r="B407" s="2012"/>
      <c r="C407" s="2012"/>
      <c r="D407" s="2012"/>
    </row>
    <row r="408" spans="1:4" s="2010" customFormat="1" x14ac:dyDescent="0.2">
      <c r="A408" s="2012"/>
      <c r="B408" s="2012"/>
      <c r="C408" s="2012"/>
      <c r="D408" s="2012"/>
    </row>
    <row r="409" spans="1:4" s="2010" customFormat="1" x14ac:dyDescent="0.2">
      <c r="A409" s="2012"/>
      <c r="B409" s="2012"/>
      <c r="C409" s="2012"/>
      <c r="D409" s="2012"/>
    </row>
    <row r="410" spans="1:4" s="2010" customFormat="1" x14ac:dyDescent="0.2">
      <c r="A410" s="2012"/>
      <c r="B410" s="2012"/>
      <c r="C410" s="2012"/>
      <c r="D410" s="2012"/>
    </row>
    <row r="411" spans="1:4" s="2010" customFormat="1" x14ac:dyDescent="0.2">
      <c r="A411" s="2012"/>
      <c r="B411" s="2012"/>
      <c r="C411" s="2012"/>
      <c r="D411" s="2012"/>
    </row>
    <row r="412" spans="1:4" s="2010" customFormat="1" x14ac:dyDescent="0.2">
      <c r="A412" s="2012"/>
      <c r="B412" s="2012"/>
      <c r="C412" s="2012"/>
      <c r="D412" s="2012"/>
    </row>
    <row r="413" spans="1:4" s="2010" customFormat="1" x14ac:dyDescent="0.2">
      <c r="A413" s="2012"/>
      <c r="B413" s="2012"/>
      <c r="C413" s="2012"/>
      <c r="D413" s="2012"/>
    </row>
    <row r="414" spans="1:4" s="2010" customFormat="1" x14ac:dyDescent="0.2">
      <c r="A414" s="2012"/>
      <c r="B414" s="2012"/>
      <c r="C414" s="2012"/>
      <c r="D414" s="2012"/>
    </row>
    <row r="415" spans="1:4" s="2010" customFormat="1" x14ac:dyDescent="0.2">
      <c r="A415" s="2012"/>
      <c r="B415" s="2012"/>
      <c r="C415" s="2012"/>
      <c r="D415" s="2012"/>
    </row>
    <row r="416" spans="1:4" s="2010" customFormat="1" x14ac:dyDescent="0.2">
      <c r="A416" s="2012"/>
      <c r="B416" s="2012"/>
      <c r="C416" s="2012"/>
      <c r="D416" s="2012"/>
    </row>
    <row r="417" spans="1:4" s="2010" customFormat="1" x14ac:dyDescent="0.2">
      <c r="A417" s="2012"/>
      <c r="B417" s="2012"/>
      <c r="C417" s="2012"/>
      <c r="D417" s="2012"/>
    </row>
    <row r="418" spans="1:4" s="2010" customFormat="1" x14ac:dyDescent="0.2">
      <c r="A418" s="2012"/>
      <c r="B418" s="2012"/>
      <c r="C418" s="2012"/>
      <c r="D418" s="2012"/>
    </row>
    <row r="419" spans="1:4" s="2010" customFormat="1" x14ac:dyDescent="0.2">
      <c r="A419" s="2012"/>
      <c r="B419" s="2012"/>
      <c r="C419" s="2012"/>
      <c r="D419" s="2012"/>
    </row>
    <row r="420" spans="1:4" s="2010" customFormat="1" x14ac:dyDescent="0.2">
      <c r="A420" s="2012"/>
      <c r="B420" s="2012"/>
      <c r="C420" s="2012"/>
      <c r="D420" s="2012"/>
    </row>
    <row r="421" spans="1:4" s="2010" customFormat="1" x14ac:dyDescent="0.2">
      <c r="A421" s="2012"/>
      <c r="B421" s="2012"/>
      <c r="C421" s="2012"/>
      <c r="D421" s="2012"/>
    </row>
    <row r="422" spans="1:4" s="2010" customFormat="1" x14ac:dyDescent="0.2">
      <c r="A422" s="2012"/>
      <c r="B422" s="2012"/>
      <c r="C422" s="2012"/>
      <c r="D422" s="2012"/>
    </row>
    <row r="423" spans="1:4" s="2010" customFormat="1" x14ac:dyDescent="0.2">
      <c r="A423" s="2012"/>
      <c r="B423" s="2012"/>
      <c r="C423" s="2012"/>
      <c r="D423" s="2012"/>
    </row>
    <row r="424" spans="1:4" s="2010" customFormat="1" x14ac:dyDescent="0.2">
      <c r="A424" s="2012"/>
      <c r="B424" s="2012"/>
      <c r="C424" s="2012"/>
      <c r="D424" s="2012"/>
    </row>
    <row r="425" spans="1:4" s="2010" customFormat="1" x14ac:dyDescent="0.2">
      <c r="A425" s="2012"/>
      <c r="B425" s="2012"/>
      <c r="C425" s="2012"/>
      <c r="D425" s="2012"/>
    </row>
    <row r="426" spans="1:4" s="2010" customFormat="1" x14ac:dyDescent="0.2">
      <c r="A426" s="2012"/>
      <c r="B426" s="2012"/>
      <c r="C426" s="2012"/>
      <c r="D426" s="2012"/>
    </row>
    <row r="427" spans="1:4" s="2010" customFormat="1" x14ac:dyDescent="0.2">
      <c r="A427" s="2012"/>
      <c r="B427" s="2012"/>
      <c r="C427" s="2012"/>
      <c r="D427" s="2012"/>
    </row>
    <row r="428" spans="1:4" s="2010" customFormat="1" x14ac:dyDescent="0.2">
      <c r="A428" s="2012"/>
      <c r="B428" s="2012"/>
      <c r="C428" s="2012"/>
      <c r="D428" s="2012"/>
    </row>
    <row r="429" spans="1:4" s="2010" customFormat="1" x14ac:dyDescent="0.2">
      <c r="A429" s="2012"/>
      <c r="B429" s="2012"/>
      <c r="C429" s="2012"/>
      <c r="D429" s="2012"/>
    </row>
    <row r="430" spans="1:4" s="2010" customFormat="1" x14ac:dyDescent="0.2">
      <c r="A430" s="2012"/>
      <c r="B430" s="2012"/>
      <c r="C430" s="2012"/>
      <c r="D430" s="2012"/>
    </row>
    <row r="431" spans="1:4" s="2010" customFormat="1" x14ac:dyDescent="0.2">
      <c r="A431" s="2012"/>
      <c r="B431" s="2012"/>
      <c r="C431" s="2012"/>
      <c r="D431" s="2012"/>
    </row>
    <row r="432" spans="1:4" s="2010" customFormat="1" x14ac:dyDescent="0.2">
      <c r="A432" s="2012"/>
      <c r="B432" s="2012"/>
      <c r="C432" s="2012"/>
      <c r="D432" s="2012"/>
    </row>
    <row r="433" spans="1:4" s="2010" customFormat="1" x14ac:dyDescent="0.2">
      <c r="A433" s="2012"/>
      <c r="B433" s="2012"/>
      <c r="C433" s="2012"/>
      <c r="D433" s="2012"/>
    </row>
    <row r="434" spans="1:4" s="2010" customFormat="1" x14ac:dyDescent="0.2">
      <c r="A434" s="2012"/>
      <c r="B434" s="2012"/>
      <c r="C434" s="2012"/>
      <c r="D434" s="2012"/>
    </row>
    <row r="435" spans="1:4" s="2010" customFormat="1" x14ac:dyDescent="0.2">
      <c r="A435" s="2012"/>
      <c r="B435" s="2012"/>
      <c r="C435" s="2012"/>
      <c r="D435" s="2012"/>
    </row>
    <row r="436" spans="1:4" s="2010" customFormat="1" x14ac:dyDescent="0.2">
      <c r="A436" s="2012"/>
      <c r="B436" s="2012"/>
      <c r="C436" s="2012"/>
      <c r="D436" s="2012"/>
    </row>
    <row r="437" spans="1:4" s="2010" customFormat="1" x14ac:dyDescent="0.2">
      <c r="A437" s="2012"/>
      <c r="B437" s="2012"/>
      <c r="C437" s="2012"/>
      <c r="D437" s="2012"/>
    </row>
    <row r="438" spans="1:4" s="2010" customFormat="1" x14ac:dyDescent="0.2">
      <c r="A438" s="2012"/>
      <c r="B438" s="2012"/>
      <c r="C438" s="2012"/>
      <c r="D438" s="2012"/>
    </row>
    <row r="439" spans="1:4" s="2010" customFormat="1" x14ac:dyDescent="0.2">
      <c r="A439" s="2012"/>
      <c r="B439" s="2012"/>
      <c r="C439" s="2012"/>
      <c r="D439" s="2012"/>
    </row>
    <row r="440" spans="1:4" s="2010" customFormat="1" x14ac:dyDescent="0.2">
      <c r="A440" s="2012"/>
      <c r="B440" s="2012"/>
      <c r="C440" s="2012"/>
      <c r="D440" s="2012"/>
    </row>
    <row r="441" spans="1:4" s="2010" customFormat="1" x14ac:dyDescent="0.2">
      <c r="A441" s="2012"/>
      <c r="B441" s="2012"/>
      <c r="C441" s="2012"/>
      <c r="D441" s="2012"/>
    </row>
    <row r="442" spans="1:4" s="2010" customFormat="1" x14ac:dyDescent="0.2">
      <c r="A442" s="2012"/>
      <c r="B442" s="2012"/>
      <c r="C442" s="2012"/>
      <c r="D442" s="2012"/>
    </row>
    <row r="443" spans="1:4" s="2010" customFormat="1" x14ac:dyDescent="0.2">
      <c r="A443" s="2012"/>
      <c r="B443" s="2012"/>
      <c r="C443" s="2012"/>
      <c r="D443" s="2012"/>
    </row>
    <row r="444" spans="1:4" s="2010" customFormat="1" x14ac:dyDescent="0.2">
      <c r="A444" s="2012"/>
      <c r="B444" s="2012"/>
      <c r="C444" s="2012"/>
      <c r="D444" s="2012"/>
    </row>
    <row r="445" spans="1:4" s="2010" customFormat="1" x14ac:dyDescent="0.2">
      <c r="A445" s="2012"/>
      <c r="B445" s="2012"/>
      <c r="C445" s="2012"/>
      <c r="D445" s="2012"/>
    </row>
    <row r="446" spans="1:4" s="2010" customFormat="1" x14ac:dyDescent="0.2">
      <c r="A446" s="2012"/>
      <c r="B446" s="2012"/>
      <c r="C446" s="2012"/>
      <c r="D446" s="2012"/>
    </row>
    <row r="447" spans="1:4" s="2010" customFormat="1" x14ac:dyDescent="0.2">
      <c r="A447" s="2012"/>
      <c r="B447" s="2012"/>
      <c r="C447" s="2012"/>
      <c r="D447" s="2012"/>
    </row>
    <row r="448" spans="1:4" s="2010" customFormat="1" x14ac:dyDescent="0.2">
      <c r="A448" s="2012"/>
      <c r="B448" s="2012"/>
      <c r="C448" s="2012"/>
      <c r="D448" s="2012"/>
    </row>
    <row r="449" spans="1:4" s="2010" customFormat="1" x14ac:dyDescent="0.2">
      <c r="A449" s="2012"/>
      <c r="B449" s="2012"/>
      <c r="C449" s="2012"/>
      <c r="D449" s="2012"/>
    </row>
    <row r="450" spans="1:4" s="2010" customFormat="1" x14ac:dyDescent="0.2">
      <c r="A450" s="2012"/>
      <c r="B450" s="2012"/>
      <c r="C450" s="2012"/>
      <c r="D450" s="2012"/>
    </row>
    <row r="451" spans="1:4" s="2010" customFormat="1" x14ac:dyDescent="0.2">
      <c r="A451" s="2012"/>
      <c r="B451" s="2012"/>
      <c r="C451" s="2012"/>
      <c r="D451" s="2012"/>
    </row>
    <row r="452" spans="1:4" s="2010" customFormat="1" x14ac:dyDescent="0.2">
      <c r="A452" s="2012"/>
      <c r="B452" s="2012"/>
      <c r="C452" s="2012"/>
      <c r="D452" s="2012"/>
    </row>
    <row r="453" spans="1:4" s="2010" customFormat="1" x14ac:dyDescent="0.2">
      <c r="A453" s="2012"/>
      <c r="B453" s="2012"/>
      <c r="C453" s="2012"/>
      <c r="D453" s="2012"/>
    </row>
    <row r="454" spans="1:4" s="2010" customFormat="1" x14ac:dyDescent="0.2">
      <c r="A454" s="2012"/>
      <c r="B454" s="2012"/>
      <c r="C454" s="2012"/>
      <c r="D454" s="2012"/>
    </row>
    <row r="455" spans="1:4" s="2010" customFormat="1" x14ac:dyDescent="0.2">
      <c r="A455" s="2012"/>
      <c r="B455" s="2012"/>
      <c r="C455" s="2012"/>
      <c r="D455" s="2012"/>
    </row>
    <row r="456" spans="1:4" s="2010" customFormat="1" x14ac:dyDescent="0.2">
      <c r="A456" s="2012"/>
      <c r="B456" s="2012"/>
      <c r="C456" s="2012"/>
      <c r="D456" s="2012"/>
    </row>
    <row r="457" spans="1:4" s="2010" customFormat="1" x14ac:dyDescent="0.2">
      <c r="A457" s="2012"/>
      <c r="B457" s="2012"/>
      <c r="C457" s="2012"/>
      <c r="D457" s="2012"/>
    </row>
    <row r="458" spans="1:4" s="2010" customFormat="1" x14ac:dyDescent="0.2">
      <c r="A458" s="2012"/>
      <c r="B458" s="2012"/>
      <c r="C458" s="2012"/>
      <c r="D458" s="2012"/>
    </row>
    <row r="459" spans="1:4" s="2010" customFormat="1" x14ac:dyDescent="0.2">
      <c r="A459" s="2012"/>
      <c r="B459" s="2012"/>
      <c r="C459" s="2012"/>
      <c r="D459" s="2012"/>
    </row>
    <row r="460" spans="1:4" s="2010" customFormat="1" x14ac:dyDescent="0.2">
      <c r="A460" s="2012"/>
      <c r="B460" s="2012"/>
      <c r="C460" s="2012"/>
      <c r="D460" s="2012"/>
    </row>
    <row r="461" spans="1:4" s="2010" customFormat="1" x14ac:dyDescent="0.2">
      <c r="A461" s="2012"/>
      <c r="B461" s="2012"/>
      <c r="C461" s="2012"/>
      <c r="D461" s="2012"/>
    </row>
    <row r="462" spans="1:4" s="2010" customFormat="1" x14ac:dyDescent="0.2">
      <c r="A462" s="2012"/>
      <c r="B462" s="2012"/>
      <c r="C462" s="2012"/>
      <c r="D462" s="2012"/>
    </row>
    <row r="463" spans="1:4" s="2010" customFormat="1" x14ac:dyDescent="0.2">
      <c r="A463" s="2012"/>
      <c r="B463" s="2012"/>
      <c r="C463" s="2012"/>
      <c r="D463" s="2012"/>
    </row>
    <row r="464" spans="1:4" s="2010" customFormat="1" x14ac:dyDescent="0.2">
      <c r="A464" s="2012"/>
      <c r="B464" s="2012"/>
      <c r="C464" s="2012"/>
      <c r="D464" s="2012"/>
    </row>
    <row r="465" spans="1:4" s="2010" customFormat="1" x14ac:dyDescent="0.2">
      <c r="A465" s="2012"/>
      <c r="B465" s="2012"/>
      <c r="C465" s="2012"/>
      <c r="D465" s="2012"/>
    </row>
    <row r="466" spans="1:4" s="2010" customFormat="1" x14ac:dyDescent="0.2">
      <c r="A466" s="2012"/>
      <c r="B466" s="2012"/>
      <c r="C466" s="2012"/>
      <c r="D466" s="2012"/>
    </row>
    <row r="467" spans="1:4" s="2010" customFormat="1" x14ac:dyDescent="0.2">
      <c r="A467" s="2012"/>
      <c r="B467" s="2012"/>
      <c r="C467" s="2012"/>
      <c r="D467" s="2012"/>
    </row>
    <row r="468" spans="1:4" s="2010" customFormat="1" x14ac:dyDescent="0.2">
      <c r="A468" s="2012"/>
      <c r="B468" s="2012"/>
      <c r="C468" s="2012"/>
      <c r="D468" s="2012"/>
    </row>
    <row r="469" spans="1:4" s="2010" customFormat="1" x14ac:dyDescent="0.2">
      <c r="A469" s="2012"/>
      <c r="B469" s="2012"/>
      <c r="C469" s="2012"/>
      <c r="D469" s="2012"/>
    </row>
    <row r="470" spans="1:4" s="2010" customFormat="1" x14ac:dyDescent="0.2">
      <c r="A470" s="2012"/>
      <c r="B470" s="2012"/>
      <c r="C470" s="2012"/>
      <c r="D470" s="2012"/>
    </row>
    <row r="471" spans="1:4" s="2010" customFormat="1" x14ac:dyDescent="0.2">
      <c r="A471" s="2012"/>
      <c r="B471" s="2012"/>
      <c r="C471" s="2012"/>
      <c r="D471" s="2012"/>
    </row>
    <row r="472" spans="1:4" s="2010" customFormat="1" x14ac:dyDescent="0.2">
      <c r="A472" s="2012"/>
      <c r="B472" s="2012"/>
      <c r="C472" s="2012"/>
      <c r="D472" s="2012"/>
    </row>
    <row r="473" spans="1:4" s="2010" customFormat="1" x14ac:dyDescent="0.2">
      <c r="A473" s="2012"/>
      <c r="B473" s="2012"/>
      <c r="C473" s="2012"/>
      <c r="D473" s="2012"/>
    </row>
    <row r="474" spans="1:4" s="2010" customFormat="1" x14ac:dyDescent="0.2">
      <c r="A474" s="2012"/>
      <c r="B474" s="2012"/>
      <c r="C474" s="2012"/>
      <c r="D474" s="2012"/>
    </row>
    <row r="475" spans="1:4" s="2010" customFormat="1" x14ac:dyDescent="0.2">
      <c r="A475" s="2012"/>
      <c r="B475" s="2012"/>
      <c r="C475" s="2012"/>
      <c r="D475" s="2012"/>
    </row>
    <row r="476" spans="1:4" s="2010" customFormat="1" x14ac:dyDescent="0.2">
      <c r="A476" s="2012"/>
      <c r="B476" s="2012"/>
      <c r="C476" s="2012"/>
      <c r="D476" s="2012"/>
    </row>
    <row r="477" spans="1:4" s="2010" customFormat="1" x14ac:dyDescent="0.2">
      <c r="A477" s="2012"/>
      <c r="B477" s="2012"/>
      <c r="C477" s="2012"/>
      <c r="D477" s="2012"/>
    </row>
    <row r="478" spans="1:4" s="2010" customFormat="1" x14ac:dyDescent="0.2">
      <c r="A478" s="2012"/>
      <c r="B478" s="2012"/>
      <c r="C478" s="2012"/>
      <c r="D478" s="2012"/>
    </row>
    <row r="479" spans="1:4" s="2010" customFormat="1" x14ac:dyDescent="0.2">
      <c r="A479" s="2012"/>
      <c r="B479" s="2012"/>
      <c r="C479" s="2012"/>
      <c r="D479" s="2012"/>
    </row>
    <row r="480" spans="1:4" s="2010" customFormat="1" x14ac:dyDescent="0.2">
      <c r="A480" s="2012"/>
      <c r="B480" s="2012"/>
      <c r="C480" s="2012"/>
      <c r="D480" s="2012"/>
    </row>
    <row r="481" spans="1:4" s="2010" customFormat="1" x14ac:dyDescent="0.2">
      <c r="A481" s="2012"/>
      <c r="B481" s="2012"/>
      <c r="C481" s="2012"/>
      <c r="D481" s="2012"/>
    </row>
    <row r="482" spans="1:4" s="2010" customFormat="1" x14ac:dyDescent="0.2">
      <c r="A482" s="2012"/>
      <c r="B482" s="2012"/>
      <c r="C482" s="2012"/>
      <c r="D482" s="2012"/>
    </row>
    <row r="483" spans="1:4" s="2010" customFormat="1" x14ac:dyDescent="0.2">
      <c r="A483" s="2012"/>
      <c r="B483" s="2012"/>
      <c r="C483" s="2012"/>
      <c r="D483" s="2012"/>
    </row>
    <row r="484" spans="1:4" s="2010" customFormat="1" x14ac:dyDescent="0.2">
      <c r="A484" s="2012"/>
      <c r="B484" s="2012"/>
      <c r="C484" s="2012"/>
      <c r="D484" s="2012"/>
    </row>
    <row r="485" spans="1:4" s="2010" customFormat="1" x14ac:dyDescent="0.2">
      <c r="A485" s="2012"/>
      <c r="B485" s="2012"/>
      <c r="C485" s="2012"/>
      <c r="D485" s="2012"/>
    </row>
    <row r="486" spans="1:4" s="2010" customFormat="1" x14ac:dyDescent="0.2">
      <c r="A486" s="2012"/>
      <c r="B486" s="2012"/>
      <c r="C486" s="2012"/>
      <c r="D486" s="2012"/>
    </row>
    <row r="487" spans="1:4" s="2010" customFormat="1" x14ac:dyDescent="0.2">
      <c r="A487" s="2012"/>
      <c r="B487" s="2012"/>
      <c r="C487" s="2012"/>
      <c r="D487" s="2012"/>
    </row>
    <row r="488" spans="1:4" s="2010" customFormat="1" x14ac:dyDescent="0.2">
      <c r="A488" s="2012"/>
      <c r="B488" s="2012"/>
      <c r="C488" s="2012"/>
      <c r="D488" s="2012"/>
    </row>
    <row r="489" spans="1:4" s="2010" customFormat="1" x14ac:dyDescent="0.2">
      <c r="A489" s="2012"/>
      <c r="B489" s="2012"/>
      <c r="C489" s="2012"/>
      <c r="D489" s="2012"/>
    </row>
    <row r="490" spans="1:4" s="2010" customFormat="1" x14ac:dyDescent="0.2">
      <c r="A490" s="2012"/>
      <c r="B490" s="2012"/>
      <c r="C490" s="2012"/>
      <c r="D490" s="2012"/>
    </row>
    <row r="491" spans="1:4" s="2010" customFormat="1" x14ac:dyDescent="0.2">
      <c r="A491" s="2012"/>
      <c r="B491" s="2012"/>
      <c r="C491" s="2012"/>
      <c r="D491" s="2012"/>
    </row>
    <row r="492" spans="1:4" s="2010" customFormat="1" x14ac:dyDescent="0.2">
      <c r="A492" s="2012"/>
      <c r="B492" s="2012"/>
      <c r="C492" s="2012"/>
      <c r="D492" s="2012"/>
    </row>
    <row r="493" spans="1:4" s="2010" customFormat="1" x14ac:dyDescent="0.2">
      <c r="A493" s="2012"/>
      <c r="B493" s="2012"/>
      <c r="C493" s="2012"/>
      <c r="D493" s="2012"/>
    </row>
    <row r="494" spans="1:4" s="2010" customFormat="1" x14ac:dyDescent="0.2">
      <c r="A494" s="2012"/>
      <c r="B494" s="2012"/>
      <c r="C494" s="2012"/>
      <c r="D494" s="2012"/>
    </row>
    <row r="495" spans="1:4" s="2010" customFormat="1" x14ac:dyDescent="0.2">
      <c r="A495" s="2012"/>
      <c r="B495" s="2012"/>
      <c r="C495" s="2012"/>
      <c r="D495" s="2012"/>
    </row>
    <row r="496" spans="1:4" s="2010" customFormat="1" x14ac:dyDescent="0.2">
      <c r="A496" s="2012"/>
      <c r="B496" s="2012"/>
      <c r="C496" s="2012"/>
      <c r="D496" s="2012"/>
    </row>
    <row r="497" spans="1:4" s="2010" customFormat="1" x14ac:dyDescent="0.2">
      <c r="A497" s="2012"/>
      <c r="B497" s="2012"/>
      <c r="C497" s="2012"/>
      <c r="D497" s="2012"/>
    </row>
    <row r="498" spans="1:4" s="2010" customFormat="1" x14ac:dyDescent="0.2">
      <c r="A498" s="2012"/>
      <c r="B498" s="2012"/>
      <c r="C498" s="2012"/>
      <c r="D498" s="2012"/>
    </row>
    <row r="499" spans="1:4" s="2010" customFormat="1" x14ac:dyDescent="0.2">
      <c r="A499" s="2012"/>
      <c r="B499" s="2012"/>
      <c r="C499" s="2012"/>
      <c r="D499" s="2012"/>
    </row>
    <row r="500" spans="1:4" s="2010" customFormat="1" x14ac:dyDescent="0.2">
      <c r="A500" s="2012"/>
      <c r="B500" s="2012"/>
      <c r="C500" s="2012"/>
      <c r="D500" s="2012"/>
    </row>
    <row r="501" spans="1:4" s="2010" customFormat="1" x14ac:dyDescent="0.2">
      <c r="A501" s="2012"/>
      <c r="B501" s="2012"/>
      <c r="C501" s="2012"/>
      <c r="D501" s="2012"/>
    </row>
    <row r="502" spans="1:4" s="2010" customFormat="1" x14ac:dyDescent="0.2">
      <c r="A502" s="2012"/>
      <c r="B502" s="2012"/>
      <c r="C502" s="2012"/>
      <c r="D502" s="2012"/>
    </row>
    <row r="503" spans="1:4" s="2010" customFormat="1" x14ac:dyDescent="0.2">
      <c r="A503" s="2012"/>
      <c r="B503" s="2012"/>
      <c r="C503" s="2012"/>
      <c r="D503" s="2012"/>
    </row>
    <row r="504" spans="1:4" s="2010" customFormat="1" x14ac:dyDescent="0.2">
      <c r="A504" s="2012"/>
      <c r="B504" s="2012"/>
      <c r="C504" s="2012"/>
      <c r="D504" s="2012"/>
    </row>
    <row r="505" spans="1:4" s="2010" customFormat="1" x14ac:dyDescent="0.2">
      <c r="A505" s="2012"/>
      <c r="B505" s="2012"/>
      <c r="C505" s="2012"/>
      <c r="D505" s="2012"/>
    </row>
    <row r="506" spans="1:4" s="2010" customFormat="1" x14ac:dyDescent="0.2">
      <c r="A506" s="2012"/>
      <c r="B506" s="2012"/>
      <c r="C506" s="2012"/>
      <c r="D506" s="2012"/>
    </row>
    <row r="507" spans="1:4" s="2010" customFormat="1" x14ac:dyDescent="0.2">
      <c r="A507" s="2012"/>
      <c r="B507" s="2012"/>
      <c r="C507" s="2012"/>
      <c r="D507" s="2012"/>
    </row>
    <row r="508" spans="1:4" s="2010" customFormat="1" x14ac:dyDescent="0.2">
      <c r="A508" s="2012"/>
      <c r="B508" s="2012"/>
      <c r="C508" s="2012"/>
      <c r="D508" s="2012"/>
    </row>
    <row r="509" spans="1:4" s="2010" customFormat="1" x14ac:dyDescent="0.2">
      <c r="A509" s="2012"/>
      <c r="B509" s="2012"/>
      <c r="C509" s="2012"/>
      <c r="D509" s="2012"/>
    </row>
    <row r="510" spans="1:4" s="2010" customFormat="1" x14ac:dyDescent="0.2">
      <c r="A510" s="2012"/>
      <c r="B510" s="2012"/>
      <c r="C510" s="2012"/>
      <c r="D510" s="2012"/>
    </row>
    <row r="511" spans="1:4" s="2010" customFormat="1" x14ac:dyDescent="0.2">
      <c r="A511" s="2012"/>
      <c r="B511" s="2012"/>
      <c r="C511" s="2012"/>
      <c r="D511" s="2012"/>
    </row>
    <row r="512" spans="1:4" s="2010" customFormat="1" x14ac:dyDescent="0.2">
      <c r="A512" s="2012"/>
      <c r="B512" s="2012"/>
      <c r="C512" s="2012"/>
      <c r="D512" s="2012"/>
    </row>
    <row r="513" spans="1:4" s="2010" customFormat="1" x14ac:dyDescent="0.2">
      <c r="A513" s="2012"/>
      <c r="B513" s="2012"/>
      <c r="C513" s="2012"/>
      <c r="D513" s="2012"/>
    </row>
    <row r="514" spans="1:4" s="2010" customFormat="1" x14ac:dyDescent="0.2">
      <c r="A514" s="2012"/>
      <c r="B514" s="2012"/>
      <c r="C514" s="2012"/>
      <c r="D514" s="2012"/>
    </row>
    <row r="515" spans="1:4" s="2010" customFormat="1" x14ac:dyDescent="0.2">
      <c r="A515" s="2012"/>
      <c r="B515" s="2012"/>
      <c r="C515" s="2012"/>
      <c r="D515" s="2012"/>
    </row>
    <row r="516" spans="1:4" s="2010" customFormat="1" x14ac:dyDescent="0.2">
      <c r="A516" s="2012"/>
      <c r="B516" s="2012"/>
      <c r="C516" s="2012"/>
      <c r="D516" s="2012"/>
    </row>
    <row r="517" spans="1:4" s="2010" customFormat="1" x14ac:dyDescent="0.2">
      <c r="A517" s="2012"/>
      <c r="B517" s="2012"/>
      <c r="C517" s="2012"/>
      <c r="D517" s="2012"/>
    </row>
    <row r="518" spans="1:4" s="2010" customFormat="1" x14ac:dyDescent="0.2">
      <c r="A518" s="2012"/>
      <c r="B518" s="2012"/>
      <c r="C518" s="2012"/>
      <c r="D518" s="2012"/>
    </row>
    <row r="519" spans="1:4" s="2010" customFormat="1" x14ac:dyDescent="0.2">
      <c r="A519" s="2012"/>
      <c r="B519" s="2012"/>
      <c r="C519" s="2012"/>
      <c r="D519" s="2012"/>
    </row>
    <row r="520" spans="1:4" s="2010" customFormat="1" x14ac:dyDescent="0.2">
      <c r="A520" s="2012"/>
      <c r="B520" s="2012"/>
      <c r="C520" s="2012"/>
      <c r="D520" s="2012"/>
    </row>
    <row r="521" spans="1:4" s="2010" customFormat="1" x14ac:dyDescent="0.2">
      <c r="A521" s="2012"/>
      <c r="B521" s="2012"/>
      <c r="C521" s="2012"/>
      <c r="D521" s="2012"/>
    </row>
    <row r="522" spans="1:4" s="2010" customFormat="1" x14ac:dyDescent="0.2">
      <c r="A522" s="2012"/>
      <c r="B522" s="2012"/>
      <c r="C522" s="2012"/>
      <c r="D522" s="2012"/>
    </row>
    <row r="523" spans="1:4" s="2010" customFormat="1" x14ac:dyDescent="0.2">
      <c r="A523" s="2012"/>
      <c r="B523" s="2012"/>
      <c r="C523" s="2012"/>
      <c r="D523" s="2012"/>
    </row>
    <row r="524" spans="1:4" s="2010" customFormat="1" x14ac:dyDescent="0.2">
      <c r="A524" s="2012"/>
      <c r="B524" s="2012"/>
      <c r="C524" s="2012"/>
      <c r="D524" s="2012"/>
    </row>
    <row r="525" spans="1:4" s="2010" customFormat="1" x14ac:dyDescent="0.2">
      <c r="A525" s="2012"/>
      <c r="B525" s="2012"/>
      <c r="C525" s="2012"/>
      <c r="D525" s="2012"/>
    </row>
    <row r="526" spans="1:4" s="2010" customFormat="1" x14ac:dyDescent="0.2">
      <c r="A526" s="2012"/>
      <c r="B526" s="2012"/>
      <c r="C526" s="2012"/>
      <c r="D526" s="2012"/>
    </row>
    <row r="527" spans="1:4" s="2010" customFormat="1" x14ac:dyDescent="0.2">
      <c r="A527" s="2012"/>
      <c r="B527" s="2012"/>
      <c r="C527" s="2012"/>
      <c r="D527" s="2012"/>
    </row>
    <row r="528" spans="1:4" s="2010" customFormat="1" x14ac:dyDescent="0.2">
      <c r="A528" s="2012"/>
      <c r="B528" s="2012"/>
      <c r="C528" s="2012"/>
      <c r="D528" s="2012"/>
    </row>
    <row r="529" spans="1:4" s="2010" customFormat="1" x14ac:dyDescent="0.2">
      <c r="A529" s="2012"/>
      <c r="B529" s="2012"/>
      <c r="C529" s="2012"/>
      <c r="D529" s="2012"/>
    </row>
    <row r="530" spans="1:4" s="2010" customFormat="1" x14ac:dyDescent="0.2">
      <c r="A530" s="2012"/>
      <c r="B530" s="2012"/>
      <c r="C530" s="2012"/>
      <c r="D530" s="2012"/>
    </row>
    <row r="531" spans="1:4" s="2010" customFormat="1" x14ac:dyDescent="0.2">
      <c r="A531" s="2012"/>
      <c r="B531" s="2012"/>
      <c r="C531" s="2012"/>
      <c r="D531" s="2012"/>
    </row>
    <row r="532" spans="1:4" s="2010" customFormat="1" x14ac:dyDescent="0.2">
      <c r="A532" s="2012"/>
      <c r="B532" s="2012"/>
      <c r="C532" s="2012"/>
      <c r="D532" s="2012"/>
    </row>
    <row r="533" spans="1:4" s="2010" customFormat="1" x14ac:dyDescent="0.2">
      <c r="A533" s="2012"/>
      <c r="B533" s="2012"/>
      <c r="C533" s="2012"/>
      <c r="D533" s="2012"/>
    </row>
    <row r="534" spans="1:4" s="2010" customFormat="1" x14ac:dyDescent="0.2">
      <c r="A534" s="2012"/>
      <c r="B534" s="2012"/>
      <c r="C534" s="2012"/>
      <c r="D534" s="2012"/>
    </row>
    <row r="535" spans="1:4" s="2010" customFormat="1" x14ac:dyDescent="0.2">
      <c r="A535" s="2012"/>
      <c r="B535" s="2012"/>
      <c r="C535" s="2012"/>
      <c r="D535" s="2012"/>
    </row>
    <row r="536" spans="1:4" s="2010" customFormat="1" x14ac:dyDescent="0.2">
      <c r="A536" s="2012"/>
      <c r="B536" s="2012"/>
      <c r="C536" s="2012"/>
      <c r="D536" s="2012"/>
    </row>
    <row r="537" spans="1:4" s="2010" customFormat="1" x14ac:dyDescent="0.2">
      <c r="A537" s="2012"/>
      <c r="B537" s="2012"/>
      <c r="C537" s="2012"/>
      <c r="D537" s="2012"/>
    </row>
    <row r="538" spans="1:4" s="2010" customFormat="1" x14ac:dyDescent="0.2">
      <c r="A538" s="2012"/>
      <c r="B538" s="2012"/>
      <c r="C538" s="2012"/>
      <c r="D538" s="2012"/>
    </row>
    <row r="539" spans="1:4" s="2010" customFormat="1" x14ac:dyDescent="0.2">
      <c r="A539" s="2012"/>
      <c r="B539" s="2012"/>
      <c r="C539" s="2012"/>
      <c r="D539" s="2012"/>
    </row>
    <row r="540" spans="1:4" s="2010" customFormat="1" x14ac:dyDescent="0.2">
      <c r="A540" s="2012"/>
      <c r="B540" s="2012"/>
      <c r="C540" s="2012"/>
      <c r="D540" s="2012"/>
    </row>
    <row r="541" spans="1:4" s="2010" customFormat="1" x14ac:dyDescent="0.2">
      <c r="A541" s="2012"/>
      <c r="B541" s="2012"/>
      <c r="C541" s="2012"/>
      <c r="D541" s="2012"/>
    </row>
    <row r="542" spans="1:4" s="2010" customFormat="1" x14ac:dyDescent="0.2">
      <c r="A542" s="2012"/>
      <c r="B542" s="2012"/>
      <c r="C542" s="2012"/>
      <c r="D542" s="2012"/>
    </row>
    <row r="543" spans="1:4" s="2010" customFormat="1" x14ac:dyDescent="0.2">
      <c r="A543" s="2012"/>
      <c r="B543" s="2012"/>
      <c r="C543" s="2012"/>
      <c r="D543" s="2012"/>
    </row>
    <row r="544" spans="1:4" s="2010" customFormat="1" x14ac:dyDescent="0.2">
      <c r="A544" s="2012"/>
      <c r="B544" s="2012"/>
      <c r="C544" s="2012"/>
      <c r="D544" s="2012"/>
    </row>
    <row r="545" spans="1:4" s="2010" customFormat="1" x14ac:dyDescent="0.2">
      <c r="A545" s="2012"/>
      <c r="B545" s="2012"/>
      <c r="C545" s="2012"/>
      <c r="D545" s="2012"/>
    </row>
    <row r="546" spans="1:4" s="2010" customFormat="1" x14ac:dyDescent="0.2">
      <c r="A546" s="2012"/>
      <c r="B546" s="2012"/>
      <c r="C546" s="2012"/>
      <c r="D546" s="2012"/>
    </row>
    <row r="547" spans="1:4" s="2010" customFormat="1" x14ac:dyDescent="0.2">
      <c r="A547" s="2012"/>
      <c r="B547" s="2012"/>
      <c r="C547" s="2012"/>
      <c r="D547" s="2012"/>
    </row>
    <row r="548" spans="1:4" s="2010" customFormat="1" x14ac:dyDescent="0.2">
      <c r="A548" s="2012"/>
      <c r="B548" s="2012"/>
      <c r="C548" s="2012"/>
      <c r="D548" s="2012"/>
    </row>
    <row r="549" spans="1:4" s="2010" customFormat="1" x14ac:dyDescent="0.2">
      <c r="A549" s="2012"/>
      <c r="B549" s="2012"/>
      <c r="C549" s="2012"/>
      <c r="D549" s="2012"/>
    </row>
    <row r="550" spans="1:4" s="2010" customFormat="1" x14ac:dyDescent="0.2">
      <c r="A550" s="2012"/>
      <c r="B550" s="2012"/>
      <c r="C550" s="2012"/>
      <c r="D550" s="2012"/>
    </row>
    <row r="551" spans="1:4" s="2010" customFormat="1" x14ac:dyDescent="0.2">
      <c r="A551" s="2012"/>
      <c r="B551" s="2012"/>
      <c r="C551" s="2012"/>
      <c r="D551" s="2012"/>
    </row>
    <row r="552" spans="1:4" s="2010" customFormat="1" x14ac:dyDescent="0.2">
      <c r="A552" s="2012"/>
      <c r="B552" s="2012"/>
      <c r="C552" s="2012"/>
      <c r="D552" s="2012"/>
    </row>
    <row r="553" spans="1:4" s="2010" customFormat="1" x14ac:dyDescent="0.2">
      <c r="A553" s="2012"/>
      <c r="B553" s="2012"/>
      <c r="C553" s="2012"/>
      <c r="D553" s="2012"/>
    </row>
    <row r="554" spans="1:4" s="2010" customFormat="1" x14ac:dyDescent="0.2">
      <c r="A554" s="2012"/>
      <c r="B554" s="2012"/>
      <c r="C554" s="2012"/>
      <c r="D554" s="2012"/>
    </row>
    <row r="555" spans="1:4" s="2010" customFormat="1" x14ac:dyDescent="0.2">
      <c r="A555" s="2012"/>
      <c r="B555" s="2012"/>
      <c r="C555" s="2012"/>
      <c r="D555" s="2012"/>
    </row>
    <row r="556" spans="1:4" s="2010" customFormat="1" x14ac:dyDescent="0.2">
      <c r="A556" s="2012"/>
      <c r="B556" s="2012"/>
      <c r="C556" s="2012"/>
      <c r="D556" s="2012"/>
    </row>
    <row r="557" spans="1:4" s="2010" customFormat="1" x14ac:dyDescent="0.2">
      <c r="A557" s="2012"/>
      <c r="B557" s="2012"/>
      <c r="C557" s="2012"/>
      <c r="D557" s="2012"/>
    </row>
    <row r="558" spans="1:4" s="2010" customFormat="1" x14ac:dyDescent="0.2">
      <c r="A558" s="2012"/>
      <c r="B558" s="2012"/>
      <c r="C558" s="2012"/>
      <c r="D558" s="2012"/>
    </row>
    <row r="559" spans="1:4" s="2010" customFormat="1" x14ac:dyDescent="0.2">
      <c r="A559" s="2012"/>
      <c r="B559" s="2012"/>
      <c r="C559" s="2012"/>
      <c r="D559" s="2012"/>
    </row>
    <row r="560" spans="1:4" s="2010" customFormat="1" x14ac:dyDescent="0.2">
      <c r="A560" s="2012"/>
      <c r="B560" s="2012"/>
      <c r="C560" s="2012"/>
      <c r="D560" s="2012"/>
    </row>
    <row r="561" spans="1:4" s="2010" customFormat="1" x14ac:dyDescent="0.2">
      <c r="A561" s="2012"/>
      <c r="B561" s="2012"/>
      <c r="C561" s="2012"/>
      <c r="D561" s="2012"/>
    </row>
    <row r="562" spans="1:4" s="2010" customFormat="1" x14ac:dyDescent="0.2">
      <c r="A562" s="2012"/>
      <c r="B562" s="2012"/>
      <c r="C562" s="2012"/>
      <c r="D562" s="2012"/>
    </row>
    <row r="563" spans="1:4" s="2010" customFormat="1" x14ac:dyDescent="0.2">
      <c r="A563" s="2012"/>
      <c r="B563" s="2012"/>
      <c r="C563" s="2012"/>
      <c r="D563" s="2012"/>
    </row>
    <row r="564" spans="1:4" s="2010" customFormat="1" x14ac:dyDescent="0.2">
      <c r="A564" s="2012"/>
      <c r="B564" s="2012"/>
      <c r="C564" s="2012"/>
      <c r="D564" s="2012"/>
    </row>
    <row r="565" spans="1:4" s="2010" customFormat="1" x14ac:dyDescent="0.2">
      <c r="A565" s="2012"/>
      <c r="B565" s="2012"/>
      <c r="C565" s="2012"/>
      <c r="D565" s="2012"/>
    </row>
    <row r="566" spans="1:4" s="2010" customFormat="1" x14ac:dyDescent="0.2">
      <c r="A566" s="2012"/>
      <c r="B566" s="2012"/>
      <c r="C566" s="2012"/>
      <c r="D566" s="2012"/>
    </row>
    <row r="567" spans="1:4" s="2010" customFormat="1" x14ac:dyDescent="0.2">
      <c r="A567" s="2012"/>
      <c r="B567" s="2012"/>
      <c r="C567" s="2012"/>
      <c r="D567" s="2012"/>
    </row>
    <row r="568" spans="1:4" s="2010" customFormat="1" x14ac:dyDescent="0.2">
      <c r="A568" s="2012"/>
      <c r="B568" s="2012"/>
      <c r="C568" s="2012"/>
      <c r="D568" s="2012"/>
    </row>
    <row r="569" spans="1:4" s="2010" customFormat="1" x14ac:dyDescent="0.2">
      <c r="A569" s="2012"/>
      <c r="B569" s="2012"/>
      <c r="C569" s="2012"/>
      <c r="D569" s="2012"/>
    </row>
    <row r="570" spans="1:4" s="2010" customFormat="1" x14ac:dyDescent="0.2">
      <c r="A570" s="2012"/>
      <c r="B570" s="2012"/>
      <c r="C570" s="2012"/>
      <c r="D570" s="2012"/>
    </row>
    <row r="571" spans="1:4" s="2010" customFormat="1" x14ac:dyDescent="0.2">
      <c r="A571" s="2012"/>
      <c r="B571" s="2012"/>
      <c r="C571" s="2012"/>
      <c r="D571" s="2012"/>
    </row>
    <row r="572" spans="1:4" s="2010" customFormat="1" x14ac:dyDescent="0.2">
      <c r="A572" s="2012"/>
      <c r="B572" s="2012"/>
      <c r="C572" s="2012"/>
      <c r="D572" s="2012"/>
    </row>
    <row r="573" spans="1:4" s="2010" customFormat="1" x14ac:dyDescent="0.2">
      <c r="A573" s="2012"/>
      <c r="B573" s="2012"/>
      <c r="C573" s="2012"/>
      <c r="D573" s="2012"/>
    </row>
    <row r="574" spans="1:4" s="2010" customFormat="1" x14ac:dyDescent="0.2">
      <c r="A574" s="2012"/>
      <c r="B574" s="2012"/>
      <c r="C574" s="2012"/>
      <c r="D574" s="2012"/>
    </row>
    <row r="575" spans="1:4" s="2010" customFormat="1" x14ac:dyDescent="0.2">
      <c r="A575" s="2012"/>
      <c r="B575" s="2012"/>
      <c r="C575" s="2012"/>
      <c r="D575" s="2012"/>
    </row>
    <row r="576" spans="1:4" s="2010" customFormat="1" x14ac:dyDescent="0.2">
      <c r="A576" s="2012"/>
      <c r="B576" s="2012"/>
      <c r="C576" s="2012"/>
      <c r="D576" s="2012"/>
    </row>
    <row r="577" spans="1:109" s="2010" customFormat="1" x14ac:dyDescent="0.2">
      <c r="A577" s="2012"/>
      <c r="B577" s="2012"/>
      <c r="C577" s="2012"/>
      <c r="D577" s="2012"/>
    </row>
    <row r="578" spans="1:109" s="2010" customFormat="1" x14ac:dyDescent="0.2">
      <c r="A578" s="2012"/>
      <c r="B578" s="2012"/>
      <c r="C578" s="2012"/>
      <c r="D578" s="2012"/>
    </row>
    <row r="579" spans="1:109" s="2010" customFormat="1" x14ac:dyDescent="0.2">
      <c r="A579" s="2012"/>
      <c r="B579" s="2012"/>
      <c r="C579" s="2012"/>
      <c r="D579" s="2012"/>
    </row>
    <row r="580" spans="1:109" s="2014" customFormat="1" x14ac:dyDescent="0.2">
      <c r="A580" s="2013"/>
      <c r="B580" s="2013"/>
      <c r="C580" s="2013"/>
      <c r="D580" s="2013"/>
      <c r="AB580" s="2010"/>
      <c r="AU580" s="2010"/>
      <c r="AV580" s="2010"/>
      <c r="AW580" s="2010"/>
      <c r="AX580" s="2010"/>
      <c r="AY580" s="2010"/>
      <c r="AZ580" s="2010"/>
      <c r="BA580" s="2010"/>
      <c r="BB580" s="2010"/>
      <c r="BC580" s="2010"/>
      <c r="BD580" s="2010"/>
      <c r="BE580" s="2010"/>
      <c r="BF580" s="2010"/>
      <c r="BG580" s="2010"/>
      <c r="BH580" s="2010"/>
      <c r="BI580" s="2010"/>
      <c r="BJ580" s="2010"/>
      <c r="BK580" s="2010"/>
      <c r="BL580" s="2010"/>
      <c r="BM580" s="2010"/>
      <c r="BN580" s="2010"/>
      <c r="BO580" s="2010"/>
      <c r="BP580" s="2010"/>
      <c r="BQ580" s="2010"/>
      <c r="BR580" s="2010"/>
      <c r="BS580" s="2010"/>
      <c r="BT580" s="2010"/>
      <c r="BU580" s="2010"/>
      <c r="BV580" s="2010"/>
      <c r="BW580" s="2010"/>
      <c r="BX580" s="2010"/>
      <c r="BY580" s="2010"/>
      <c r="BZ580" s="2010"/>
      <c r="CA580" s="2010"/>
      <c r="CB580" s="2010"/>
      <c r="CC580" s="2010"/>
      <c r="CD580" s="2010"/>
      <c r="CE580" s="2010"/>
      <c r="CF580" s="2010"/>
      <c r="CG580" s="2010"/>
      <c r="CH580" s="2010"/>
      <c r="CI580" s="2010"/>
      <c r="CJ580" s="2010"/>
      <c r="CK580" s="2010"/>
      <c r="CL580" s="2010"/>
      <c r="CM580" s="2010"/>
      <c r="CN580" s="2010"/>
      <c r="CO580" s="2010"/>
      <c r="CP580" s="2010"/>
      <c r="CQ580" s="2010"/>
      <c r="CR580" s="2010"/>
      <c r="CS580" s="2010"/>
      <c r="CT580" s="2010"/>
      <c r="CU580" s="2010"/>
      <c r="CV580" s="2010"/>
      <c r="CW580" s="2010"/>
      <c r="CX580" s="2010"/>
      <c r="CY580" s="2010"/>
      <c r="CZ580" s="2010"/>
      <c r="DA580" s="2010"/>
      <c r="DB580" s="2010"/>
      <c r="DC580" s="2010"/>
      <c r="DD580" s="2010"/>
      <c r="DE580" s="2010"/>
    </row>
    <row r="581" spans="1:109" s="2014" customFormat="1" x14ac:dyDescent="0.2">
      <c r="A581" s="2013"/>
      <c r="B581" s="2013"/>
      <c r="C581" s="2013"/>
      <c r="D581" s="2013"/>
      <c r="AB581" s="2010"/>
      <c r="AU581" s="2010"/>
      <c r="AV581" s="2010"/>
      <c r="AW581" s="2010"/>
      <c r="AX581" s="2010"/>
      <c r="AY581" s="2010"/>
      <c r="AZ581" s="2010"/>
      <c r="BA581" s="2010"/>
      <c r="BB581" s="2010"/>
      <c r="BC581" s="2010"/>
      <c r="BD581" s="2010"/>
      <c r="BE581" s="2010"/>
      <c r="BF581" s="2010"/>
      <c r="BG581" s="2010"/>
      <c r="BH581" s="2010"/>
      <c r="BI581" s="2010"/>
      <c r="BJ581" s="2010"/>
      <c r="BK581" s="2010"/>
      <c r="BL581" s="2010"/>
      <c r="BM581" s="2010"/>
      <c r="BN581" s="2010"/>
      <c r="BO581" s="2010"/>
      <c r="BP581" s="2010"/>
      <c r="BQ581" s="2010"/>
      <c r="BR581" s="2010"/>
      <c r="BS581" s="2010"/>
      <c r="BT581" s="2010"/>
      <c r="BU581" s="2010"/>
      <c r="BV581" s="2010"/>
      <c r="BW581" s="2010"/>
      <c r="BX581" s="2010"/>
      <c r="BY581" s="2010"/>
      <c r="BZ581" s="2010"/>
      <c r="CA581" s="2010"/>
      <c r="CB581" s="2010"/>
      <c r="CC581" s="2010"/>
      <c r="CD581" s="2010"/>
      <c r="CE581" s="2010"/>
      <c r="CF581" s="2010"/>
      <c r="CG581" s="2010"/>
      <c r="CH581" s="2010"/>
      <c r="CI581" s="2010"/>
      <c r="CJ581" s="2010"/>
      <c r="CK581" s="2010"/>
      <c r="CL581" s="2010"/>
      <c r="CM581" s="2010"/>
      <c r="CN581" s="2010"/>
      <c r="CO581" s="2010"/>
      <c r="CP581" s="2010"/>
      <c r="CQ581" s="2010"/>
      <c r="CR581" s="2010"/>
      <c r="CS581" s="2010"/>
      <c r="CT581" s="2010"/>
      <c r="CU581" s="2010"/>
      <c r="CV581" s="2010"/>
      <c r="CW581" s="2010"/>
      <c r="CX581" s="2010"/>
      <c r="CY581" s="2010"/>
      <c r="CZ581" s="2010"/>
      <c r="DA581" s="2010"/>
      <c r="DB581" s="2010"/>
      <c r="DC581" s="2010"/>
      <c r="DD581" s="2010"/>
      <c r="DE581" s="2010"/>
    </row>
    <row r="582" spans="1:109" s="2014" customFormat="1" x14ac:dyDescent="0.2">
      <c r="A582" s="2013"/>
      <c r="B582" s="2013"/>
      <c r="C582" s="2013"/>
      <c r="D582" s="2013"/>
      <c r="AB582" s="2010"/>
      <c r="AU582" s="2010"/>
      <c r="AV582" s="2010"/>
      <c r="AW582" s="2010"/>
      <c r="AX582" s="2010"/>
      <c r="AY582" s="2010"/>
      <c r="AZ582" s="2010"/>
      <c r="BA582" s="2010"/>
      <c r="BB582" s="2010"/>
      <c r="BC582" s="2010"/>
      <c r="BD582" s="2010"/>
      <c r="BE582" s="2010"/>
      <c r="BF582" s="2010"/>
      <c r="BG582" s="2010"/>
      <c r="BH582" s="2010"/>
      <c r="BI582" s="2010"/>
      <c r="BJ582" s="2010"/>
      <c r="BK582" s="2010"/>
      <c r="BL582" s="2010"/>
      <c r="BM582" s="2010"/>
      <c r="BN582" s="2010"/>
      <c r="BO582" s="2010"/>
      <c r="BP582" s="2010"/>
      <c r="BQ582" s="2010"/>
      <c r="BR582" s="2010"/>
      <c r="BS582" s="2010"/>
      <c r="BT582" s="2010"/>
      <c r="BU582" s="2010"/>
      <c r="BV582" s="2010"/>
      <c r="BW582" s="2010"/>
      <c r="BX582" s="2010"/>
      <c r="BY582" s="2010"/>
      <c r="BZ582" s="2010"/>
      <c r="CA582" s="2010"/>
      <c r="CB582" s="2010"/>
      <c r="CC582" s="2010"/>
      <c r="CD582" s="2010"/>
      <c r="CE582" s="2010"/>
      <c r="CF582" s="2010"/>
      <c r="CG582" s="2010"/>
      <c r="CH582" s="2010"/>
      <c r="CI582" s="2010"/>
      <c r="CJ582" s="2010"/>
      <c r="CK582" s="2010"/>
      <c r="CL582" s="2010"/>
      <c r="CM582" s="2010"/>
      <c r="CN582" s="2010"/>
      <c r="CO582" s="2010"/>
      <c r="CP582" s="2010"/>
      <c r="CQ582" s="2010"/>
      <c r="CR582" s="2010"/>
      <c r="CS582" s="2010"/>
      <c r="CT582" s="2010"/>
      <c r="CU582" s="2010"/>
      <c r="CV582" s="2010"/>
      <c r="CW582" s="2010"/>
      <c r="CX582" s="2010"/>
      <c r="CY582" s="2010"/>
      <c r="CZ582" s="2010"/>
      <c r="DA582" s="2010"/>
      <c r="DB582" s="2010"/>
      <c r="DC582" s="2010"/>
      <c r="DD582" s="2010"/>
      <c r="DE582" s="2010"/>
    </row>
    <row r="583" spans="1:109" s="2014" customFormat="1" x14ac:dyDescent="0.2">
      <c r="A583" s="2013"/>
      <c r="B583" s="2013"/>
      <c r="C583" s="2013"/>
      <c r="D583" s="2013"/>
      <c r="AB583" s="2010"/>
      <c r="AU583" s="2010"/>
      <c r="AV583" s="2010"/>
      <c r="AW583" s="2010"/>
      <c r="AX583" s="2010"/>
      <c r="AY583" s="2010"/>
      <c r="AZ583" s="2010"/>
      <c r="BA583" s="2010"/>
      <c r="BB583" s="2010"/>
      <c r="BC583" s="2010"/>
      <c r="BD583" s="2010"/>
      <c r="BE583" s="2010"/>
      <c r="BF583" s="2010"/>
      <c r="BG583" s="2010"/>
      <c r="BH583" s="2010"/>
      <c r="BI583" s="2010"/>
      <c r="BJ583" s="2010"/>
      <c r="BK583" s="2010"/>
      <c r="BL583" s="2010"/>
      <c r="BM583" s="2010"/>
      <c r="BN583" s="2010"/>
      <c r="BO583" s="2010"/>
      <c r="BP583" s="2010"/>
      <c r="BQ583" s="2010"/>
      <c r="BR583" s="2010"/>
      <c r="BS583" s="2010"/>
      <c r="BT583" s="2010"/>
      <c r="BU583" s="2010"/>
      <c r="BV583" s="2010"/>
      <c r="BW583" s="2010"/>
      <c r="BX583" s="2010"/>
      <c r="BY583" s="2010"/>
      <c r="BZ583" s="2010"/>
      <c r="CA583" s="2010"/>
      <c r="CB583" s="2010"/>
      <c r="CC583" s="2010"/>
      <c r="CD583" s="2010"/>
      <c r="CE583" s="2010"/>
      <c r="CF583" s="2010"/>
      <c r="CG583" s="2010"/>
      <c r="CH583" s="2010"/>
      <c r="CI583" s="2010"/>
      <c r="CJ583" s="2010"/>
      <c r="CK583" s="2010"/>
      <c r="CL583" s="2010"/>
      <c r="CM583" s="2010"/>
      <c r="CN583" s="2010"/>
      <c r="CO583" s="2010"/>
      <c r="CP583" s="2010"/>
      <c r="CQ583" s="2010"/>
      <c r="CR583" s="2010"/>
      <c r="CS583" s="2010"/>
      <c r="CT583" s="2010"/>
      <c r="CU583" s="2010"/>
      <c r="CV583" s="2010"/>
      <c r="CW583" s="2010"/>
      <c r="CX583" s="2010"/>
      <c r="CY583" s="2010"/>
      <c r="CZ583" s="2010"/>
      <c r="DA583" s="2010"/>
      <c r="DB583" s="2010"/>
      <c r="DC583" s="2010"/>
      <c r="DD583" s="2010"/>
      <c r="DE583" s="2010"/>
    </row>
    <row r="584" spans="1:109" s="2014" customFormat="1" x14ac:dyDescent="0.2">
      <c r="A584" s="2013"/>
      <c r="B584" s="2013"/>
      <c r="C584" s="2013"/>
      <c r="D584" s="2013"/>
      <c r="AB584" s="2010"/>
      <c r="AU584" s="2010"/>
      <c r="AV584" s="2010"/>
      <c r="AW584" s="2010"/>
      <c r="AX584" s="2010"/>
      <c r="AY584" s="2010"/>
      <c r="AZ584" s="2010"/>
      <c r="BA584" s="2010"/>
      <c r="BB584" s="2010"/>
      <c r="BC584" s="2010"/>
      <c r="BD584" s="2010"/>
      <c r="BE584" s="2010"/>
      <c r="BF584" s="2010"/>
      <c r="BG584" s="2010"/>
      <c r="BH584" s="2010"/>
      <c r="BI584" s="2010"/>
      <c r="BJ584" s="2010"/>
      <c r="BK584" s="2010"/>
      <c r="BL584" s="2010"/>
      <c r="BM584" s="2010"/>
      <c r="BN584" s="2010"/>
      <c r="BO584" s="2010"/>
      <c r="BP584" s="2010"/>
      <c r="BQ584" s="2010"/>
      <c r="BR584" s="2010"/>
      <c r="BS584" s="2010"/>
      <c r="BT584" s="2010"/>
      <c r="BU584" s="2010"/>
      <c r="BV584" s="2010"/>
      <c r="BW584" s="2010"/>
      <c r="BX584" s="2010"/>
      <c r="BY584" s="2010"/>
      <c r="BZ584" s="2010"/>
      <c r="CA584" s="2010"/>
      <c r="CB584" s="2010"/>
      <c r="CC584" s="2010"/>
      <c r="CD584" s="2010"/>
      <c r="CE584" s="2010"/>
      <c r="CF584" s="2010"/>
      <c r="CG584" s="2010"/>
      <c r="CH584" s="2010"/>
      <c r="CI584" s="2010"/>
      <c r="CJ584" s="2010"/>
      <c r="CK584" s="2010"/>
      <c r="CL584" s="2010"/>
      <c r="CM584" s="2010"/>
      <c r="CN584" s="2010"/>
      <c r="CO584" s="2010"/>
      <c r="CP584" s="2010"/>
      <c r="CQ584" s="2010"/>
      <c r="CR584" s="2010"/>
      <c r="CS584" s="2010"/>
      <c r="CT584" s="2010"/>
      <c r="CU584" s="2010"/>
      <c r="CV584" s="2010"/>
      <c r="CW584" s="2010"/>
      <c r="CX584" s="2010"/>
      <c r="CY584" s="2010"/>
      <c r="CZ584" s="2010"/>
      <c r="DA584" s="2010"/>
      <c r="DB584" s="2010"/>
      <c r="DC584" s="2010"/>
      <c r="DD584" s="2010"/>
      <c r="DE584" s="2010"/>
    </row>
    <row r="585" spans="1:109" s="2014" customFormat="1" x14ac:dyDescent="0.2">
      <c r="A585" s="2013"/>
      <c r="B585" s="2013"/>
      <c r="C585" s="2013"/>
      <c r="D585" s="2013"/>
      <c r="AB585" s="2010"/>
      <c r="AU585" s="2010"/>
      <c r="AV585" s="2010"/>
      <c r="AW585" s="2010"/>
      <c r="AX585" s="2010"/>
      <c r="AY585" s="2010"/>
      <c r="AZ585" s="2010"/>
      <c r="BA585" s="2010"/>
      <c r="BB585" s="2010"/>
      <c r="BC585" s="2010"/>
      <c r="BD585" s="2010"/>
      <c r="BE585" s="2010"/>
      <c r="BF585" s="2010"/>
      <c r="BG585" s="2010"/>
      <c r="BH585" s="2010"/>
      <c r="BI585" s="2010"/>
      <c r="BJ585" s="2010"/>
      <c r="BK585" s="2010"/>
      <c r="BL585" s="2010"/>
      <c r="BM585" s="2010"/>
      <c r="BN585" s="2010"/>
      <c r="BO585" s="2010"/>
      <c r="BP585" s="2010"/>
      <c r="BQ585" s="2010"/>
      <c r="BR585" s="2010"/>
      <c r="BS585" s="2010"/>
      <c r="BT585" s="2010"/>
      <c r="BU585" s="2010"/>
      <c r="BV585" s="2010"/>
      <c r="BW585" s="2010"/>
      <c r="BX585" s="2010"/>
      <c r="BY585" s="2010"/>
      <c r="BZ585" s="2010"/>
      <c r="CA585" s="2010"/>
      <c r="CB585" s="2010"/>
      <c r="CC585" s="2010"/>
      <c r="CD585" s="2010"/>
      <c r="CE585" s="2010"/>
      <c r="CF585" s="2010"/>
      <c r="CG585" s="2010"/>
      <c r="CH585" s="2010"/>
      <c r="CI585" s="2010"/>
      <c r="CJ585" s="2010"/>
      <c r="CK585" s="2010"/>
      <c r="CL585" s="2010"/>
      <c r="CM585" s="2010"/>
      <c r="CN585" s="2010"/>
      <c r="CO585" s="2010"/>
      <c r="CP585" s="2010"/>
      <c r="CQ585" s="2010"/>
      <c r="CR585" s="2010"/>
      <c r="CS585" s="2010"/>
      <c r="CT585" s="2010"/>
      <c r="CU585" s="2010"/>
      <c r="CV585" s="2010"/>
      <c r="CW585" s="2010"/>
      <c r="CX585" s="2010"/>
      <c r="CY585" s="2010"/>
      <c r="CZ585" s="2010"/>
      <c r="DA585" s="2010"/>
      <c r="DB585" s="2010"/>
      <c r="DC585" s="2010"/>
      <c r="DD585" s="2010"/>
      <c r="DE585" s="2010"/>
    </row>
    <row r="586" spans="1:109" s="2014" customFormat="1" x14ac:dyDescent="0.2">
      <c r="A586" s="2013"/>
      <c r="B586" s="2013"/>
      <c r="C586" s="2013"/>
      <c r="D586" s="2013"/>
      <c r="AB586" s="2010"/>
      <c r="AU586" s="2010"/>
      <c r="AV586" s="2010"/>
      <c r="AW586" s="2010"/>
      <c r="AX586" s="2010"/>
      <c r="AY586" s="2010"/>
      <c r="AZ586" s="2010"/>
      <c r="BA586" s="2010"/>
      <c r="BB586" s="2010"/>
      <c r="BC586" s="2010"/>
      <c r="BD586" s="2010"/>
      <c r="BE586" s="2010"/>
      <c r="BF586" s="2010"/>
      <c r="BG586" s="2010"/>
      <c r="BH586" s="2010"/>
      <c r="BI586" s="2010"/>
      <c r="BJ586" s="2010"/>
      <c r="BK586" s="2010"/>
      <c r="BL586" s="2010"/>
      <c r="BM586" s="2010"/>
      <c r="BN586" s="2010"/>
      <c r="BO586" s="2010"/>
      <c r="BP586" s="2010"/>
      <c r="BQ586" s="2010"/>
      <c r="BR586" s="2010"/>
      <c r="BS586" s="2010"/>
      <c r="BT586" s="2010"/>
      <c r="BU586" s="2010"/>
      <c r="BV586" s="2010"/>
      <c r="BW586" s="2010"/>
      <c r="BX586" s="2010"/>
      <c r="BY586" s="2010"/>
      <c r="BZ586" s="2010"/>
      <c r="CA586" s="2010"/>
      <c r="CB586" s="2010"/>
      <c r="CC586" s="2010"/>
      <c r="CD586" s="2010"/>
      <c r="CE586" s="2010"/>
      <c r="CF586" s="2010"/>
      <c r="CG586" s="2010"/>
      <c r="CH586" s="2010"/>
      <c r="CI586" s="2010"/>
      <c r="CJ586" s="2010"/>
      <c r="CK586" s="2010"/>
      <c r="CL586" s="2010"/>
      <c r="CM586" s="2010"/>
      <c r="CN586" s="2010"/>
      <c r="CO586" s="2010"/>
      <c r="CP586" s="2010"/>
      <c r="CQ586" s="2010"/>
      <c r="CR586" s="2010"/>
      <c r="CS586" s="2010"/>
      <c r="CT586" s="2010"/>
      <c r="CU586" s="2010"/>
      <c r="CV586" s="2010"/>
      <c r="CW586" s="2010"/>
      <c r="CX586" s="2010"/>
      <c r="CY586" s="2010"/>
      <c r="CZ586" s="2010"/>
      <c r="DA586" s="2010"/>
      <c r="DB586" s="2010"/>
      <c r="DC586" s="2010"/>
      <c r="DD586" s="2010"/>
      <c r="DE586" s="2010"/>
    </row>
    <row r="587" spans="1:109" s="2014" customFormat="1" x14ac:dyDescent="0.2">
      <c r="A587" s="2013"/>
      <c r="B587" s="2013"/>
      <c r="C587" s="2013"/>
      <c r="D587" s="2013"/>
      <c r="AB587" s="2010"/>
      <c r="AU587" s="2010"/>
      <c r="AV587" s="2010"/>
      <c r="AW587" s="2010"/>
      <c r="AX587" s="2010"/>
      <c r="AY587" s="2010"/>
      <c r="AZ587" s="2010"/>
      <c r="BA587" s="2010"/>
      <c r="BB587" s="2010"/>
      <c r="BC587" s="2010"/>
      <c r="BD587" s="2010"/>
      <c r="BE587" s="2010"/>
      <c r="BF587" s="2010"/>
      <c r="BG587" s="2010"/>
      <c r="BH587" s="2010"/>
      <c r="BI587" s="2010"/>
      <c r="BJ587" s="2010"/>
      <c r="BK587" s="2010"/>
      <c r="BL587" s="2010"/>
      <c r="BM587" s="2010"/>
      <c r="BN587" s="2010"/>
      <c r="BO587" s="2010"/>
      <c r="BP587" s="2010"/>
      <c r="BQ587" s="2010"/>
      <c r="BR587" s="2010"/>
      <c r="BS587" s="2010"/>
      <c r="BT587" s="2010"/>
      <c r="BU587" s="2010"/>
      <c r="BV587" s="2010"/>
      <c r="BW587" s="2010"/>
      <c r="BX587" s="2010"/>
      <c r="BY587" s="2010"/>
      <c r="BZ587" s="2010"/>
      <c r="CA587" s="2010"/>
      <c r="CB587" s="2010"/>
      <c r="CC587" s="2010"/>
      <c r="CD587" s="2010"/>
      <c r="CE587" s="2010"/>
      <c r="CF587" s="2010"/>
      <c r="CG587" s="2010"/>
      <c r="CH587" s="2010"/>
      <c r="CI587" s="2010"/>
      <c r="CJ587" s="2010"/>
      <c r="CK587" s="2010"/>
      <c r="CL587" s="2010"/>
      <c r="CM587" s="2010"/>
      <c r="CN587" s="2010"/>
      <c r="CO587" s="2010"/>
      <c r="CP587" s="2010"/>
      <c r="CQ587" s="2010"/>
      <c r="CR587" s="2010"/>
      <c r="CS587" s="2010"/>
      <c r="CT587" s="2010"/>
      <c r="CU587" s="2010"/>
      <c r="CV587" s="2010"/>
      <c r="CW587" s="2010"/>
      <c r="CX587" s="2010"/>
      <c r="CY587" s="2010"/>
      <c r="CZ587" s="2010"/>
      <c r="DA587" s="2010"/>
      <c r="DB587" s="2010"/>
      <c r="DC587" s="2010"/>
      <c r="DD587" s="2010"/>
      <c r="DE587" s="2010"/>
    </row>
    <row r="588" spans="1:109" s="2014" customFormat="1" x14ac:dyDescent="0.2">
      <c r="A588" s="2013"/>
      <c r="B588" s="2013"/>
      <c r="C588" s="2013"/>
      <c r="D588" s="2013"/>
      <c r="AB588" s="2010"/>
      <c r="AU588" s="2010"/>
      <c r="AV588" s="2010"/>
      <c r="AW588" s="2010"/>
      <c r="AX588" s="2010"/>
      <c r="AY588" s="2010"/>
      <c r="AZ588" s="2010"/>
      <c r="BA588" s="2010"/>
      <c r="BB588" s="2010"/>
      <c r="BC588" s="2010"/>
      <c r="BD588" s="2010"/>
      <c r="BE588" s="2010"/>
      <c r="BF588" s="2010"/>
      <c r="BG588" s="2010"/>
      <c r="BH588" s="2010"/>
      <c r="BI588" s="2010"/>
      <c r="BJ588" s="2010"/>
      <c r="BK588" s="2010"/>
      <c r="BL588" s="2010"/>
      <c r="BM588" s="2010"/>
      <c r="BN588" s="2010"/>
      <c r="BO588" s="2010"/>
      <c r="BP588" s="2010"/>
      <c r="BQ588" s="2010"/>
      <c r="BR588" s="2010"/>
      <c r="BS588" s="2010"/>
      <c r="BT588" s="2010"/>
      <c r="BU588" s="2010"/>
      <c r="BV588" s="2010"/>
      <c r="BW588" s="2010"/>
      <c r="BX588" s="2010"/>
      <c r="BY588" s="2010"/>
      <c r="BZ588" s="2010"/>
      <c r="CA588" s="2010"/>
      <c r="CB588" s="2010"/>
      <c r="CC588" s="2010"/>
      <c r="CD588" s="2010"/>
      <c r="CE588" s="2010"/>
      <c r="CF588" s="2010"/>
      <c r="CG588" s="2010"/>
      <c r="CH588" s="2010"/>
      <c r="CI588" s="2010"/>
      <c r="CJ588" s="2010"/>
      <c r="CK588" s="2010"/>
      <c r="CL588" s="2010"/>
      <c r="CM588" s="2010"/>
      <c r="CN588" s="2010"/>
      <c r="CO588" s="2010"/>
      <c r="CP588" s="2010"/>
      <c r="CQ588" s="2010"/>
      <c r="CR588" s="2010"/>
      <c r="CS588" s="2010"/>
      <c r="CT588" s="2010"/>
      <c r="CU588" s="2010"/>
      <c r="CV588" s="2010"/>
      <c r="CW588" s="2010"/>
      <c r="CX588" s="2010"/>
      <c r="CY588" s="2010"/>
      <c r="CZ588" s="2010"/>
      <c r="DA588" s="2010"/>
      <c r="DB588" s="2010"/>
      <c r="DC588" s="2010"/>
      <c r="DD588" s="2010"/>
      <c r="DE588" s="2010"/>
    </row>
    <row r="589" spans="1:109" s="2014" customFormat="1" x14ac:dyDescent="0.2">
      <c r="A589" s="2013"/>
      <c r="B589" s="2013"/>
      <c r="C589" s="2013"/>
      <c r="D589" s="2013"/>
      <c r="AB589" s="2010"/>
      <c r="AU589" s="2010"/>
      <c r="AV589" s="2010"/>
      <c r="AW589" s="2010"/>
      <c r="AX589" s="2010"/>
      <c r="AY589" s="2010"/>
      <c r="AZ589" s="2010"/>
      <c r="BA589" s="2010"/>
      <c r="BB589" s="2010"/>
      <c r="BC589" s="2010"/>
      <c r="BD589" s="2010"/>
      <c r="BE589" s="2010"/>
      <c r="BF589" s="2010"/>
      <c r="BG589" s="2010"/>
      <c r="BH589" s="2010"/>
      <c r="BI589" s="2010"/>
      <c r="BJ589" s="2010"/>
      <c r="BK589" s="2010"/>
      <c r="BL589" s="2010"/>
      <c r="BM589" s="2010"/>
      <c r="BN589" s="2010"/>
      <c r="BO589" s="2010"/>
      <c r="BP589" s="2010"/>
      <c r="BQ589" s="2010"/>
      <c r="BR589" s="2010"/>
      <c r="BS589" s="2010"/>
      <c r="BT589" s="2010"/>
      <c r="BU589" s="2010"/>
      <c r="BV589" s="2010"/>
      <c r="BW589" s="2010"/>
      <c r="BX589" s="2010"/>
      <c r="BY589" s="2010"/>
      <c r="BZ589" s="2010"/>
      <c r="CA589" s="2010"/>
      <c r="CB589" s="2010"/>
      <c r="CC589" s="2010"/>
      <c r="CD589" s="2010"/>
      <c r="CE589" s="2010"/>
      <c r="CF589" s="2010"/>
      <c r="CG589" s="2010"/>
      <c r="CH589" s="2010"/>
      <c r="CI589" s="2010"/>
      <c r="CJ589" s="2010"/>
      <c r="CK589" s="2010"/>
      <c r="CL589" s="2010"/>
      <c r="CM589" s="2010"/>
      <c r="CN589" s="2010"/>
      <c r="CO589" s="2010"/>
      <c r="CP589" s="2010"/>
      <c r="CQ589" s="2010"/>
      <c r="CR589" s="2010"/>
      <c r="CS589" s="2010"/>
      <c r="CT589" s="2010"/>
      <c r="CU589" s="2010"/>
      <c r="CV589" s="2010"/>
      <c r="CW589" s="2010"/>
      <c r="CX589" s="2010"/>
      <c r="CY589" s="2010"/>
      <c r="CZ589" s="2010"/>
      <c r="DA589" s="2010"/>
      <c r="DB589" s="2010"/>
      <c r="DC589" s="2010"/>
      <c r="DD589" s="2010"/>
      <c r="DE589" s="2010"/>
    </row>
    <row r="590" spans="1:109" s="2014" customFormat="1" x14ac:dyDescent="0.2">
      <c r="A590" s="2013"/>
      <c r="B590" s="2013"/>
      <c r="C590" s="2013"/>
      <c r="D590" s="2013"/>
      <c r="AB590" s="2010"/>
      <c r="AU590" s="2010"/>
      <c r="AV590" s="2010"/>
      <c r="AW590" s="2010"/>
      <c r="AX590" s="2010"/>
      <c r="AY590" s="2010"/>
      <c r="AZ590" s="2010"/>
      <c r="BA590" s="2010"/>
      <c r="BB590" s="2010"/>
      <c r="BC590" s="2010"/>
      <c r="BD590" s="2010"/>
      <c r="BE590" s="2010"/>
      <c r="BF590" s="2010"/>
      <c r="BG590" s="2010"/>
      <c r="BH590" s="2010"/>
      <c r="BI590" s="2010"/>
      <c r="BJ590" s="2010"/>
      <c r="BK590" s="2010"/>
      <c r="BL590" s="2010"/>
      <c r="BM590" s="2010"/>
      <c r="BN590" s="2010"/>
      <c r="BO590" s="2010"/>
      <c r="BP590" s="2010"/>
      <c r="BQ590" s="2010"/>
      <c r="BR590" s="2010"/>
      <c r="BS590" s="2010"/>
      <c r="BT590" s="2010"/>
      <c r="BU590" s="2010"/>
      <c r="BV590" s="2010"/>
      <c r="BW590" s="2010"/>
      <c r="BX590" s="2010"/>
      <c r="BY590" s="2010"/>
      <c r="BZ590" s="2010"/>
      <c r="CA590" s="2010"/>
      <c r="CB590" s="2010"/>
      <c r="CC590" s="2010"/>
      <c r="CD590" s="2010"/>
      <c r="CE590" s="2010"/>
      <c r="CF590" s="2010"/>
      <c r="CG590" s="2010"/>
      <c r="CH590" s="2010"/>
      <c r="CI590" s="2010"/>
      <c r="CJ590" s="2010"/>
      <c r="CK590" s="2010"/>
      <c r="CL590" s="2010"/>
      <c r="CM590" s="2010"/>
      <c r="CN590" s="2010"/>
      <c r="CO590" s="2010"/>
      <c r="CP590" s="2010"/>
      <c r="CQ590" s="2010"/>
      <c r="CR590" s="2010"/>
      <c r="CS590" s="2010"/>
      <c r="CT590" s="2010"/>
      <c r="CU590" s="2010"/>
      <c r="CV590" s="2010"/>
      <c r="CW590" s="2010"/>
      <c r="CX590" s="2010"/>
      <c r="CY590" s="2010"/>
      <c r="CZ590" s="2010"/>
      <c r="DA590" s="2010"/>
      <c r="DB590" s="2010"/>
      <c r="DC590" s="2010"/>
      <c r="DD590" s="2010"/>
      <c r="DE590" s="2010"/>
    </row>
    <row r="591" spans="1:109" s="2014" customFormat="1" x14ac:dyDescent="0.2">
      <c r="A591" s="2013"/>
      <c r="B591" s="2013"/>
      <c r="C591" s="2013"/>
      <c r="D591" s="2013"/>
      <c r="AB591" s="2010"/>
      <c r="AU591" s="2010"/>
      <c r="AV591" s="2010"/>
      <c r="AW591" s="2010"/>
      <c r="AX591" s="2010"/>
      <c r="AY591" s="2010"/>
      <c r="AZ591" s="2010"/>
      <c r="BA591" s="2010"/>
      <c r="BB591" s="2010"/>
      <c r="BC591" s="2010"/>
      <c r="BD591" s="2010"/>
      <c r="BE591" s="2010"/>
      <c r="BF591" s="2010"/>
      <c r="BG591" s="2010"/>
      <c r="BH591" s="2010"/>
      <c r="BI591" s="2010"/>
      <c r="BJ591" s="2010"/>
      <c r="BK591" s="2010"/>
      <c r="BL591" s="2010"/>
      <c r="BM591" s="2010"/>
      <c r="BN591" s="2010"/>
      <c r="BO591" s="2010"/>
      <c r="BP591" s="2010"/>
      <c r="BQ591" s="2010"/>
      <c r="BR591" s="2010"/>
      <c r="BS591" s="2010"/>
      <c r="BT591" s="2010"/>
      <c r="BU591" s="2010"/>
      <c r="BV591" s="2010"/>
      <c r="BW591" s="2010"/>
      <c r="BX591" s="2010"/>
      <c r="BY591" s="2010"/>
      <c r="BZ591" s="2010"/>
      <c r="CA591" s="2010"/>
      <c r="CB591" s="2010"/>
      <c r="CC591" s="2010"/>
      <c r="CD591" s="2010"/>
      <c r="CE591" s="2010"/>
      <c r="CF591" s="2010"/>
      <c r="CG591" s="2010"/>
      <c r="CH591" s="2010"/>
      <c r="CI591" s="2010"/>
      <c r="CJ591" s="2010"/>
      <c r="CK591" s="2010"/>
      <c r="CL591" s="2010"/>
      <c r="CM591" s="2010"/>
      <c r="CN591" s="2010"/>
      <c r="CO591" s="2010"/>
      <c r="CP591" s="2010"/>
      <c r="CQ591" s="2010"/>
      <c r="CR591" s="2010"/>
      <c r="CS591" s="2010"/>
      <c r="CT591" s="2010"/>
      <c r="CU591" s="2010"/>
      <c r="CV591" s="2010"/>
      <c r="CW591" s="2010"/>
      <c r="CX591" s="2010"/>
      <c r="CY591" s="2010"/>
      <c r="CZ591" s="2010"/>
      <c r="DA591" s="2010"/>
      <c r="DB591" s="2010"/>
      <c r="DC591" s="2010"/>
      <c r="DD591" s="2010"/>
      <c r="DE591" s="2010"/>
    </row>
    <row r="592" spans="1:109" s="2014" customFormat="1" x14ac:dyDescent="0.2">
      <c r="A592" s="2013"/>
      <c r="B592" s="2013"/>
      <c r="C592" s="2013"/>
      <c r="D592" s="2013"/>
      <c r="AB592" s="2010"/>
      <c r="AU592" s="2010"/>
      <c r="AV592" s="2010"/>
      <c r="AW592" s="2010"/>
      <c r="AX592" s="2010"/>
      <c r="AY592" s="2010"/>
      <c r="AZ592" s="2010"/>
      <c r="BA592" s="2010"/>
      <c r="BB592" s="2010"/>
      <c r="BC592" s="2010"/>
      <c r="BD592" s="2010"/>
      <c r="BE592" s="2010"/>
      <c r="BF592" s="2010"/>
      <c r="BG592" s="2010"/>
      <c r="BH592" s="2010"/>
      <c r="BI592" s="2010"/>
      <c r="BJ592" s="2010"/>
      <c r="BK592" s="2010"/>
      <c r="BL592" s="2010"/>
      <c r="BM592" s="2010"/>
      <c r="BN592" s="2010"/>
      <c r="BO592" s="2010"/>
      <c r="BP592" s="2010"/>
      <c r="BQ592" s="2010"/>
      <c r="BR592" s="2010"/>
      <c r="BS592" s="2010"/>
      <c r="BT592" s="2010"/>
      <c r="BU592" s="2010"/>
      <c r="BV592" s="2010"/>
      <c r="BW592" s="2010"/>
      <c r="BX592" s="2010"/>
      <c r="BY592" s="2010"/>
      <c r="BZ592" s="2010"/>
      <c r="CA592" s="2010"/>
      <c r="CB592" s="2010"/>
      <c r="CC592" s="2010"/>
      <c r="CD592" s="2010"/>
      <c r="CE592" s="2010"/>
      <c r="CF592" s="2010"/>
      <c r="CG592" s="2010"/>
      <c r="CH592" s="2010"/>
      <c r="CI592" s="2010"/>
      <c r="CJ592" s="2010"/>
      <c r="CK592" s="2010"/>
      <c r="CL592" s="2010"/>
      <c r="CM592" s="2010"/>
      <c r="CN592" s="2010"/>
      <c r="CO592" s="2010"/>
      <c r="CP592" s="2010"/>
      <c r="CQ592" s="2010"/>
      <c r="CR592" s="2010"/>
      <c r="CS592" s="2010"/>
      <c r="CT592" s="2010"/>
      <c r="CU592" s="2010"/>
      <c r="CV592" s="2010"/>
      <c r="CW592" s="2010"/>
      <c r="CX592" s="2010"/>
      <c r="CY592" s="2010"/>
      <c r="CZ592" s="2010"/>
      <c r="DA592" s="2010"/>
      <c r="DB592" s="2010"/>
      <c r="DC592" s="2010"/>
      <c r="DD592" s="2010"/>
      <c r="DE592" s="2010"/>
    </row>
    <row r="593" spans="1:109" s="2014" customFormat="1" x14ac:dyDescent="0.2">
      <c r="A593" s="2013"/>
      <c r="B593" s="2013"/>
      <c r="C593" s="2013"/>
      <c r="D593" s="2013"/>
      <c r="AB593" s="2010"/>
      <c r="AU593" s="2010"/>
      <c r="AV593" s="2010"/>
      <c r="AW593" s="2010"/>
      <c r="AX593" s="2010"/>
      <c r="AY593" s="2010"/>
      <c r="AZ593" s="2010"/>
      <c r="BA593" s="2010"/>
      <c r="BB593" s="2010"/>
      <c r="BC593" s="2010"/>
      <c r="BD593" s="2010"/>
      <c r="BE593" s="2010"/>
      <c r="BF593" s="2010"/>
      <c r="BG593" s="2010"/>
      <c r="BH593" s="2010"/>
      <c r="BI593" s="2010"/>
      <c r="BJ593" s="2010"/>
      <c r="BK593" s="2010"/>
      <c r="BL593" s="2010"/>
      <c r="BM593" s="2010"/>
      <c r="BN593" s="2010"/>
      <c r="BO593" s="2010"/>
      <c r="BP593" s="2010"/>
      <c r="BQ593" s="2010"/>
      <c r="BR593" s="2010"/>
      <c r="BS593" s="2010"/>
      <c r="BT593" s="2010"/>
      <c r="BU593" s="2010"/>
      <c r="BV593" s="2010"/>
      <c r="BW593" s="2010"/>
      <c r="BX593" s="2010"/>
      <c r="BY593" s="2010"/>
      <c r="BZ593" s="2010"/>
      <c r="CA593" s="2010"/>
      <c r="CB593" s="2010"/>
      <c r="CC593" s="2010"/>
      <c r="CD593" s="2010"/>
      <c r="CE593" s="2010"/>
      <c r="CF593" s="2010"/>
      <c r="CG593" s="2010"/>
      <c r="CH593" s="2010"/>
      <c r="CI593" s="2010"/>
      <c r="CJ593" s="2010"/>
      <c r="CK593" s="2010"/>
      <c r="CL593" s="2010"/>
      <c r="CM593" s="2010"/>
      <c r="CN593" s="2010"/>
      <c r="CO593" s="2010"/>
      <c r="CP593" s="2010"/>
      <c r="CQ593" s="2010"/>
      <c r="CR593" s="2010"/>
      <c r="CS593" s="2010"/>
      <c r="CT593" s="2010"/>
      <c r="CU593" s="2010"/>
      <c r="CV593" s="2010"/>
      <c r="CW593" s="2010"/>
      <c r="CX593" s="2010"/>
      <c r="CY593" s="2010"/>
      <c r="CZ593" s="2010"/>
      <c r="DA593" s="2010"/>
      <c r="DB593" s="2010"/>
      <c r="DC593" s="2010"/>
      <c r="DD593" s="2010"/>
      <c r="DE593" s="2010"/>
    </row>
    <row r="594" spans="1:109" s="2014" customFormat="1" x14ac:dyDescent="0.2">
      <c r="A594" s="2013"/>
      <c r="B594" s="2013"/>
      <c r="C594" s="2013"/>
      <c r="D594" s="2013"/>
      <c r="AB594" s="2010"/>
      <c r="AU594" s="2010"/>
      <c r="AV594" s="2010"/>
      <c r="AW594" s="2010"/>
      <c r="AX594" s="2010"/>
      <c r="AY594" s="2010"/>
      <c r="AZ594" s="2010"/>
      <c r="BA594" s="2010"/>
      <c r="BB594" s="2010"/>
      <c r="BC594" s="2010"/>
      <c r="BD594" s="2010"/>
      <c r="BE594" s="2010"/>
      <c r="BF594" s="2010"/>
      <c r="BG594" s="2010"/>
      <c r="BH594" s="2010"/>
      <c r="BI594" s="2010"/>
      <c r="BJ594" s="2010"/>
      <c r="BK594" s="2010"/>
      <c r="BL594" s="2010"/>
      <c r="BM594" s="2010"/>
      <c r="BN594" s="2010"/>
      <c r="BO594" s="2010"/>
      <c r="BP594" s="2010"/>
      <c r="BQ594" s="2010"/>
      <c r="BR594" s="2010"/>
      <c r="BS594" s="2010"/>
      <c r="BT594" s="2010"/>
      <c r="BU594" s="2010"/>
      <c r="BV594" s="2010"/>
      <c r="BW594" s="2010"/>
      <c r="BX594" s="2010"/>
      <c r="BY594" s="2010"/>
      <c r="BZ594" s="2010"/>
      <c r="CA594" s="2010"/>
      <c r="CB594" s="2010"/>
      <c r="CC594" s="2010"/>
      <c r="CD594" s="2010"/>
      <c r="CE594" s="2010"/>
      <c r="CF594" s="2010"/>
      <c r="CG594" s="2010"/>
      <c r="CH594" s="2010"/>
      <c r="CI594" s="2010"/>
      <c r="CJ594" s="2010"/>
      <c r="CK594" s="2010"/>
      <c r="CL594" s="2010"/>
      <c r="CM594" s="2010"/>
      <c r="CN594" s="2010"/>
      <c r="CO594" s="2010"/>
      <c r="CP594" s="2010"/>
      <c r="CQ594" s="2010"/>
      <c r="CR594" s="2010"/>
      <c r="CS594" s="2010"/>
      <c r="CT594" s="2010"/>
      <c r="CU594" s="2010"/>
      <c r="CV594" s="2010"/>
      <c r="CW594" s="2010"/>
      <c r="CX594" s="2010"/>
      <c r="CY594" s="2010"/>
      <c r="CZ594" s="2010"/>
      <c r="DA594" s="2010"/>
      <c r="DB594" s="2010"/>
      <c r="DC594" s="2010"/>
      <c r="DD594" s="2010"/>
      <c r="DE594" s="2010"/>
    </row>
    <row r="595" spans="1:109" s="2014" customFormat="1" x14ac:dyDescent="0.2">
      <c r="A595" s="2013"/>
      <c r="B595" s="2013"/>
      <c r="C595" s="2013"/>
      <c r="D595" s="2013"/>
      <c r="AB595" s="2010"/>
      <c r="AU595" s="2010"/>
      <c r="AV595" s="2010"/>
      <c r="AW595" s="2010"/>
      <c r="AX595" s="2010"/>
      <c r="AY595" s="2010"/>
      <c r="AZ595" s="2010"/>
      <c r="BA595" s="2010"/>
      <c r="BB595" s="2010"/>
      <c r="BC595" s="2010"/>
      <c r="BD595" s="2010"/>
      <c r="BE595" s="2010"/>
      <c r="BF595" s="2010"/>
      <c r="BG595" s="2010"/>
      <c r="BH595" s="2010"/>
      <c r="BI595" s="2010"/>
      <c r="BJ595" s="2010"/>
      <c r="BK595" s="2010"/>
      <c r="BL595" s="2010"/>
      <c r="BM595" s="2010"/>
      <c r="BN595" s="2010"/>
      <c r="BO595" s="2010"/>
      <c r="BP595" s="2010"/>
      <c r="BQ595" s="2010"/>
      <c r="BR595" s="2010"/>
      <c r="BS595" s="2010"/>
      <c r="BT595" s="2010"/>
      <c r="BU595" s="2010"/>
      <c r="BV595" s="2010"/>
      <c r="BW595" s="2010"/>
      <c r="BX595" s="2010"/>
      <c r="BY595" s="2010"/>
      <c r="BZ595" s="2010"/>
      <c r="CA595" s="2010"/>
      <c r="CB595" s="2010"/>
      <c r="CC595" s="2010"/>
      <c r="CD595" s="2010"/>
      <c r="CE595" s="2010"/>
      <c r="CF595" s="2010"/>
      <c r="CG595" s="2010"/>
      <c r="CH595" s="2010"/>
      <c r="CI595" s="2010"/>
      <c r="CJ595" s="2010"/>
      <c r="CK595" s="2010"/>
      <c r="CL595" s="2010"/>
      <c r="CM595" s="2010"/>
      <c r="CN595" s="2010"/>
      <c r="CO595" s="2010"/>
      <c r="CP595" s="2010"/>
      <c r="CQ595" s="2010"/>
      <c r="CR595" s="2010"/>
      <c r="CS595" s="2010"/>
      <c r="CT595" s="2010"/>
      <c r="CU595" s="2010"/>
      <c r="CV595" s="2010"/>
      <c r="CW595" s="2010"/>
      <c r="CX595" s="2010"/>
      <c r="CY595" s="2010"/>
      <c r="CZ595" s="2010"/>
      <c r="DA595" s="2010"/>
      <c r="DB595" s="2010"/>
      <c r="DC595" s="2010"/>
      <c r="DD595" s="2010"/>
      <c r="DE595" s="2010"/>
    </row>
    <row r="596" spans="1:109" s="2014" customFormat="1" x14ac:dyDescent="0.2">
      <c r="A596" s="2013"/>
      <c r="B596" s="2013"/>
      <c r="C596" s="2013"/>
      <c r="D596" s="2013"/>
      <c r="AB596" s="2010"/>
      <c r="AU596" s="2010"/>
      <c r="AV596" s="2010"/>
      <c r="AW596" s="2010"/>
      <c r="AX596" s="2010"/>
      <c r="AY596" s="2010"/>
      <c r="AZ596" s="2010"/>
      <c r="BA596" s="2010"/>
      <c r="BB596" s="2010"/>
      <c r="BC596" s="2010"/>
      <c r="BD596" s="2010"/>
      <c r="BE596" s="2010"/>
      <c r="BF596" s="2010"/>
      <c r="BG596" s="2010"/>
      <c r="BH596" s="2010"/>
      <c r="BI596" s="2010"/>
      <c r="BJ596" s="2010"/>
      <c r="BK596" s="2010"/>
      <c r="BL596" s="2010"/>
      <c r="BM596" s="2010"/>
      <c r="BN596" s="2010"/>
      <c r="BO596" s="2010"/>
      <c r="BP596" s="2010"/>
      <c r="BQ596" s="2010"/>
      <c r="BR596" s="2010"/>
      <c r="BS596" s="2010"/>
      <c r="BT596" s="2010"/>
      <c r="BU596" s="2010"/>
      <c r="BV596" s="2010"/>
      <c r="BW596" s="2010"/>
      <c r="BX596" s="2010"/>
      <c r="BY596" s="2010"/>
      <c r="BZ596" s="2010"/>
      <c r="CA596" s="2010"/>
      <c r="CB596" s="2010"/>
      <c r="CC596" s="2010"/>
      <c r="CD596" s="2010"/>
      <c r="CE596" s="2010"/>
      <c r="CF596" s="2010"/>
      <c r="CG596" s="2010"/>
      <c r="CH596" s="2010"/>
      <c r="CI596" s="2010"/>
      <c r="CJ596" s="2010"/>
      <c r="CK596" s="2010"/>
      <c r="CL596" s="2010"/>
      <c r="CM596" s="2010"/>
      <c r="CN596" s="2010"/>
      <c r="CO596" s="2010"/>
      <c r="CP596" s="2010"/>
      <c r="CQ596" s="2010"/>
      <c r="CR596" s="2010"/>
      <c r="CS596" s="2010"/>
      <c r="CT596" s="2010"/>
      <c r="CU596" s="2010"/>
      <c r="CV596" s="2010"/>
      <c r="CW596" s="2010"/>
      <c r="CX596" s="2010"/>
      <c r="CY596" s="2010"/>
      <c r="CZ596" s="2010"/>
      <c r="DA596" s="2010"/>
      <c r="DB596" s="2010"/>
      <c r="DC596" s="2010"/>
      <c r="DD596" s="2010"/>
      <c r="DE596" s="2010"/>
    </row>
    <row r="597" spans="1:109" s="2014" customFormat="1" x14ac:dyDescent="0.2">
      <c r="A597" s="2013"/>
      <c r="B597" s="2013"/>
      <c r="C597" s="2013"/>
      <c r="D597" s="2013"/>
      <c r="AB597" s="2010"/>
      <c r="AU597" s="2010"/>
      <c r="AV597" s="2010"/>
      <c r="AW597" s="2010"/>
      <c r="AX597" s="2010"/>
      <c r="AY597" s="2010"/>
      <c r="AZ597" s="2010"/>
      <c r="BA597" s="2010"/>
      <c r="BB597" s="2010"/>
      <c r="BC597" s="2010"/>
      <c r="BD597" s="2010"/>
      <c r="BE597" s="2010"/>
      <c r="BF597" s="2010"/>
      <c r="BG597" s="2010"/>
      <c r="BH597" s="2010"/>
      <c r="BI597" s="2010"/>
      <c r="BJ597" s="2010"/>
      <c r="BK597" s="2010"/>
      <c r="BL597" s="2010"/>
      <c r="BM597" s="2010"/>
      <c r="BN597" s="2010"/>
      <c r="BO597" s="2010"/>
      <c r="BP597" s="2010"/>
      <c r="BQ597" s="2010"/>
      <c r="BR597" s="2010"/>
      <c r="BS597" s="2010"/>
      <c r="BT597" s="2010"/>
      <c r="BU597" s="2010"/>
      <c r="BV597" s="2010"/>
      <c r="BW597" s="2010"/>
      <c r="BX597" s="2010"/>
      <c r="BY597" s="2010"/>
      <c r="BZ597" s="2010"/>
      <c r="CA597" s="2010"/>
      <c r="CB597" s="2010"/>
      <c r="CC597" s="2010"/>
      <c r="CD597" s="2010"/>
      <c r="CE597" s="2010"/>
      <c r="CF597" s="2010"/>
      <c r="CG597" s="2010"/>
      <c r="CH597" s="2010"/>
      <c r="CI597" s="2010"/>
      <c r="CJ597" s="2010"/>
      <c r="CK597" s="2010"/>
      <c r="CL597" s="2010"/>
      <c r="CM597" s="2010"/>
      <c r="CN597" s="2010"/>
      <c r="CO597" s="2010"/>
      <c r="CP597" s="2010"/>
      <c r="CQ597" s="2010"/>
      <c r="CR597" s="2010"/>
      <c r="CS597" s="2010"/>
      <c r="CT597" s="2010"/>
      <c r="CU597" s="2010"/>
      <c r="CV597" s="2010"/>
      <c r="CW597" s="2010"/>
      <c r="CX597" s="2010"/>
      <c r="CY597" s="2010"/>
      <c r="CZ597" s="2010"/>
      <c r="DA597" s="2010"/>
      <c r="DB597" s="2010"/>
      <c r="DC597" s="2010"/>
      <c r="DD597" s="2010"/>
      <c r="DE597" s="2010"/>
    </row>
    <row r="598" spans="1:109" s="2014" customFormat="1" x14ac:dyDescent="0.2">
      <c r="A598" s="2013"/>
      <c r="B598" s="2013"/>
      <c r="C598" s="2013"/>
      <c r="D598" s="2013"/>
      <c r="AB598" s="2010"/>
      <c r="AU598" s="2010"/>
      <c r="AV598" s="2010"/>
      <c r="AW598" s="2010"/>
      <c r="AX598" s="2010"/>
      <c r="AY598" s="2010"/>
      <c r="AZ598" s="2010"/>
      <c r="BA598" s="2010"/>
      <c r="BB598" s="2010"/>
      <c r="BC598" s="2010"/>
      <c r="BD598" s="2010"/>
      <c r="BE598" s="2010"/>
      <c r="BF598" s="2010"/>
      <c r="BG598" s="2010"/>
      <c r="BH598" s="2010"/>
      <c r="BI598" s="2010"/>
      <c r="BJ598" s="2010"/>
      <c r="BK598" s="2010"/>
      <c r="BL598" s="2010"/>
      <c r="BM598" s="2010"/>
      <c r="BN598" s="2010"/>
      <c r="BO598" s="2010"/>
      <c r="BP598" s="2010"/>
      <c r="BQ598" s="2010"/>
      <c r="BR598" s="2010"/>
      <c r="BS598" s="2010"/>
      <c r="BT598" s="2010"/>
      <c r="BU598" s="2010"/>
      <c r="BV598" s="2010"/>
      <c r="BW598" s="2010"/>
      <c r="BX598" s="2010"/>
      <c r="BY598" s="2010"/>
      <c r="BZ598" s="2010"/>
      <c r="CA598" s="2010"/>
      <c r="CB598" s="2010"/>
      <c r="CC598" s="2010"/>
      <c r="CD598" s="2010"/>
      <c r="CE598" s="2010"/>
      <c r="CF598" s="2010"/>
      <c r="CG598" s="2010"/>
      <c r="CH598" s="2010"/>
      <c r="CI598" s="2010"/>
      <c r="CJ598" s="2010"/>
      <c r="CK598" s="2010"/>
      <c r="CL598" s="2010"/>
      <c r="CM598" s="2010"/>
      <c r="CN598" s="2010"/>
      <c r="CO598" s="2010"/>
      <c r="CP598" s="2010"/>
      <c r="CQ598" s="2010"/>
      <c r="CR598" s="2010"/>
      <c r="CS598" s="2010"/>
      <c r="CT598" s="2010"/>
      <c r="CU598" s="2010"/>
      <c r="CV598" s="2010"/>
      <c r="CW598" s="2010"/>
      <c r="CX598" s="2010"/>
      <c r="CY598" s="2010"/>
      <c r="CZ598" s="2010"/>
      <c r="DA598" s="2010"/>
      <c r="DB598" s="2010"/>
      <c r="DC598" s="2010"/>
      <c r="DD598" s="2010"/>
      <c r="DE598" s="2010"/>
    </row>
    <row r="599" spans="1:109" s="2014" customFormat="1" x14ac:dyDescent="0.2">
      <c r="A599" s="2013"/>
      <c r="B599" s="2013"/>
      <c r="C599" s="2013"/>
      <c r="D599" s="2013"/>
      <c r="AB599" s="2010"/>
      <c r="AU599" s="2010"/>
      <c r="AV599" s="2010"/>
      <c r="AW599" s="2010"/>
      <c r="AX599" s="2010"/>
      <c r="AY599" s="2010"/>
      <c r="AZ599" s="2010"/>
      <c r="BA599" s="2010"/>
      <c r="BB599" s="2010"/>
      <c r="BC599" s="2010"/>
      <c r="BD599" s="2010"/>
      <c r="BE599" s="2010"/>
      <c r="BF599" s="2010"/>
      <c r="BG599" s="2010"/>
      <c r="BH599" s="2010"/>
      <c r="BI599" s="2010"/>
      <c r="BJ599" s="2010"/>
      <c r="BK599" s="2010"/>
      <c r="BL599" s="2010"/>
      <c r="BM599" s="2010"/>
      <c r="BN599" s="2010"/>
      <c r="BO599" s="2010"/>
      <c r="BP599" s="2010"/>
      <c r="BQ599" s="2010"/>
      <c r="BR599" s="2010"/>
      <c r="BS599" s="2010"/>
      <c r="BT599" s="2010"/>
      <c r="BU599" s="2010"/>
      <c r="BV599" s="2010"/>
      <c r="BW599" s="2010"/>
      <c r="BX599" s="2010"/>
      <c r="BY599" s="2010"/>
      <c r="BZ599" s="2010"/>
      <c r="CA599" s="2010"/>
      <c r="CB599" s="2010"/>
      <c r="CC599" s="2010"/>
      <c r="CD599" s="2010"/>
      <c r="CE599" s="2010"/>
      <c r="CF599" s="2010"/>
      <c r="CG599" s="2010"/>
      <c r="CH599" s="2010"/>
      <c r="CI599" s="2010"/>
      <c r="CJ599" s="2010"/>
      <c r="CK599" s="2010"/>
      <c r="CL599" s="2010"/>
      <c r="CM599" s="2010"/>
      <c r="CN599" s="2010"/>
      <c r="CO599" s="2010"/>
      <c r="CP599" s="2010"/>
      <c r="CQ599" s="2010"/>
      <c r="CR599" s="2010"/>
      <c r="CS599" s="2010"/>
      <c r="CT599" s="2010"/>
      <c r="CU599" s="2010"/>
      <c r="CV599" s="2010"/>
      <c r="CW599" s="2010"/>
      <c r="CX599" s="2010"/>
      <c r="CY599" s="2010"/>
      <c r="CZ599" s="2010"/>
      <c r="DA599" s="2010"/>
      <c r="DB599" s="2010"/>
      <c r="DC599" s="2010"/>
      <c r="DD599" s="2010"/>
      <c r="DE599" s="2010"/>
    </row>
    <row r="600" spans="1:109" s="2014" customFormat="1" x14ac:dyDescent="0.2">
      <c r="A600" s="2013"/>
      <c r="B600" s="2013"/>
      <c r="C600" s="2013"/>
      <c r="D600" s="2013"/>
      <c r="AB600" s="2010"/>
      <c r="AU600" s="2010"/>
      <c r="AV600" s="2010"/>
      <c r="AW600" s="2010"/>
      <c r="AX600" s="2010"/>
      <c r="AY600" s="2010"/>
      <c r="AZ600" s="2010"/>
      <c r="BA600" s="2010"/>
      <c r="BB600" s="2010"/>
      <c r="BC600" s="2010"/>
      <c r="BD600" s="2010"/>
      <c r="BE600" s="2010"/>
      <c r="BF600" s="2010"/>
      <c r="BG600" s="2010"/>
      <c r="BH600" s="2010"/>
      <c r="BI600" s="2010"/>
      <c r="BJ600" s="2010"/>
      <c r="BK600" s="2010"/>
      <c r="BL600" s="2010"/>
      <c r="BM600" s="2010"/>
      <c r="BN600" s="2010"/>
      <c r="BO600" s="2010"/>
      <c r="BP600" s="2010"/>
      <c r="BQ600" s="2010"/>
      <c r="BR600" s="2010"/>
      <c r="BS600" s="2010"/>
      <c r="BT600" s="2010"/>
      <c r="BU600" s="2010"/>
      <c r="BV600" s="2010"/>
      <c r="BW600" s="2010"/>
      <c r="BX600" s="2010"/>
      <c r="BY600" s="2010"/>
      <c r="BZ600" s="2010"/>
      <c r="CA600" s="2010"/>
      <c r="CB600" s="2010"/>
      <c r="CC600" s="2010"/>
      <c r="CD600" s="2010"/>
      <c r="CE600" s="2010"/>
      <c r="CF600" s="2010"/>
      <c r="CG600" s="2010"/>
      <c r="CH600" s="2010"/>
      <c r="CI600" s="2010"/>
      <c r="CJ600" s="2010"/>
      <c r="CK600" s="2010"/>
      <c r="CL600" s="2010"/>
      <c r="CM600" s="2010"/>
      <c r="CN600" s="2010"/>
      <c r="CO600" s="2010"/>
      <c r="CP600" s="2010"/>
      <c r="CQ600" s="2010"/>
      <c r="CR600" s="2010"/>
      <c r="CS600" s="2010"/>
      <c r="CT600" s="2010"/>
      <c r="CU600" s="2010"/>
      <c r="CV600" s="2010"/>
      <c r="CW600" s="2010"/>
      <c r="CX600" s="2010"/>
      <c r="CY600" s="2010"/>
      <c r="CZ600" s="2010"/>
      <c r="DA600" s="2010"/>
      <c r="DB600" s="2010"/>
      <c r="DC600" s="2010"/>
      <c r="DD600" s="2010"/>
      <c r="DE600" s="2010"/>
    </row>
    <row r="601" spans="1:109" s="2014" customFormat="1" x14ac:dyDescent="0.2">
      <c r="A601" s="2013"/>
      <c r="B601" s="2013"/>
      <c r="C601" s="2013"/>
      <c r="D601" s="2013"/>
      <c r="AB601" s="2010"/>
      <c r="AU601" s="2010"/>
      <c r="AV601" s="2010"/>
      <c r="AW601" s="2010"/>
      <c r="AX601" s="2010"/>
      <c r="AY601" s="2010"/>
      <c r="AZ601" s="2010"/>
      <c r="BA601" s="2010"/>
      <c r="BB601" s="2010"/>
      <c r="BC601" s="2010"/>
      <c r="BD601" s="2010"/>
      <c r="BE601" s="2010"/>
      <c r="BF601" s="2010"/>
      <c r="BG601" s="2010"/>
      <c r="BH601" s="2010"/>
      <c r="BI601" s="2010"/>
      <c r="BJ601" s="2010"/>
      <c r="BK601" s="2010"/>
      <c r="BL601" s="2010"/>
      <c r="BM601" s="2010"/>
      <c r="BN601" s="2010"/>
      <c r="BO601" s="2010"/>
      <c r="BP601" s="2010"/>
      <c r="BQ601" s="2010"/>
      <c r="BR601" s="2010"/>
      <c r="BS601" s="2010"/>
      <c r="BT601" s="2010"/>
      <c r="BU601" s="2010"/>
      <c r="BV601" s="2010"/>
      <c r="BW601" s="2010"/>
      <c r="BX601" s="2010"/>
      <c r="BY601" s="2010"/>
      <c r="BZ601" s="2010"/>
      <c r="CA601" s="2010"/>
      <c r="CB601" s="2010"/>
      <c r="CC601" s="2010"/>
      <c r="CD601" s="2010"/>
      <c r="CE601" s="2010"/>
      <c r="CF601" s="2010"/>
      <c r="CG601" s="2010"/>
      <c r="CH601" s="2010"/>
      <c r="CI601" s="2010"/>
      <c r="CJ601" s="2010"/>
      <c r="CK601" s="2010"/>
      <c r="CL601" s="2010"/>
      <c r="CM601" s="2010"/>
      <c r="CN601" s="2010"/>
      <c r="CO601" s="2010"/>
      <c r="CP601" s="2010"/>
      <c r="CQ601" s="2010"/>
      <c r="CR601" s="2010"/>
      <c r="CS601" s="2010"/>
      <c r="CT601" s="2010"/>
      <c r="CU601" s="2010"/>
      <c r="CV601" s="2010"/>
      <c r="CW601" s="2010"/>
      <c r="CX601" s="2010"/>
      <c r="CY601" s="2010"/>
      <c r="CZ601" s="2010"/>
      <c r="DA601" s="2010"/>
      <c r="DB601" s="2010"/>
      <c r="DC601" s="2010"/>
      <c r="DD601" s="2010"/>
      <c r="DE601" s="2010"/>
    </row>
    <row r="602" spans="1:109" s="2014" customFormat="1" x14ac:dyDescent="0.2">
      <c r="A602" s="2013"/>
      <c r="B602" s="2013"/>
      <c r="C602" s="2013"/>
      <c r="D602" s="2013"/>
      <c r="AB602" s="2010"/>
      <c r="AU602" s="2010"/>
      <c r="AV602" s="2010"/>
      <c r="AW602" s="2010"/>
      <c r="AX602" s="2010"/>
      <c r="AY602" s="2010"/>
      <c r="AZ602" s="2010"/>
      <c r="BA602" s="2010"/>
      <c r="BB602" s="2010"/>
      <c r="BC602" s="2010"/>
      <c r="BD602" s="2010"/>
      <c r="BE602" s="2010"/>
      <c r="BF602" s="2010"/>
      <c r="BG602" s="2010"/>
      <c r="BH602" s="2010"/>
      <c r="BI602" s="2010"/>
      <c r="BJ602" s="2010"/>
      <c r="BK602" s="2010"/>
      <c r="BL602" s="2010"/>
      <c r="BM602" s="2010"/>
      <c r="BN602" s="2010"/>
      <c r="BO602" s="2010"/>
      <c r="BP602" s="2010"/>
      <c r="BQ602" s="2010"/>
      <c r="BR602" s="2010"/>
      <c r="BS602" s="2010"/>
      <c r="BT602" s="2010"/>
      <c r="BU602" s="2010"/>
      <c r="BV602" s="2010"/>
      <c r="BW602" s="2010"/>
      <c r="BX602" s="2010"/>
      <c r="BY602" s="2010"/>
      <c r="BZ602" s="2010"/>
      <c r="CA602" s="2010"/>
      <c r="CB602" s="2010"/>
      <c r="CC602" s="2010"/>
      <c r="CD602" s="2010"/>
      <c r="CE602" s="2010"/>
      <c r="CF602" s="2010"/>
      <c r="CG602" s="2010"/>
      <c r="CH602" s="2010"/>
      <c r="CI602" s="2010"/>
      <c r="CJ602" s="2010"/>
      <c r="CK602" s="2010"/>
      <c r="CL602" s="2010"/>
      <c r="CM602" s="2010"/>
      <c r="CN602" s="2010"/>
      <c r="CO602" s="2010"/>
      <c r="CP602" s="2010"/>
      <c r="CQ602" s="2010"/>
      <c r="CR602" s="2010"/>
      <c r="CS602" s="2010"/>
      <c r="CT602" s="2010"/>
      <c r="CU602" s="2010"/>
      <c r="CV602" s="2010"/>
      <c r="CW602" s="2010"/>
      <c r="CX602" s="2010"/>
      <c r="CY602" s="2010"/>
      <c r="CZ602" s="2010"/>
      <c r="DA602" s="2010"/>
      <c r="DB602" s="2010"/>
      <c r="DC602" s="2010"/>
      <c r="DD602" s="2010"/>
      <c r="DE602" s="2010"/>
    </row>
    <row r="603" spans="1:109" s="2014" customFormat="1" x14ac:dyDescent="0.2">
      <c r="A603" s="2013"/>
      <c r="B603" s="2013"/>
      <c r="C603" s="2013"/>
      <c r="D603" s="2013"/>
      <c r="AB603" s="2010"/>
      <c r="AU603" s="2010"/>
      <c r="AV603" s="2010"/>
      <c r="AW603" s="2010"/>
      <c r="AX603" s="2010"/>
      <c r="AY603" s="2010"/>
      <c r="AZ603" s="2010"/>
      <c r="BA603" s="2010"/>
      <c r="BB603" s="2010"/>
      <c r="BC603" s="2010"/>
      <c r="BD603" s="2010"/>
      <c r="BE603" s="2010"/>
      <c r="BF603" s="2010"/>
      <c r="BG603" s="2010"/>
      <c r="BH603" s="2010"/>
      <c r="BI603" s="2010"/>
      <c r="BJ603" s="2010"/>
      <c r="BK603" s="2010"/>
      <c r="BL603" s="2010"/>
      <c r="BM603" s="2010"/>
      <c r="BN603" s="2010"/>
      <c r="BO603" s="2010"/>
      <c r="BP603" s="2010"/>
      <c r="BQ603" s="2010"/>
      <c r="BR603" s="2010"/>
      <c r="BS603" s="2010"/>
      <c r="BT603" s="2010"/>
      <c r="BU603" s="2010"/>
      <c r="BV603" s="2010"/>
      <c r="BW603" s="2010"/>
      <c r="BX603" s="2010"/>
      <c r="BY603" s="2010"/>
      <c r="BZ603" s="2010"/>
      <c r="CA603" s="2010"/>
      <c r="CB603" s="2010"/>
      <c r="CC603" s="2010"/>
      <c r="CD603" s="2010"/>
      <c r="CE603" s="2010"/>
      <c r="CF603" s="2010"/>
      <c r="CG603" s="2010"/>
      <c r="CH603" s="2010"/>
      <c r="CI603" s="2010"/>
      <c r="CJ603" s="2010"/>
      <c r="CK603" s="2010"/>
      <c r="CL603" s="2010"/>
      <c r="CM603" s="2010"/>
      <c r="CN603" s="2010"/>
      <c r="CO603" s="2010"/>
      <c r="CP603" s="2010"/>
      <c r="CQ603" s="2010"/>
      <c r="CR603" s="2010"/>
      <c r="CS603" s="2010"/>
      <c r="CT603" s="2010"/>
      <c r="CU603" s="2010"/>
      <c r="CV603" s="2010"/>
      <c r="CW603" s="2010"/>
      <c r="CX603" s="2010"/>
      <c r="CY603" s="2010"/>
      <c r="CZ603" s="2010"/>
      <c r="DA603" s="2010"/>
      <c r="DB603" s="2010"/>
      <c r="DC603" s="2010"/>
      <c r="DD603" s="2010"/>
      <c r="DE603" s="2010"/>
    </row>
    <row r="604" spans="1:109" s="2014" customFormat="1" x14ac:dyDescent="0.2">
      <c r="A604" s="2013"/>
      <c r="B604" s="2013"/>
      <c r="C604" s="2013"/>
      <c r="D604" s="2013"/>
      <c r="AB604" s="2010"/>
      <c r="AU604" s="2010"/>
      <c r="AV604" s="2010"/>
      <c r="AW604" s="2010"/>
      <c r="AX604" s="2010"/>
      <c r="AY604" s="2010"/>
      <c r="AZ604" s="2010"/>
      <c r="BA604" s="2010"/>
      <c r="BB604" s="2010"/>
      <c r="BC604" s="2010"/>
      <c r="BD604" s="2010"/>
      <c r="BE604" s="2010"/>
      <c r="BF604" s="2010"/>
      <c r="BG604" s="2010"/>
      <c r="BH604" s="2010"/>
      <c r="BI604" s="2010"/>
      <c r="BJ604" s="2010"/>
      <c r="BK604" s="2010"/>
      <c r="BL604" s="2010"/>
      <c r="BM604" s="2010"/>
      <c r="BN604" s="2010"/>
      <c r="BO604" s="2010"/>
      <c r="BP604" s="2010"/>
      <c r="BQ604" s="2010"/>
      <c r="BR604" s="2010"/>
      <c r="BS604" s="2010"/>
      <c r="BT604" s="2010"/>
      <c r="BU604" s="2010"/>
      <c r="BV604" s="2010"/>
      <c r="BW604" s="2010"/>
      <c r="BX604" s="2010"/>
      <c r="BY604" s="2010"/>
      <c r="BZ604" s="2010"/>
      <c r="CA604" s="2010"/>
      <c r="CB604" s="2010"/>
      <c r="CC604" s="2010"/>
      <c r="CD604" s="2010"/>
      <c r="CE604" s="2010"/>
      <c r="CF604" s="2010"/>
      <c r="CG604" s="2010"/>
      <c r="CH604" s="2010"/>
      <c r="CI604" s="2010"/>
      <c r="CJ604" s="2010"/>
      <c r="CK604" s="2010"/>
      <c r="CL604" s="2010"/>
      <c r="CM604" s="2010"/>
      <c r="CN604" s="2010"/>
      <c r="CO604" s="2010"/>
      <c r="CP604" s="2010"/>
      <c r="CQ604" s="2010"/>
      <c r="CR604" s="2010"/>
      <c r="CS604" s="2010"/>
      <c r="CT604" s="2010"/>
      <c r="CU604" s="2010"/>
      <c r="CV604" s="2010"/>
      <c r="CW604" s="2010"/>
      <c r="CX604" s="2010"/>
      <c r="CY604" s="2010"/>
      <c r="CZ604" s="2010"/>
      <c r="DA604" s="2010"/>
      <c r="DB604" s="2010"/>
      <c r="DC604" s="2010"/>
      <c r="DD604" s="2010"/>
      <c r="DE604" s="2010"/>
    </row>
    <row r="605" spans="1:109" s="2014" customFormat="1" x14ac:dyDescent="0.2">
      <c r="A605" s="2013"/>
      <c r="B605" s="2013"/>
      <c r="C605" s="2013"/>
      <c r="D605" s="2013"/>
      <c r="AB605" s="2010"/>
      <c r="AU605" s="2010"/>
      <c r="AV605" s="2010"/>
      <c r="AW605" s="2010"/>
      <c r="AX605" s="2010"/>
      <c r="AY605" s="2010"/>
      <c r="AZ605" s="2010"/>
      <c r="BA605" s="2010"/>
      <c r="BB605" s="2010"/>
      <c r="BC605" s="2010"/>
      <c r="BD605" s="2010"/>
      <c r="BE605" s="2010"/>
      <c r="BF605" s="2010"/>
      <c r="BG605" s="2010"/>
      <c r="BH605" s="2010"/>
      <c r="BI605" s="2010"/>
      <c r="BJ605" s="2010"/>
      <c r="BK605" s="2010"/>
      <c r="BL605" s="2010"/>
      <c r="BM605" s="2010"/>
      <c r="BN605" s="2010"/>
      <c r="BO605" s="2010"/>
      <c r="BP605" s="2010"/>
      <c r="BQ605" s="2010"/>
      <c r="BR605" s="2010"/>
      <c r="BS605" s="2010"/>
      <c r="BT605" s="2010"/>
      <c r="BU605" s="2010"/>
      <c r="BV605" s="2010"/>
      <c r="BW605" s="2010"/>
      <c r="BX605" s="2010"/>
      <c r="BY605" s="2010"/>
      <c r="BZ605" s="2010"/>
      <c r="CA605" s="2010"/>
      <c r="CB605" s="2010"/>
      <c r="CC605" s="2010"/>
      <c r="CD605" s="2010"/>
      <c r="CE605" s="2010"/>
      <c r="CF605" s="2010"/>
      <c r="CG605" s="2010"/>
      <c r="CH605" s="2010"/>
      <c r="CI605" s="2010"/>
      <c r="CJ605" s="2010"/>
      <c r="CK605" s="2010"/>
      <c r="CL605" s="2010"/>
      <c r="CM605" s="2010"/>
      <c r="CN605" s="2010"/>
      <c r="CO605" s="2010"/>
      <c r="CP605" s="2010"/>
      <c r="CQ605" s="2010"/>
      <c r="CR605" s="2010"/>
      <c r="CS605" s="2010"/>
      <c r="CT605" s="2010"/>
      <c r="CU605" s="2010"/>
      <c r="CV605" s="2010"/>
      <c r="CW605" s="2010"/>
      <c r="CX605" s="2010"/>
      <c r="CY605" s="2010"/>
      <c r="CZ605" s="2010"/>
      <c r="DA605" s="2010"/>
      <c r="DB605" s="2010"/>
      <c r="DC605" s="2010"/>
      <c r="DD605" s="2010"/>
      <c r="DE605" s="2010"/>
    </row>
    <row r="606" spans="1:109" s="2014" customFormat="1" x14ac:dyDescent="0.2">
      <c r="A606" s="2013"/>
      <c r="B606" s="2013"/>
      <c r="C606" s="2013"/>
      <c r="D606" s="2013"/>
      <c r="AB606" s="2010"/>
      <c r="AU606" s="2010"/>
      <c r="AV606" s="2010"/>
      <c r="AW606" s="2010"/>
      <c r="AX606" s="2010"/>
      <c r="AY606" s="2010"/>
      <c r="AZ606" s="2010"/>
      <c r="BA606" s="2010"/>
      <c r="BB606" s="2010"/>
      <c r="BC606" s="2010"/>
      <c r="BD606" s="2010"/>
      <c r="BE606" s="2010"/>
      <c r="BF606" s="2010"/>
      <c r="BG606" s="2010"/>
      <c r="BH606" s="2010"/>
      <c r="BI606" s="2010"/>
      <c r="BJ606" s="2010"/>
      <c r="BK606" s="2010"/>
      <c r="BL606" s="2010"/>
      <c r="BM606" s="2010"/>
      <c r="BN606" s="2010"/>
      <c r="BO606" s="2010"/>
      <c r="BP606" s="2010"/>
      <c r="BQ606" s="2010"/>
      <c r="BR606" s="2010"/>
      <c r="BS606" s="2010"/>
      <c r="BT606" s="2010"/>
      <c r="BU606" s="2010"/>
      <c r="BV606" s="2010"/>
      <c r="BW606" s="2010"/>
      <c r="BX606" s="2010"/>
      <c r="BY606" s="2010"/>
      <c r="BZ606" s="2010"/>
      <c r="CA606" s="2010"/>
      <c r="CB606" s="2010"/>
      <c r="CC606" s="2010"/>
      <c r="CD606" s="2010"/>
      <c r="CE606" s="2010"/>
      <c r="CF606" s="2010"/>
      <c r="CG606" s="2010"/>
      <c r="CH606" s="2010"/>
      <c r="CI606" s="2010"/>
      <c r="CJ606" s="2010"/>
      <c r="CK606" s="2010"/>
      <c r="CL606" s="2010"/>
      <c r="CM606" s="2010"/>
      <c r="CN606" s="2010"/>
      <c r="CO606" s="2010"/>
      <c r="CP606" s="2010"/>
      <c r="CQ606" s="2010"/>
      <c r="CR606" s="2010"/>
      <c r="CS606" s="2010"/>
      <c r="CT606" s="2010"/>
      <c r="CU606" s="2010"/>
      <c r="CV606" s="2010"/>
      <c r="CW606" s="2010"/>
      <c r="CX606" s="2010"/>
      <c r="CY606" s="2010"/>
      <c r="CZ606" s="2010"/>
      <c r="DA606" s="2010"/>
      <c r="DB606" s="2010"/>
      <c r="DC606" s="2010"/>
      <c r="DD606" s="2010"/>
      <c r="DE606" s="2010"/>
    </row>
    <row r="607" spans="1:109" s="2014" customFormat="1" x14ac:dyDescent="0.2">
      <c r="A607" s="2013"/>
      <c r="B607" s="2013"/>
      <c r="C607" s="2013"/>
      <c r="D607" s="2013"/>
      <c r="AB607" s="2010"/>
      <c r="AU607" s="2010"/>
      <c r="AV607" s="2010"/>
      <c r="AW607" s="2010"/>
      <c r="AX607" s="2010"/>
      <c r="AY607" s="2010"/>
      <c r="AZ607" s="2010"/>
      <c r="BA607" s="2010"/>
      <c r="BB607" s="2010"/>
      <c r="BC607" s="2010"/>
      <c r="BD607" s="2010"/>
      <c r="BE607" s="2010"/>
      <c r="BF607" s="2010"/>
      <c r="BG607" s="2010"/>
      <c r="BH607" s="2010"/>
      <c r="BI607" s="2010"/>
      <c r="BJ607" s="2010"/>
      <c r="BK607" s="2010"/>
      <c r="BL607" s="2010"/>
      <c r="BM607" s="2010"/>
      <c r="BN607" s="2010"/>
      <c r="BO607" s="2010"/>
      <c r="BP607" s="2010"/>
      <c r="BQ607" s="2010"/>
      <c r="BR607" s="2010"/>
      <c r="BS607" s="2010"/>
      <c r="BT607" s="2010"/>
      <c r="BU607" s="2010"/>
      <c r="BV607" s="2010"/>
      <c r="BW607" s="2010"/>
      <c r="BX607" s="2010"/>
      <c r="BY607" s="2010"/>
      <c r="BZ607" s="2010"/>
      <c r="CA607" s="2010"/>
      <c r="CB607" s="2010"/>
      <c r="CC607" s="2010"/>
      <c r="CD607" s="2010"/>
      <c r="CE607" s="2010"/>
      <c r="CF607" s="2010"/>
      <c r="CG607" s="2010"/>
      <c r="CH607" s="2010"/>
      <c r="CI607" s="2010"/>
      <c r="CJ607" s="2010"/>
      <c r="CK607" s="2010"/>
      <c r="CL607" s="2010"/>
      <c r="CM607" s="2010"/>
      <c r="CN607" s="2010"/>
      <c r="CO607" s="2010"/>
      <c r="CP607" s="2010"/>
      <c r="CQ607" s="2010"/>
      <c r="CR607" s="2010"/>
      <c r="CS607" s="2010"/>
      <c r="CT607" s="2010"/>
      <c r="CU607" s="2010"/>
      <c r="CV607" s="2010"/>
      <c r="CW607" s="2010"/>
      <c r="CX607" s="2010"/>
      <c r="CY607" s="2010"/>
      <c r="CZ607" s="2010"/>
      <c r="DA607" s="2010"/>
      <c r="DB607" s="2010"/>
      <c r="DC607" s="2010"/>
      <c r="DD607" s="2010"/>
      <c r="DE607" s="2010"/>
    </row>
    <row r="608" spans="1:109" s="2014" customFormat="1" x14ac:dyDescent="0.2">
      <c r="A608" s="2013"/>
      <c r="B608" s="2013"/>
      <c r="C608" s="2013"/>
      <c r="D608" s="2013"/>
      <c r="AB608" s="2010"/>
      <c r="AU608" s="2010"/>
      <c r="AV608" s="2010"/>
      <c r="AW608" s="2010"/>
      <c r="AX608" s="2010"/>
      <c r="AY608" s="2010"/>
      <c r="AZ608" s="2010"/>
      <c r="BA608" s="2010"/>
      <c r="BB608" s="2010"/>
      <c r="BC608" s="2010"/>
      <c r="BD608" s="2010"/>
      <c r="BE608" s="2010"/>
      <c r="BF608" s="2010"/>
      <c r="BG608" s="2010"/>
      <c r="BH608" s="2010"/>
      <c r="BI608" s="2010"/>
      <c r="BJ608" s="2010"/>
      <c r="BK608" s="2010"/>
      <c r="BL608" s="2010"/>
      <c r="BM608" s="2010"/>
      <c r="BN608" s="2010"/>
      <c r="BO608" s="2010"/>
      <c r="BP608" s="2010"/>
      <c r="BQ608" s="2010"/>
      <c r="BR608" s="2010"/>
      <c r="BS608" s="2010"/>
      <c r="BT608" s="2010"/>
      <c r="BU608" s="2010"/>
      <c r="BV608" s="2010"/>
      <c r="BW608" s="2010"/>
      <c r="BX608" s="2010"/>
      <c r="BY608" s="2010"/>
      <c r="BZ608" s="2010"/>
      <c r="CA608" s="2010"/>
      <c r="CB608" s="2010"/>
      <c r="CC608" s="2010"/>
      <c r="CD608" s="2010"/>
      <c r="CE608" s="2010"/>
      <c r="CF608" s="2010"/>
      <c r="CG608" s="2010"/>
      <c r="CH608" s="2010"/>
      <c r="CI608" s="2010"/>
      <c r="CJ608" s="2010"/>
      <c r="CK608" s="2010"/>
      <c r="CL608" s="2010"/>
      <c r="CM608" s="2010"/>
      <c r="CN608" s="2010"/>
      <c r="CO608" s="2010"/>
      <c r="CP608" s="2010"/>
      <c r="CQ608" s="2010"/>
      <c r="CR608" s="2010"/>
      <c r="CS608" s="2010"/>
      <c r="CT608" s="2010"/>
      <c r="CU608" s="2010"/>
      <c r="CV608" s="2010"/>
      <c r="CW608" s="2010"/>
      <c r="CX608" s="2010"/>
      <c r="CY608" s="2010"/>
      <c r="CZ608" s="2010"/>
      <c r="DA608" s="2010"/>
      <c r="DB608" s="2010"/>
      <c r="DC608" s="2010"/>
      <c r="DD608" s="2010"/>
      <c r="DE608" s="2010"/>
    </row>
    <row r="609" spans="1:109" s="2014" customFormat="1" x14ac:dyDescent="0.2">
      <c r="A609" s="2013"/>
      <c r="B609" s="2013"/>
      <c r="C609" s="2013"/>
      <c r="D609" s="2013"/>
      <c r="AB609" s="2010"/>
      <c r="AU609" s="2010"/>
      <c r="AV609" s="2010"/>
      <c r="AW609" s="2010"/>
      <c r="AX609" s="2010"/>
      <c r="AY609" s="2010"/>
      <c r="AZ609" s="2010"/>
      <c r="BA609" s="2010"/>
      <c r="BB609" s="2010"/>
      <c r="BC609" s="2010"/>
      <c r="BD609" s="2010"/>
      <c r="BE609" s="2010"/>
      <c r="BF609" s="2010"/>
      <c r="BG609" s="2010"/>
      <c r="BH609" s="2010"/>
      <c r="BI609" s="2010"/>
      <c r="BJ609" s="2010"/>
      <c r="BK609" s="2010"/>
      <c r="BL609" s="2010"/>
      <c r="BM609" s="2010"/>
      <c r="BN609" s="2010"/>
      <c r="BO609" s="2010"/>
      <c r="BP609" s="2010"/>
      <c r="BQ609" s="2010"/>
      <c r="BR609" s="2010"/>
      <c r="BS609" s="2010"/>
      <c r="BT609" s="2010"/>
      <c r="BU609" s="2010"/>
      <c r="BV609" s="2010"/>
      <c r="BW609" s="2010"/>
      <c r="BX609" s="2010"/>
      <c r="BY609" s="2010"/>
      <c r="BZ609" s="2010"/>
      <c r="CA609" s="2010"/>
      <c r="CB609" s="2010"/>
      <c r="CC609" s="2010"/>
      <c r="CD609" s="2010"/>
      <c r="CE609" s="2010"/>
      <c r="CF609" s="2010"/>
      <c r="CG609" s="2010"/>
      <c r="CH609" s="2010"/>
      <c r="CI609" s="2010"/>
      <c r="CJ609" s="2010"/>
      <c r="CK609" s="2010"/>
      <c r="CL609" s="2010"/>
      <c r="CM609" s="2010"/>
      <c r="CN609" s="2010"/>
      <c r="CO609" s="2010"/>
      <c r="CP609" s="2010"/>
      <c r="CQ609" s="2010"/>
      <c r="CR609" s="2010"/>
      <c r="CS609" s="2010"/>
      <c r="CT609" s="2010"/>
      <c r="CU609" s="2010"/>
      <c r="CV609" s="2010"/>
      <c r="CW609" s="2010"/>
      <c r="CX609" s="2010"/>
      <c r="CY609" s="2010"/>
      <c r="CZ609" s="2010"/>
      <c r="DA609" s="2010"/>
      <c r="DB609" s="2010"/>
      <c r="DC609" s="2010"/>
      <c r="DD609" s="2010"/>
      <c r="DE609" s="2010"/>
    </row>
    <row r="610" spans="1:109" s="2014" customFormat="1" x14ac:dyDescent="0.2">
      <c r="A610" s="2013"/>
      <c r="B610" s="2013"/>
      <c r="C610" s="2013"/>
      <c r="D610" s="2013"/>
      <c r="AB610" s="2010"/>
      <c r="AU610" s="2010"/>
      <c r="AV610" s="2010"/>
      <c r="AW610" s="2010"/>
      <c r="AX610" s="2010"/>
      <c r="AY610" s="2010"/>
      <c r="AZ610" s="2010"/>
      <c r="BA610" s="2010"/>
      <c r="BB610" s="2010"/>
      <c r="BC610" s="2010"/>
      <c r="BD610" s="2010"/>
      <c r="BE610" s="2010"/>
      <c r="BF610" s="2010"/>
      <c r="BG610" s="2010"/>
      <c r="BH610" s="2010"/>
      <c r="BI610" s="2010"/>
      <c r="BJ610" s="2010"/>
      <c r="BK610" s="2010"/>
      <c r="BL610" s="2010"/>
      <c r="BM610" s="2010"/>
      <c r="BN610" s="2010"/>
      <c r="BO610" s="2010"/>
      <c r="BP610" s="2010"/>
      <c r="BQ610" s="2010"/>
      <c r="BR610" s="2010"/>
      <c r="BS610" s="2010"/>
      <c r="BT610" s="2010"/>
      <c r="BU610" s="2010"/>
      <c r="BV610" s="2010"/>
      <c r="BW610" s="2010"/>
      <c r="BX610" s="2010"/>
      <c r="BY610" s="2010"/>
      <c r="BZ610" s="2010"/>
      <c r="CA610" s="2010"/>
      <c r="CB610" s="2010"/>
      <c r="CC610" s="2010"/>
      <c r="CD610" s="2010"/>
      <c r="CE610" s="2010"/>
      <c r="CF610" s="2010"/>
      <c r="CG610" s="2010"/>
      <c r="CH610" s="2010"/>
      <c r="CI610" s="2010"/>
      <c r="CJ610" s="2010"/>
      <c r="CK610" s="2010"/>
      <c r="CL610" s="2010"/>
      <c r="CM610" s="2010"/>
      <c r="CN610" s="2010"/>
      <c r="CO610" s="2010"/>
      <c r="CP610" s="2010"/>
      <c r="CQ610" s="2010"/>
      <c r="CR610" s="2010"/>
      <c r="CS610" s="2010"/>
      <c r="CT610" s="2010"/>
      <c r="CU610" s="2010"/>
      <c r="CV610" s="2010"/>
      <c r="CW610" s="2010"/>
      <c r="CX610" s="2010"/>
      <c r="CY610" s="2010"/>
      <c r="CZ610" s="2010"/>
      <c r="DA610" s="2010"/>
      <c r="DB610" s="2010"/>
      <c r="DC610" s="2010"/>
      <c r="DD610" s="2010"/>
      <c r="DE610" s="2010"/>
    </row>
    <row r="611" spans="1:109" s="2014" customFormat="1" x14ac:dyDescent="0.2">
      <c r="A611" s="2013"/>
      <c r="B611" s="2013"/>
      <c r="C611" s="2013"/>
      <c r="D611" s="2013"/>
      <c r="AB611" s="2010"/>
      <c r="AU611" s="2010"/>
      <c r="AV611" s="2010"/>
      <c r="AW611" s="2010"/>
      <c r="AX611" s="2010"/>
      <c r="AY611" s="2010"/>
      <c r="AZ611" s="2010"/>
      <c r="BA611" s="2010"/>
      <c r="BB611" s="2010"/>
      <c r="BC611" s="2010"/>
      <c r="BD611" s="2010"/>
      <c r="BE611" s="2010"/>
      <c r="BF611" s="2010"/>
      <c r="BG611" s="2010"/>
      <c r="BH611" s="2010"/>
      <c r="BI611" s="2010"/>
      <c r="BJ611" s="2010"/>
      <c r="BK611" s="2010"/>
      <c r="BL611" s="2010"/>
      <c r="BM611" s="2010"/>
      <c r="BN611" s="2010"/>
      <c r="BO611" s="2010"/>
      <c r="BP611" s="2010"/>
      <c r="BQ611" s="2010"/>
      <c r="BR611" s="2010"/>
      <c r="BS611" s="2010"/>
      <c r="BT611" s="2010"/>
      <c r="BU611" s="2010"/>
      <c r="BV611" s="2010"/>
      <c r="BW611" s="2010"/>
      <c r="BX611" s="2010"/>
      <c r="BY611" s="2010"/>
      <c r="BZ611" s="2010"/>
      <c r="CA611" s="2010"/>
      <c r="CB611" s="2010"/>
      <c r="CC611" s="2010"/>
      <c r="CD611" s="2010"/>
      <c r="CE611" s="2010"/>
      <c r="CF611" s="2010"/>
      <c r="CG611" s="2010"/>
      <c r="CH611" s="2010"/>
      <c r="CI611" s="2010"/>
      <c r="CJ611" s="2010"/>
      <c r="CK611" s="2010"/>
      <c r="CL611" s="2010"/>
      <c r="CM611" s="2010"/>
      <c r="CN611" s="2010"/>
      <c r="CO611" s="2010"/>
      <c r="CP611" s="2010"/>
      <c r="CQ611" s="2010"/>
      <c r="CR611" s="2010"/>
      <c r="CS611" s="2010"/>
      <c r="CT611" s="2010"/>
      <c r="CU611" s="2010"/>
      <c r="CV611" s="2010"/>
      <c r="CW611" s="2010"/>
      <c r="CX611" s="2010"/>
      <c r="CY611" s="2010"/>
      <c r="CZ611" s="2010"/>
      <c r="DA611" s="2010"/>
      <c r="DB611" s="2010"/>
      <c r="DC611" s="2010"/>
      <c r="DD611" s="2010"/>
      <c r="DE611" s="2010"/>
    </row>
    <row r="612" spans="1:109" s="2014" customFormat="1" x14ac:dyDescent="0.2">
      <c r="A612" s="2013"/>
      <c r="B612" s="2013"/>
      <c r="C612" s="2013"/>
      <c r="D612" s="2013"/>
      <c r="AB612" s="2010"/>
      <c r="AU612" s="2010"/>
      <c r="AV612" s="2010"/>
      <c r="AW612" s="2010"/>
      <c r="AX612" s="2010"/>
      <c r="AY612" s="2010"/>
      <c r="AZ612" s="2010"/>
      <c r="BA612" s="2010"/>
      <c r="BB612" s="2010"/>
      <c r="BC612" s="2010"/>
      <c r="BD612" s="2010"/>
      <c r="BE612" s="2010"/>
      <c r="BF612" s="2010"/>
      <c r="BG612" s="2010"/>
      <c r="BH612" s="2010"/>
      <c r="BI612" s="2010"/>
      <c r="BJ612" s="2010"/>
      <c r="BK612" s="2010"/>
      <c r="BL612" s="2010"/>
      <c r="BM612" s="2010"/>
      <c r="BN612" s="2010"/>
      <c r="BO612" s="2010"/>
      <c r="BP612" s="2010"/>
      <c r="BQ612" s="2010"/>
      <c r="BR612" s="2010"/>
      <c r="BS612" s="2010"/>
      <c r="BT612" s="2010"/>
      <c r="BU612" s="2010"/>
      <c r="BV612" s="2010"/>
      <c r="BW612" s="2010"/>
      <c r="BX612" s="2010"/>
      <c r="BY612" s="2010"/>
      <c r="BZ612" s="2010"/>
      <c r="CA612" s="2010"/>
      <c r="CB612" s="2010"/>
      <c r="CC612" s="2010"/>
      <c r="CD612" s="2010"/>
      <c r="CE612" s="2010"/>
      <c r="CF612" s="2010"/>
      <c r="CG612" s="2010"/>
      <c r="CH612" s="2010"/>
      <c r="CI612" s="2010"/>
      <c r="CJ612" s="2010"/>
      <c r="CK612" s="2010"/>
      <c r="CL612" s="2010"/>
      <c r="CM612" s="2010"/>
      <c r="CN612" s="2010"/>
      <c r="CO612" s="2010"/>
      <c r="CP612" s="2010"/>
      <c r="CQ612" s="2010"/>
      <c r="CR612" s="2010"/>
      <c r="CS612" s="2010"/>
      <c r="CT612" s="2010"/>
      <c r="CU612" s="2010"/>
      <c r="CV612" s="2010"/>
      <c r="CW612" s="2010"/>
      <c r="CX612" s="2010"/>
      <c r="CY612" s="2010"/>
      <c r="CZ612" s="2010"/>
      <c r="DA612" s="2010"/>
      <c r="DB612" s="2010"/>
      <c r="DC612" s="2010"/>
      <c r="DD612" s="2010"/>
      <c r="DE612" s="2010"/>
    </row>
    <row r="613" spans="1:109" s="2014" customFormat="1" x14ac:dyDescent="0.2">
      <c r="A613" s="2013"/>
      <c r="B613" s="2013"/>
      <c r="C613" s="2013"/>
      <c r="D613" s="2013"/>
      <c r="AB613" s="2010"/>
      <c r="AU613" s="2010"/>
      <c r="AV613" s="2010"/>
      <c r="AW613" s="2010"/>
      <c r="AX613" s="2010"/>
      <c r="AY613" s="2010"/>
      <c r="AZ613" s="2010"/>
      <c r="BA613" s="2010"/>
      <c r="BB613" s="2010"/>
      <c r="BC613" s="2010"/>
      <c r="BD613" s="2010"/>
      <c r="BE613" s="2010"/>
      <c r="BF613" s="2010"/>
      <c r="BG613" s="2010"/>
      <c r="BH613" s="2010"/>
      <c r="BI613" s="2010"/>
      <c r="BJ613" s="2010"/>
      <c r="BK613" s="2010"/>
      <c r="BL613" s="2010"/>
      <c r="BM613" s="2010"/>
      <c r="BN613" s="2010"/>
      <c r="BO613" s="2010"/>
      <c r="BP613" s="2010"/>
      <c r="BQ613" s="2010"/>
      <c r="BR613" s="2010"/>
      <c r="BS613" s="2010"/>
      <c r="BT613" s="2010"/>
      <c r="BU613" s="2010"/>
      <c r="BV613" s="2010"/>
      <c r="BW613" s="2010"/>
      <c r="BX613" s="2010"/>
      <c r="BY613" s="2010"/>
      <c r="BZ613" s="2010"/>
      <c r="CA613" s="2010"/>
      <c r="CB613" s="2010"/>
      <c r="CC613" s="2010"/>
      <c r="CD613" s="2010"/>
      <c r="CE613" s="2010"/>
      <c r="CF613" s="2010"/>
      <c r="CG613" s="2010"/>
      <c r="CH613" s="2010"/>
      <c r="CI613" s="2010"/>
      <c r="CJ613" s="2010"/>
      <c r="CK613" s="2010"/>
      <c r="CL613" s="2010"/>
      <c r="CM613" s="2010"/>
      <c r="CN613" s="2010"/>
      <c r="CO613" s="2010"/>
      <c r="CP613" s="2010"/>
      <c r="CQ613" s="2010"/>
      <c r="CR613" s="2010"/>
      <c r="CS613" s="2010"/>
      <c r="CT613" s="2010"/>
      <c r="CU613" s="2010"/>
      <c r="CV613" s="2010"/>
      <c r="CW613" s="2010"/>
      <c r="CX613" s="2010"/>
      <c r="CY613" s="2010"/>
      <c r="CZ613" s="2010"/>
      <c r="DA613" s="2010"/>
      <c r="DB613" s="2010"/>
      <c r="DC613" s="2010"/>
      <c r="DD613" s="2010"/>
      <c r="DE613" s="2010"/>
    </row>
    <row r="614" spans="1:109" s="2014" customFormat="1" x14ac:dyDescent="0.2">
      <c r="A614" s="2013"/>
      <c r="B614" s="2013"/>
      <c r="C614" s="2013"/>
      <c r="D614" s="2013"/>
      <c r="AB614" s="2010"/>
      <c r="AU614" s="2010"/>
      <c r="AV614" s="2010"/>
      <c r="AW614" s="2010"/>
      <c r="AX614" s="2010"/>
      <c r="AY614" s="2010"/>
      <c r="AZ614" s="2010"/>
      <c r="BA614" s="2010"/>
      <c r="BB614" s="2010"/>
      <c r="BC614" s="2010"/>
      <c r="BD614" s="2010"/>
      <c r="BE614" s="2010"/>
      <c r="BF614" s="2010"/>
      <c r="BG614" s="2010"/>
      <c r="BH614" s="2010"/>
      <c r="BI614" s="2010"/>
      <c r="BJ614" s="2010"/>
      <c r="BK614" s="2010"/>
      <c r="BL614" s="2010"/>
      <c r="BM614" s="2010"/>
      <c r="BN614" s="2010"/>
      <c r="BO614" s="2010"/>
      <c r="BP614" s="2010"/>
      <c r="BQ614" s="2010"/>
      <c r="BR614" s="2010"/>
      <c r="BS614" s="2010"/>
      <c r="BT614" s="2010"/>
      <c r="BU614" s="2010"/>
      <c r="BV614" s="2010"/>
      <c r="BW614" s="2010"/>
      <c r="BX614" s="2010"/>
      <c r="BY614" s="2010"/>
      <c r="BZ614" s="2010"/>
      <c r="CA614" s="2010"/>
      <c r="CB614" s="2010"/>
      <c r="CC614" s="2010"/>
      <c r="CD614" s="2010"/>
      <c r="CE614" s="2010"/>
      <c r="CF614" s="2010"/>
      <c r="CG614" s="2010"/>
      <c r="CH614" s="2010"/>
      <c r="CI614" s="2010"/>
      <c r="CJ614" s="2010"/>
      <c r="CK614" s="2010"/>
      <c r="CL614" s="2010"/>
      <c r="CM614" s="2010"/>
      <c r="CN614" s="2010"/>
      <c r="CO614" s="2010"/>
      <c r="CP614" s="2010"/>
      <c r="CQ614" s="2010"/>
      <c r="CR614" s="2010"/>
      <c r="CS614" s="2010"/>
      <c r="CT614" s="2010"/>
      <c r="CU614" s="2010"/>
      <c r="CV614" s="2010"/>
      <c r="CW614" s="2010"/>
      <c r="CX614" s="2010"/>
      <c r="CY614" s="2010"/>
      <c r="CZ614" s="2010"/>
      <c r="DA614" s="2010"/>
      <c r="DB614" s="2010"/>
      <c r="DC614" s="2010"/>
      <c r="DD614" s="2010"/>
      <c r="DE614" s="2010"/>
    </row>
    <row r="615" spans="1:109" s="2014" customFormat="1" x14ac:dyDescent="0.2">
      <c r="A615" s="2013"/>
      <c r="B615" s="2013"/>
      <c r="C615" s="2013"/>
      <c r="D615" s="2013"/>
      <c r="AB615" s="2010"/>
      <c r="AU615" s="2010"/>
      <c r="AV615" s="2010"/>
      <c r="AW615" s="2010"/>
      <c r="AX615" s="2010"/>
      <c r="AY615" s="2010"/>
      <c r="AZ615" s="2010"/>
      <c r="BA615" s="2010"/>
      <c r="BB615" s="2010"/>
      <c r="BC615" s="2010"/>
      <c r="BD615" s="2010"/>
      <c r="BE615" s="2010"/>
      <c r="BF615" s="2010"/>
      <c r="BG615" s="2010"/>
      <c r="BH615" s="2010"/>
      <c r="BI615" s="2010"/>
      <c r="BJ615" s="2010"/>
      <c r="BK615" s="2010"/>
      <c r="BL615" s="2010"/>
      <c r="BM615" s="2010"/>
      <c r="BN615" s="2010"/>
      <c r="BO615" s="2010"/>
      <c r="BP615" s="2010"/>
      <c r="BQ615" s="2010"/>
      <c r="BR615" s="2010"/>
      <c r="BS615" s="2010"/>
      <c r="BT615" s="2010"/>
      <c r="BU615" s="2010"/>
      <c r="BV615" s="2010"/>
      <c r="BW615" s="2010"/>
      <c r="BX615" s="2010"/>
      <c r="BY615" s="2010"/>
      <c r="BZ615" s="2010"/>
      <c r="CA615" s="2010"/>
      <c r="CB615" s="2010"/>
      <c r="CC615" s="2010"/>
      <c r="CD615" s="2010"/>
      <c r="CE615" s="2010"/>
      <c r="CF615" s="2010"/>
      <c r="CG615" s="2010"/>
      <c r="CH615" s="2010"/>
      <c r="CI615" s="2010"/>
      <c r="CJ615" s="2010"/>
      <c r="CK615" s="2010"/>
      <c r="CL615" s="2010"/>
      <c r="CM615" s="2010"/>
      <c r="CN615" s="2010"/>
      <c r="CO615" s="2010"/>
      <c r="CP615" s="2010"/>
      <c r="CQ615" s="2010"/>
      <c r="CR615" s="2010"/>
      <c r="CS615" s="2010"/>
      <c r="CT615" s="2010"/>
      <c r="CU615" s="2010"/>
      <c r="CV615" s="2010"/>
      <c r="CW615" s="2010"/>
      <c r="CX615" s="2010"/>
      <c r="CY615" s="2010"/>
      <c r="CZ615" s="2010"/>
      <c r="DA615" s="2010"/>
      <c r="DB615" s="2010"/>
      <c r="DC615" s="2010"/>
      <c r="DD615" s="2010"/>
      <c r="DE615" s="2010"/>
    </row>
    <row r="616" spans="1:109" s="2014" customFormat="1" x14ac:dyDescent="0.2">
      <c r="A616" s="2013"/>
      <c r="B616" s="2013"/>
      <c r="C616" s="2013"/>
      <c r="D616" s="2013"/>
      <c r="AB616" s="2010"/>
      <c r="AU616" s="2010"/>
      <c r="AV616" s="2010"/>
      <c r="AW616" s="2010"/>
      <c r="AX616" s="2010"/>
      <c r="AY616" s="2010"/>
      <c r="AZ616" s="2010"/>
      <c r="BA616" s="2010"/>
      <c r="BB616" s="2010"/>
      <c r="BC616" s="2010"/>
      <c r="BD616" s="2010"/>
      <c r="BE616" s="2010"/>
      <c r="BF616" s="2010"/>
      <c r="BG616" s="2010"/>
      <c r="BH616" s="2010"/>
      <c r="BI616" s="2010"/>
      <c r="BJ616" s="2010"/>
      <c r="BK616" s="2010"/>
      <c r="BL616" s="2010"/>
      <c r="BM616" s="2010"/>
      <c r="BN616" s="2010"/>
      <c r="BO616" s="2010"/>
      <c r="BP616" s="2010"/>
      <c r="BQ616" s="2010"/>
      <c r="BR616" s="2010"/>
      <c r="BS616" s="2010"/>
      <c r="BT616" s="2010"/>
      <c r="BU616" s="2010"/>
      <c r="BV616" s="2010"/>
      <c r="BW616" s="2010"/>
      <c r="BX616" s="2010"/>
      <c r="BY616" s="2010"/>
      <c r="BZ616" s="2010"/>
      <c r="CA616" s="2010"/>
      <c r="CB616" s="2010"/>
      <c r="CC616" s="2010"/>
      <c r="CD616" s="2010"/>
      <c r="CE616" s="2010"/>
      <c r="CF616" s="2010"/>
      <c r="CG616" s="2010"/>
      <c r="CH616" s="2010"/>
      <c r="CI616" s="2010"/>
      <c r="CJ616" s="2010"/>
      <c r="CK616" s="2010"/>
      <c r="CL616" s="2010"/>
      <c r="CM616" s="2010"/>
      <c r="CN616" s="2010"/>
      <c r="CO616" s="2010"/>
      <c r="CP616" s="2010"/>
      <c r="CQ616" s="2010"/>
      <c r="CR616" s="2010"/>
      <c r="CS616" s="2010"/>
      <c r="CT616" s="2010"/>
      <c r="CU616" s="2010"/>
      <c r="CV616" s="2010"/>
      <c r="CW616" s="2010"/>
      <c r="CX616" s="2010"/>
      <c r="CY616" s="2010"/>
      <c r="CZ616" s="2010"/>
      <c r="DA616" s="2010"/>
      <c r="DB616" s="2010"/>
      <c r="DC616" s="2010"/>
      <c r="DD616" s="2010"/>
      <c r="DE616" s="2010"/>
    </row>
    <row r="617" spans="1:109" s="2014" customFormat="1" x14ac:dyDescent="0.2">
      <c r="A617" s="2013"/>
      <c r="B617" s="2013"/>
      <c r="C617" s="2013"/>
      <c r="D617" s="2013"/>
      <c r="AB617" s="2010"/>
      <c r="AU617" s="2010"/>
      <c r="AV617" s="2010"/>
      <c r="AW617" s="2010"/>
      <c r="AX617" s="2010"/>
      <c r="AY617" s="2010"/>
      <c r="AZ617" s="2010"/>
      <c r="BA617" s="2010"/>
      <c r="BB617" s="2010"/>
      <c r="BC617" s="2010"/>
      <c r="BD617" s="2010"/>
      <c r="BE617" s="2010"/>
      <c r="BF617" s="2010"/>
      <c r="BG617" s="2010"/>
      <c r="BH617" s="2010"/>
      <c r="BI617" s="2010"/>
      <c r="BJ617" s="2010"/>
      <c r="BK617" s="2010"/>
      <c r="BL617" s="2010"/>
      <c r="BM617" s="2010"/>
      <c r="BN617" s="2010"/>
      <c r="BO617" s="2010"/>
      <c r="BP617" s="2010"/>
      <c r="BQ617" s="2010"/>
      <c r="BR617" s="2010"/>
      <c r="BS617" s="2010"/>
      <c r="BT617" s="2010"/>
      <c r="BU617" s="2010"/>
      <c r="BV617" s="2010"/>
      <c r="BW617" s="2010"/>
      <c r="BX617" s="2010"/>
      <c r="BY617" s="2010"/>
      <c r="BZ617" s="2010"/>
      <c r="CA617" s="2010"/>
      <c r="CB617" s="2010"/>
      <c r="CC617" s="2010"/>
      <c r="CD617" s="2010"/>
      <c r="CE617" s="2010"/>
      <c r="CF617" s="2010"/>
      <c r="CG617" s="2010"/>
      <c r="CH617" s="2010"/>
      <c r="CI617" s="2010"/>
      <c r="CJ617" s="2010"/>
      <c r="CK617" s="2010"/>
      <c r="CL617" s="2010"/>
      <c r="CM617" s="2010"/>
      <c r="CN617" s="2010"/>
      <c r="CO617" s="2010"/>
      <c r="CP617" s="2010"/>
      <c r="CQ617" s="2010"/>
      <c r="CR617" s="2010"/>
      <c r="CS617" s="2010"/>
      <c r="CT617" s="2010"/>
      <c r="CU617" s="2010"/>
      <c r="CV617" s="2010"/>
      <c r="CW617" s="2010"/>
      <c r="CX617" s="2010"/>
      <c r="CY617" s="2010"/>
      <c r="CZ617" s="2010"/>
      <c r="DA617" s="2010"/>
      <c r="DB617" s="2010"/>
      <c r="DC617" s="2010"/>
      <c r="DD617" s="2010"/>
      <c r="DE617" s="2010"/>
    </row>
    <row r="618" spans="1:109" s="2014" customFormat="1" x14ac:dyDescent="0.2">
      <c r="A618" s="2013"/>
      <c r="B618" s="2013"/>
      <c r="C618" s="2013"/>
      <c r="D618" s="2013"/>
      <c r="AB618" s="2010"/>
      <c r="AU618" s="2010"/>
      <c r="AV618" s="2010"/>
      <c r="AW618" s="2010"/>
      <c r="AX618" s="2010"/>
      <c r="AY618" s="2010"/>
      <c r="AZ618" s="2010"/>
      <c r="BA618" s="2010"/>
      <c r="BB618" s="2010"/>
      <c r="BC618" s="2010"/>
      <c r="BD618" s="2010"/>
      <c r="BE618" s="2010"/>
      <c r="BF618" s="2010"/>
      <c r="BG618" s="2010"/>
      <c r="BH618" s="2010"/>
      <c r="BI618" s="2010"/>
      <c r="BJ618" s="2010"/>
      <c r="BK618" s="2010"/>
      <c r="BL618" s="2010"/>
      <c r="BM618" s="2010"/>
      <c r="BN618" s="2010"/>
      <c r="BO618" s="2010"/>
      <c r="BP618" s="2010"/>
      <c r="BQ618" s="2010"/>
      <c r="BR618" s="2010"/>
      <c r="BS618" s="2010"/>
      <c r="BT618" s="2010"/>
      <c r="BU618" s="2010"/>
      <c r="BV618" s="2010"/>
      <c r="BW618" s="2010"/>
      <c r="BX618" s="2010"/>
      <c r="BY618" s="2010"/>
      <c r="BZ618" s="2010"/>
      <c r="CA618" s="2010"/>
      <c r="CB618" s="2010"/>
      <c r="CC618" s="2010"/>
      <c r="CD618" s="2010"/>
      <c r="CE618" s="2010"/>
      <c r="CF618" s="2010"/>
      <c r="CG618" s="2010"/>
      <c r="CH618" s="2010"/>
      <c r="CI618" s="2010"/>
      <c r="CJ618" s="2010"/>
      <c r="CK618" s="2010"/>
      <c r="CL618" s="2010"/>
      <c r="CM618" s="2010"/>
      <c r="CN618" s="2010"/>
      <c r="CO618" s="2010"/>
      <c r="CP618" s="2010"/>
      <c r="CQ618" s="2010"/>
      <c r="CR618" s="2010"/>
      <c r="CS618" s="2010"/>
      <c r="CT618" s="2010"/>
      <c r="CU618" s="2010"/>
      <c r="CV618" s="2010"/>
      <c r="CW618" s="2010"/>
      <c r="CX618" s="2010"/>
      <c r="CY618" s="2010"/>
      <c r="CZ618" s="2010"/>
      <c r="DA618" s="2010"/>
      <c r="DB618" s="2010"/>
      <c r="DC618" s="2010"/>
      <c r="DD618" s="2010"/>
      <c r="DE618" s="2010"/>
    </row>
    <row r="619" spans="1:109" s="2014" customFormat="1" x14ac:dyDescent="0.2">
      <c r="A619" s="2013"/>
      <c r="B619" s="2013"/>
      <c r="C619" s="2013"/>
      <c r="D619" s="2013"/>
      <c r="AB619" s="2010"/>
      <c r="AU619" s="2010"/>
      <c r="AV619" s="2010"/>
      <c r="AW619" s="2010"/>
      <c r="AX619" s="2010"/>
      <c r="AY619" s="2010"/>
      <c r="AZ619" s="2010"/>
      <c r="BA619" s="2010"/>
      <c r="BB619" s="2010"/>
      <c r="BC619" s="2010"/>
      <c r="BD619" s="2010"/>
      <c r="BE619" s="2010"/>
      <c r="BF619" s="2010"/>
      <c r="BG619" s="2010"/>
      <c r="BH619" s="2010"/>
      <c r="BI619" s="2010"/>
      <c r="BJ619" s="2010"/>
      <c r="BK619" s="2010"/>
      <c r="BL619" s="2010"/>
      <c r="BM619" s="2010"/>
      <c r="BN619" s="2010"/>
      <c r="BO619" s="2010"/>
      <c r="BP619" s="2010"/>
      <c r="BQ619" s="2010"/>
      <c r="BR619" s="2010"/>
      <c r="BS619" s="2010"/>
      <c r="BT619" s="2010"/>
      <c r="BU619" s="2010"/>
      <c r="BV619" s="2010"/>
      <c r="BW619" s="2010"/>
      <c r="BX619" s="2010"/>
      <c r="BY619" s="2010"/>
      <c r="BZ619" s="2010"/>
      <c r="CA619" s="2010"/>
      <c r="CB619" s="2010"/>
      <c r="CC619" s="2010"/>
      <c r="CD619" s="2010"/>
      <c r="CE619" s="2010"/>
      <c r="CF619" s="2010"/>
      <c r="CG619" s="2010"/>
      <c r="CH619" s="2010"/>
      <c r="CI619" s="2010"/>
      <c r="CJ619" s="2010"/>
      <c r="CK619" s="2010"/>
      <c r="CL619" s="2010"/>
      <c r="CM619" s="2010"/>
      <c r="CN619" s="2010"/>
      <c r="CO619" s="2010"/>
      <c r="CP619" s="2010"/>
      <c r="CQ619" s="2010"/>
      <c r="CR619" s="2010"/>
      <c r="CS619" s="2010"/>
      <c r="CT619" s="2010"/>
      <c r="CU619" s="2010"/>
      <c r="CV619" s="2010"/>
      <c r="CW619" s="2010"/>
      <c r="CX619" s="2010"/>
      <c r="CY619" s="2010"/>
      <c r="CZ619" s="2010"/>
      <c r="DA619" s="2010"/>
      <c r="DB619" s="2010"/>
      <c r="DC619" s="2010"/>
      <c r="DD619" s="2010"/>
      <c r="DE619" s="2010"/>
    </row>
    <row r="620" spans="1:109" s="2014" customFormat="1" x14ac:dyDescent="0.2">
      <c r="A620" s="2013"/>
      <c r="B620" s="2013"/>
      <c r="C620" s="2013"/>
      <c r="D620" s="2013"/>
      <c r="AB620" s="2010"/>
      <c r="AU620" s="2010"/>
      <c r="AV620" s="2010"/>
      <c r="AW620" s="2010"/>
      <c r="AX620" s="2010"/>
      <c r="AY620" s="2010"/>
      <c r="AZ620" s="2010"/>
      <c r="BA620" s="2010"/>
      <c r="BB620" s="2010"/>
      <c r="BC620" s="2010"/>
      <c r="BD620" s="2010"/>
      <c r="BE620" s="2010"/>
      <c r="BF620" s="2010"/>
      <c r="BG620" s="2010"/>
      <c r="BH620" s="2010"/>
      <c r="BI620" s="2010"/>
      <c r="BJ620" s="2010"/>
      <c r="BK620" s="2010"/>
      <c r="BL620" s="2010"/>
      <c r="BM620" s="2010"/>
      <c r="BN620" s="2010"/>
      <c r="BO620" s="2010"/>
      <c r="BP620" s="2010"/>
      <c r="BQ620" s="2010"/>
      <c r="BR620" s="2010"/>
      <c r="BS620" s="2010"/>
      <c r="BT620" s="2010"/>
      <c r="BU620" s="2010"/>
      <c r="BV620" s="2010"/>
      <c r="BW620" s="2010"/>
      <c r="BX620" s="2010"/>
      <c r="BY620" s="2010"/>
      <c r="BZ620" s="2010"/>
      <c r="CA620" s="2010"/>
      <c r="CB620" s="2010"/>
      <c r="CC620" s="2010"/>
      <c r="CD620" s="2010"/>
      <c r="CE620" s="2010"/>
      <c r="CF620" s="2010"/>
      <c r="CG620" s="2010"/>
      <c r="CH620" s="2010"/>
      <c r="CI620" s="2010"/>
      <c r="CJ620" s="2010"/>
      <c r="CK620" s="2010"/>
      <c r="CL620" s="2010"/>
      <c r="CM620" s="2010"/>
      <c r="CN620" s="2010"/>
      <c r="CO620" s="2010"/>
      <c r="CP620" s="2010"/>
      <c r="CQ620" s="2010"/>
      <c r="CR620" s="2010"/>
      <c r="CS620" s="2010"/>
      <c r="CT620" s="2010"/>
      <c r="CU620" s="2010"/>
      <c r="CV620" s="2010"/>
      <c r="CW620" s="2010"/>
      <c r="CX620" s="2010"/>
      <c r="CY620" s="2010"/>
      <c r="CZ620" s="2010"/>
      <c r="DA620" s="2010"/>
      <c r="DB620" s="2010"/>
      <c r="DC620" s="2010"/>
      <c r="DD620" s="2010"/>
      <c r="DE620" s="2010"/>
    </row>
    <row r="621" spans="1:109" s="2014" customFormat="1" x14ac:dyDescent="0.2">
      <c r="A621" s="2013"/>
      <c r="B621" s="2013"/>
      <c r="C621" s="2013"/>
      <c r="D621" s="2013"/>
      <c r="AB621" s="2010"/>
      <c r="AU621" s="2010"/>
      <c r="AV621" s="2010"/>
      <c r="AW621" s="2010"/>
      <c r="AX621" s="2010"/>
      <c r="AY621" s="2010"/>
      <c r="AZ621" s="2010"/>
      <c r="BA621" s="2010"/>
      <c r="BB621" s="2010"/>
      <c r="BC621" s="2010"/>
      <c r="BD621" s="2010"/>
      <c r="BE621" s="2010"/>
      <c r="BF621" s="2010"/>
      <c r="BG621" s="2010"/>
      <c r="BH621" s="2010"/>
      <c r="BI621" s="2010"/>
      <c r="BJ621" s="2010"/>
      <c r="BK621" s="2010"/>
      <c r="BL621" s="2010"/>
      <c r="BM621" s="2010"/>
      <c r="BN621" s="2010"/>
      <c r="BO621" s="2010"/>
      <c r="BP621" s="2010"/>
      <c r="BQ621" s="2010"/>
      <c r="BR621" s="2010"/>
      <c r="BS621" s="2010"/>
      <c r="BT621" s="2010"/>
      <c r="BU621" s="2010"/>
      <c r="BV621" s="2010"/>
      <c r="BW621" s="2010"/>
      <c r="BX621" s="2010"/>
      <c r="BY621" s="2010"/>
      <c r="BZ621" s="2010"/>
      <c r="CA621" s="2010"/>
      <c r="CB621" s="2010"/>
      <c r="CC621" s="2010"/>
      <c r="CD621" s="2010"/>
      <c r="CE621" s="2010"/>
      <c r="CF621" s="2010"/>
      <c r="CG621" s="2010"/>
      <c r="CH621" s="2010"/>
      <c r="CI621" s="2010"/>
      <c r="CJ621" s="2010"/>
      <c r="CK621" s="2010"/>
      <c r="CL621" s="2010"/>
      <c r="CM621" s="2010"/>
      <c r="CN621" s="2010"/>
      <c r="CO621" s="2010"/>
      <c r="CP621" s="2010"/>
      <c r="CQ621" s="2010"/>
      <c r="CR621" s="2010"/>
      <c r="CS621" s="2010"/>
      <c r="CT621" s="2010"/>
      <c r="CU621" s="2010"/>
      <c r="CV621" s="2010"/>
      <c r="CW621" s="2010"/>
      <c r="CX621" s="2010"/>
      <c r="CY621" s="2010"/>
      <c r="CZ621" s="2010"/>
      <c r="DA621" s="2010"/>
      <c r="DB621" s="2010"/>
      <c r="DC621" s="2010"/>
      <c r="DD621" s="2010"/>
      <c r="DE621" s="2010"/>
    </row>
    <row r="622" spans="1:109" s="2014" customFormat="1" x14ac:dyDescent="0.2">
      <c r="A622" s="2013"/>
      <c r="B622" s="2013"/>
      <c r="C622" s="2013"/>
      <c r="D622" s="2013"/>
      <c r="AB622" s="2010"/>
      <c r="AU622" s="2010"/>
      <c r="AV622" s="2010"/>
      <c r="AW622" s="2010"/>
      <c r="AX622" s="2010"/>
      <c r="AY622" s="2010"/>
      <c r="AZ622" s="2010"/>
      <c r="BA622" s="2010"/>
      <c r="BB622" s="2010"/>
      <c r="BC622" s="2010"/>
      <c r="BD622" s="2010"/>
      <c r="BE622" s="2010"/>
      <c r="BF622" s="2010"/>
      <c r="BG622" s="2010"/>
      <c r="BH622" s="2010"/>
      <c r="BI622" s="2010"/>
      <c r="BJ622" s="2010"/>
      <c r="BK622" s="2010"/>
      <c r="BL622" s="2010"/>
      <c r="BM622" s="2010"/>
      <c r="BN622" s="2010"/>
      <c r="BO622" s="2010"/>
      <c r="BP622" s="2010"/>
      <c r="BQ622" s="2010"/>
      <c r="BR622" s="2010"/>
      <c r="BS622" s="2010"/>
      <c r="BT622" s="2010"/>
      <c r="BU622" s="2010"/>
      <c r="BV622" s="2010"/>
      <c r="BW622" s="2010"/>
      <c r="BX622" s="2010"/>
      <c r="BY622" s="2010"/>
      <c r="BZ622" s="2010"/>
      <c r="CA622" s="2010"/>
      <c r="CB622" s="2010"/>
      <c r="CC622" s="2010"/>
      <c r="CD622" s="2010"/>
      <c r="CE622" s="2010"/>
      <c r="CF622" s="2010"/>
      <c r="CG622" s="2010"/>
      <c r="CH622" s="2010"/>
      <c r="CI622" s="2010"/>
      <c r="CJ622" s="2010"/>
      <c r="CK622" s="2010"/>
      <c r="CL622" s="2010"/>
      <c r="CM622" s="2010"/>
      <c r="CN622" s="2010"/>
      <c r="CO622" s="2010"/>
      <c r="CP622" s="2010"/>
      <c r="CQ622" s="2010"/>
      <c r="CR622" s="2010"/>
      <c r="CS622" s="2010"/>
      <c r="CT622" s="2010"/>
      <c r="CU622" s="2010"/>
      <c r="CV622" s="2010"/>
      <c r="CW622" s="2010"/>
      <c r="CX622" s="2010"/>
      <c r="CY622" s="2010"/>
      <c r="CZ622" s="2010"/>
      <c r="DA622" s="2010"/>
      <c r="DB622" s="2010"/>
      <c r="DC622" s="2010"/>
      <c r="DD622" s="2010"/>
      <c r="DE622" s="2010"/>
    </row>
    <row r="623" spans="1:109" s="2014" customFormat="1" x14ac:dyDescent="0.2">
      <c r="A623" s="2013"/>
      <c r="B623" s="2013"/>
      <c r="C623" s="2013"/>
      <c r="D623" s="2013"/>
      <c r="AB623" s="2010"/>
      <c r="AU623" s="2010"/>
      <c r="AV623" s="2010"/>
      <c r="AW623" s="2010"/>
      <c r="AX623" s="2010"/>
      <c r="AY623" s="2010"/>
      <c r="AZ623" s="2010"/>
      <c r="BA623" s="2010"/>
      <c r="BB623" s="2010"/>
      <c r="BC623" s="2010"/>
      <c r="BD623" s="2010"/>
      <c r="BE623" s="2010"/>
      <c r="BF623" s="2010"/>
      <c r="BG623" s="2010"/>
      <c r="BH623" s="2010"/>
      <c r="BI623" s="2010"/>
      <c r="BJ623" s="2010"/>
      <c r="BK623" s="2010"/>
      <c r="BL623" s="2010"/>
      <c r="BM623" s="2010"/>
      <c r="BN623" s="2010"/>
      <c r="BO623" s="2010"/>
      <c r="BP623" s="2010"/>
      <c r="BQ623" s="2010"/>
      <c r="BR623" s="2010"/>
      <c r="BS623" s="2010"/>
      <c r="BT623" s="2010"/>
      <c r="BU623" s="2010"/>
      <c r="BV623" s="2010"/>
      <c r="BW623" s="2010"/>
      <c r="BX623" s="2010"/>
      <c r="BY623" s="2010"/>
      <c r="BZ623" s="2010"/>
      <c r="CA623" s="2010"/>
      <c r="CB623" s="2010"/>
      <c r="CC623" s="2010"/>
      <c r="CD623" s="2010"/>
      <c r="CE623" s="2010"/>
      <c r="CF623" s="2010"/>
      <c r="CG623" s="2010"/>
      <c r="CH623" s="2010"/>
      <c r="CI623" s="2010"/>
      <c r="CJ623" s="2010"/>
      <c r="CK623" s="2010"/>
      <c r="CL623" s="2010"/>
      <c r="CM623" s="2010"/>
      <c r="CN623" s="2010"/>
      <c r="CO623" s="2010"/>
      <c r="CP623" s="2010"/>
      <c r="CQ623" s="2010"/>
      <c r="CR623" s="2010"/>
      <c r="CS623" s="2010"/>
      <c r="CT623" s="2010"/>
      <c r="CU623" s="2010"/>
      <c r="CV623" s="2010"/>
      <c r="CW623" s="2010"/>
      <c r="CX623" s="2010"/>
      <c r="CY623" s="2010"/>
      <c r="CZ623" s="2010"/>
      <c r="DA623" s="2010"/>
      <c r="DB623" s="2010"/>
      <c r="DC623" s="2010"/>
      <c r="DD623" s="2010"/>
      <c r="DE623" s="2010"/>
    </row>
    <row r="624" spans="1:109" s="2014" customFormat="1" x14ac:dyDescent="0.2">
      <c r="A624" s="2013"/>
      <c r="B624" s="2013"/>
      <c r="C624" s="2013"/>
      <c r="D624" s="2013"/>
      <c r="AB624" s="2010"/>
      <c r="AU624" s="2010"/>
      <c r="AV624" s="2010"/>
      <c r="AW624" s="2010"/>
      <c r="AX624" s="2010"/>
      <c r="AY624" s="2010"/>
      <c r="AZ624" s="2010"/>
      <c r="BA624" s="2010"/>
      <c r="BB624" s="2010"/>
      <c r="BC624" s="2010"/>
      <c r="BD624" s="2010"/>
      <c r="BE624" s="2010"/>
      <c r="BF624" s="2010"/>
      <c r="BG624" s="2010"/>
      <c r="BH624" s="2010"/>
      <c r="BI624" s="2010"/>
      <c r="BJ624" s="2010"/>
      <c r="BK624" s="2010"/>
      <c r="BL624" s="2010"/>
      <c r="BM624" s="2010"/>
      <c r="BN624" s="2010"/>
      <c r="BO624" s="2010"/>
      <c r="BP624" s="2010"/>
      <c r="BQ624" s="2010"/>
      <c r="BR624" s="2010"/>
      <c r="BS624" s="2010"/>
      <c r="BT624" s="2010"/>
      <c r="BU624" s="2010"/>
      <c r="BV624" s="2010"/>
      <c r="BW624" s="2010"/>
      <c r="BX624" s="2010"/>
      <c r="BY624" s="2010"/>
      <c r="BZ624" s="2010"/>
      <c r="CA624" s="2010"/>
      <c r="CB624" s="2010"/>
      <c r="CC624" s="2010"/>
      <c r="CD624" s="2010"/>
      <c r="CE624" s="2010"/>
      <c r="CF624" s="2010"/>
      <c r="CG624" s="2010"/>
      <c r="CH624" s="2010"/>
      <c r="CI624" s="2010"/>
      <c r="CJ624" s="2010"/>
      <c r="CK624" s="2010"/>
      <c r="CL624" s="2010"/>
      <c r="CM624" s="2010"/>
      <c r="CN624" s="2010"/>
      <c r="CO624" s="2010"/>
      <c r="CP624" s="2010"/>
      <c r="CQ624" s="2010"/>
      <c r="CR624" s="2010"/>
      <c r="CS624" s="2010"/>
      <c r="CT624" s="2010"/>
      <c r="CU624" s="2010"/>
      <c r="CV624" s="2010"/>
      <c r="CW624" s="2010"/>
      <c r="CX624" s="2010"/>
      <c r="CY624" s="2010"/>
      <c r="CZ624" s="2010"/>
      <c r="DA624" s="2010"/>
      <c r="DB624" s="2010"/>
      <c r="DC624" s="2010"/>
      <c r="DD624" s="2010"/>
      <c r="DE624" s="2010"/>
    </row>
    <row r="625" spans="1:109" s="2014" customFormat="1" x14ac:dyDescent="0.2">
      <c r="A625" s="2013"/>
      <c r="B625" s="2013"/>
      <c r="C625" s="2013"/>
      <c r="D625" s="2013"/>
      <c r="AB625" s="2010"/>
      <c r="AU625" s="2010"/>
      <c r="AV625" s="2010"/>
      <c r="AW625" s="2010"/>
      <c r="AX625" s="2010"/>
      <c r="AY625" s="2010"/>
      <c r="AZ625" s="2010"/>
      <c r="BA625" s="2010"/>
      <c r="BB625" s="2010"/>
      <c r="BC625" s="2010"/>
      <c r="BD625" s="2010"/>
      <c r="BE625" s="2010"/>
      <c r="BF625" s="2010"/>
      <c r="BG625" s="2010"/>
      <c r="BH625" s="2010"/>
      <c r="BI625" s="2010"/>
      <c r="BJ625" s="2010"/>
      <c r="BK625" s="2010"/>
      <c r="BL625" s="2010"/>
      <c r="BM625" s="2010"/>
      <c r="BN625" s="2010"/>
      <c r="BO625" s="2010"/>
      <c r="BP625" s="2010"/>
      <c r="BQ625" s="2010"/>
      <c r="BR625" s="2010"/>
      <c r="BS625" s="2010"/>
      <c r="BT625" s="2010"/>
      <c r="BU625" s="2010"/>
      <c r="BV625" s="2010"/>
      <c r="BW625" s="2010"/>
      <c r="BX625" s="2010"/>
      <c r="BY625" s="2010"/>
      <c r="BZ625" s="2010"/>
      <c r="CA625" s="2010"/>
      <c r="CB625" s="2010"/>
      <c r="CC625" s="2010"/>
      <c r="CD625" s="2010"/>
      <c r="CE625" s="2010"/>
      <c r="CF625" s="2010"/>
      <c r="CG625" s="2010"/>
      <c r="CH625" s="2010"/>
      <c r="CI625" s="2010"/>
      <c r="CJ625" s="2010"/>
      <c r="CK625" s="2010"/>
      <c r="CL625" s="2010"/>
      <c r="CM625" s="2010"/>
      <c r="CN625" s="2010"/>
      <c r="CO625" s="2010"/>
      <c r="CP625" s="2010"/>
      <c r="CQ625" s="2010"/>
      <c r="CR625" s="2010"/>
      <c r="CS625" s="2010"/>
      <c r="CT625" s="2010"/>
      <c r="CU625" s="2010"/>
      <c r="CV625" s="2010"/>
      <c r="CW625" s="2010"/>
      <c r="CX625" s="2010"/>
      <c r="CY625" s="2010"/>
      <c r="CZ625" s="2010"/>
      <c r="DA625" s="2010"/>
      <c r="DB625" s="2010"/>
      <c r="DC625" s="2010"/>
      <c r="DD625" s="2010"/>
      <c r="DE625" s="2010"/>
    </row>
    <row r="626" spans="1:109" s="2014" customFormat="1" x14ac:dyDescent="0.2">
      <c r="A626" s="2013"/>
      <c r="B626" s="2013"/>
      <c r="C626" s="2013"/>
      <c r="D626" s="2013"/>
      <c r="AB626" s="2010"/>
      <c r="AU626" s="2010"/>
      <c r="AV626" s="2010"/>
      <c r="AW626" s="2010"/>
      <c r="AX626" s="2010"/>
      <c r="AY626" s="2010"/>
      <c r="AZ626" s="2010"/>
      <c r="BA626" s="2010"/>
      <c r="BB626" s="2010"/>
      <c r="BC626" s="2010"/>
      <c r="BD626" s="2010"/>
      <c r="BE626" s="2010"/>
      <c r="BF626" s="2010"/>
      <c r="BG626" s="2010"/>
      <c r="BH626" s="2010"/>
      <c r="BI626" s="2010"/>
      <c r="BJ626" s="2010"/>
      <c r="BK626" s="2010"/>
      <c r="BL626" s="2010"/>
      <c r="BM626" s="2010"/>
      <c r="BN626" s="2010"/>
      <c r="BO626" s="2010"/>
      <c r="BP626" s="2010"/>
      <c r="BQ626" s="2010"/>
      <c r="BR626" s="2010"/>
      <c r="BS626" s="2010"/>
      <c r="BT626" s="2010"/>
      <c r="BU626" s="2010"/>
      <c r="BV626" s="2010"/>
      <c r="BW626" s="2010"/>
      <c r="BX626" s="2010"/>
      <c r="BY626" s="2010"/>
      <c r="BZ626" s="2010"/>
      <c r="CA626" s="2010"/>
      <c r="CB626" s="2010"/>
      <c r="CC626" s="2010"/>
      <c r="CD626" s="2010"/>
      <c r="CE626" s="2010"/>
      <c r="CF626" s="2010"/>
      <c r="CG626" s="2010"/>
      <c r="CH626" s="2010"/>
      <c r="CI626" s="2010"/>
      <c r="CJ626" s="2010"/>
      <c r="CK626" s="2010"/>
      <c r="CL626" s="2010"/>
      <c r="CM626" s="2010"/>
      <c r="CN626" s="2010"/>
      <c r="CO626" s="2010"/>
      <c r="CP626" s="2010"/>
      <c r="CQ626" s="2010"/>
      <c r="CR626" s="2010"/>
      <c r="CS626" s="2010"/>
      <c r="CT626" s="2010"/>
      <c r="CU626" s="2010"/>
      <c r="CV626" s="2010"/>
      <c r="CW626" s="2010"/>
      <c r="CX626" s="2010"/>
      <c r="CY626" s="2010"/>
      <c r="CZ626" s="2010"/>
      <c r="DA626" s="2010"/>
      <c r="DB626" s="2010"/>
      <c r="DC626" s="2010"/>
      <c r="DD626" s="2010"/>
      <c r="DE626" s="2010"/>
    </row>
    <row r="627" spans="1:109" s="2014" customFormat="1" x14ac:dyDescent="0.2">
      <c r="A627" s="2013"/>
      <c r="B627" s="2013"/>
      <c r="C627" s="2013"/>
      <c r="D627" s="2013"/>
      <c r="AB627" s="2010"/>
      <c r="AU627" s="2010"/>
      <c r="AV627" s="2010"/>
      <c r="AW627" s="2010"/>
      <c r="AX627" s="2010"/>
      <c r="AY627" s="2010"/>
      <c r="AZ627" s="2010"/>
      <c r="BA627" s="2010"/>
      <c r="BB627" s="2010"/>
      <c r="BC627" s="2010"/>
      <c r="BD627" s="2010"/>
      <c r="BE627" s="2010"/>
      <c r="BF627" s="2010"/>
      <c r="BG627" s="2010"/>
      <c r="BH627" s="2010"/>
      <c r="BI627" s="2010"/>
      <c r="BJ627" s="2010"/>
      <c r="BK627" s="2010"/>
      <c r="BL627" s="2010"/>
      <c r="BM627" s="2010"/>
      <c r="BN627" s="2010"/>
      <c r="BO627" s="2010"/>
      <c r="BP627" s="2010"/>
      <c r="BQ627" s="2010"/>
      <c r="BR627" s="2010"/>
      <c r="BS627" s="2010"/>
      <c r="BT627" s="2010"/>
      <c r="BU627" s="2010"/>
      <c r="BV627" s="2010"/>
      <c r="BW627" s="2010"/>
      <c r="BX627" s="2010"/>
      <c r="BY627" s="2010"/>
      <c r="BZ627" s="2010"/>
      <c r="CA627" s="2010"/>
      <c r="CB627" s="2010"/>
      <c r="CC627" s="2010"/>
      <c r="CD627" s="2010"/>
      <c r="CE627" s="2010"/>
      <c r="CF627" s="2010"/>
      <c r="CG627" s="2010"/>
      <c r="CH627" s="2010"/>
      <c r="CI627" s="2010"/>
      <c r="CJ627" s="2010"/>
      <c r="CK627" s="2010"/>
      <c r="CL627" s="2010"/>
      <c r="CM627" s="2010"/>
      <c r="CN627" s="2010"/>
      <c r="CO627" s="2010"/>
      <c r="CP627" s="2010"/>
      <c r="CQ627" s="2010"/>
      <c r="CR627" s="2010"/>
      <c r="CS627" s="2010"/>
      <c r="CT627" s="2010"/>
      <c r="CU627" s="2010"/>
      <c r="CV627" s="2010"/>
      <c r="CW627" s="2010"/>
      <c r="CX627" s="2010"/>
      <c r="CY627" s="2010"/>
      <c r="CZ627" s="2010"/>
      <c r="DA627" s="2010"/>
      <c r="DB627" s="2010"/>
      <c r="DC627" s="2010"/>
      <c r="DD627" s="2010"/>
      <c r="DE627" s="2010"/>
    </row>
    <row r="628" spans="1:109" s="2014" customFormat="1" x14ac:dyDescent="0.2">
      <c r="A628" s="2013"/>
      <c r="B628" s="2013"/>
      <c r="C628" s="2013"/>
      <c r="D628" s="2013"/>
      <c r="AB628" s="2010"/>
      <c r="AU628" s="2010"/>
      <c r="AV628" s="2010"/>
      <c r="AW628" s="2010"/>
      <c r="AX628" s="2010"/>
      <c r="AY628" s="2010"/>
      <c r="AZ628" s="2010"/>
      <c r="BA628" s="2010"/>
      <c r="BB628" s="2010"/>
      <c r="BC628" s="2010"/>
      <c r="BD628" s="2010"/>
      <c r="BE628" s="2010"/>
      <c r="BF628" s="2010"/>
      <c r="BG628" s="2010"/>
      <c r="BH628" s="2010"/>
      <c r="BI628" s="2010"/>
      <c r="BJ628" s="2010"/>
      <c r="BK628" s="2010"/>
      <c r="BL628" s="2010"/>
      <c r="BM628" s="2010"/>
      <c r="BN628" s="2010"/>
      <c r="BO628" s="2010"/>
      <c r="BP628" s="2010"/>
      <c r="BQ628" s="2010"/>
      <c r="BR628" s="2010"/>
      <c r="BS628" s="2010"/>
      <c r="BT628" s="2010"/>
      <c r="BU628" s="2010"/>
      <c r="BV628" s="2010"/>
      <c r="BW628" s="2010"/>
      <c r="BX628" s="2010"/>
      <c r="BY628" s="2010"/>
      <c r="BZ628" s="2010"/>
      <c r="CA628" s="2010"/>
      <c r="CB628" s="2010"/>
      <c r="CC628" s="2010"/>
      <c r="CD628" s="2010"/>
      <c r="CE628" s="2010"/>
      <c r="CF628" s="2010"/>
      <c r="CG628" s="2010"/>
      <c r="CH628" s="2010"/>
      <c r="CI628" s="2010"/>
      <c r="CJ628" s="2010"/>
      <c r="CK628" s="2010"/>
      <c r="CL628" s="2010"/>
      <c r="CM628" s="2010"/>
      <c r="CN628" s="2010"/>
      <c r="CO628" s="2010"/>
      <c r="CP628" s="2010"/>
      <c r="CQ628" s="2010"/>
      <c r="CR628" s="2010"/>
      <c r="CS628" s="2010"/>
      <c r="CT628" s="2010"/>
      <c r="CU628" s="2010"/>
      <c r="CV628" s="2010"/>
      <c r="CW628" s="2010"/>
      <c r="CX628" s="2010"/>
      <c r="CY628" s="2010"/>
      <c r="CZ628" s="2010"/>
      <c r="DA628" s="2010"/>
      <c r="DB628" s="2010"/>
      <c r="DC628" s="2010"/>
      <c r="DD628" s="2010"/>
      <c r="DE628" s="2010"/>
    </row>
    <row r="629" spans="1:109" s="2014" customFormat="1" x14ac:dyDescent="0.2">
      <c r="A629" s="2013"/>
      <c r="B629" s="2013"/>
      <c r="C629" s="2013"/>
      <c r="D629" s="2013"/>
      <c r="AB629" s="2010"/>
      <c r="AU629" s="2010"/>
      <c r="AV629" s="2010"/>
      <c r="AW629" s="2010"/>
      <c r="AX629" s="2010"/>
      <c r="AY629" s="2010"/>
      <c r="AZ629" s="2010"/>
      <c r="BA629" s="2010"/>
      <c r="BB629" s="2010"/>
      <c r="BC629" s="2010"/>
      <c r="BD629" s="2010"/>
      <c r="BE629" s="2010"/>
      <c r="BF629" s="2010"/>
      <c r="BG629" s="2010"/>
      <c r="BH629" s="2010"/>
      <c r="BI629" s="2010"/>
      <c r="BJ629" s="2010"/>
      <c r="BK629" s="2010"/>
      <c r="BL629" s="2010"/>
      <c r="BM629" s="2010"/>
      <c r="BN629" s="2010"/>
      <c r="BO629" s="2010"/>
      <c r="BP629" s="2010"/>
      <c r="BQ629" s="2010"/>
      <c r="BR629" s="2010"/>
      <c r="BS629" s="2010"/>
      <c r="BT629" s="2010"/>
      <c r="BU629" s="2010"/>
      <c r="BV629" s="2010"/>
      <c r="BW629" s="2010"/>
      <c r="BX629" s="2010"/>
      <c r="BY629" s="2010"/>
      <c r="BZ629" s="2010"/>
      <c r="CA629" s="2010"/>
      <c r="CB629" s="2010"/>
      <c r="CC629" s="2010"/>
      <c r="CD629" s="2010"/>
      <c r="CE629" s="2010"/>
      <c r="CF629" s="2010"/>
      <c r="CG629" s="2010"/>
      <c r="CH629" s="2010"/>
      <c r="CI629" s="2010"/>
      <c r="CJ629" s="2010"/>
      <c r="CK629" s="2010"/>
      <c r="CL629" s="2010"/>
      <c r="CM629" s="2010"/>
      <c r="CN629" s="2010"/>
      <c r="CO629" s="2010"/>
      <c r="CP629" s="2010"/>
      <c r="CQ629" s="2010"/>
      <c r="CR629" s="2010"/>
      <c r="CS629" s="2010"/>
      <c r="CT629" s="2010"/>
      <c r="CU629" s="2010"/>
      <c r="CV629" s="2010"/>
      <c r="CW629" s="2010"/>
      <c r="CX629" s="2010"/>
      <c r="CY629" s="2010"/>
      <c r="CZ629" s="2010"/>
      <c r="DA629" s="2010"/>
      <c r="DB629" s="2010"/>
      <c r="DC629" s="2010"/>
      <c r="DD629" s="2010"/>
      <c r="DE629" s="2010"/>
    </row>
    <row r="630" spans="1:109" s="2014" customFormat="1" x14ac:dyDescent="0.2">
      <c r="A630" s="2013"/>
      <c r="B630" s="2013"/>
      <c r="C630" s="2013"/>
      <c r="D630" s="2013"/>
      <c r="AB630" s="2010"/>
      <c r="AU630" s="2010"/>
      <c r="AV630" s="2010"/>
      <c r="AW630" s="2010"/>
      <c r="AX630" s="2010"/>
      <c r="AY630" s="2010"/>
      <c r="AZ630" s="2010"/>
      <c r="BA630" s="2010"/>
      <c r="BB630" s="2010"/>
      <c r="BC630" s="2010"/>
      <c r="BD630" s="2010"/>
      <c r="BE630" s="2010"/>
      <c r="BF630" s="2010"/>
      <c r="BG630" s="2010"/>
      <c r="BH630" s="2010"/>
      <c r="BI630" s="2010"/>
      <c r="BJ630" s="2010"/>
      <c r="BK630" s="2010"/>
      <c r="BL630" s="2010"/>
      <c r="BM630" s="2010"/>
      <c r="BN630" s="2010"/>
      <c r="BO630" s="2010"/>
      <c r="BP630" s="2010"/>
      <c r="BQ630" s="2010"/>
      <c r="BR630" s="2010"/>
      <c r="BS630" s="2010"/>
      <c r="BT630" s="2010"/>
      <c r="BU630" s="2010"/>
      <c r="BV630" s="2010"/>
      <c r="BW630" s="2010"/>
      <c r="BX630" s="2010"/>
      <c r="BY630" s="2010"/>
      <c r="BZ630" s="2010"/>
      <c r="CA630" s="2010"/>
      <c r="CB630" s="2010"/>
      <c r="CC630" s="2010"/>
      <c r="CD630" s="2010"/>
      <c r="CE630" s="2010"/>
      <c r="CF630" s="2010"/>
      <c r="CG630" s="2010"/>
      <c r="CH630" s="2010"/>
      <c r="CI630" s="2010"/>
      <c r="CJ630" s="2010"/>
      <c r="CK630" s="2010"/>
      <c r="CL630" s="2010"/>
      <c r="CM630" s="2010"/>
      <c r="CN630" s="2010"/>
      <c r="CO630" s="2010"/>
      <c r="CP630" s="2010"/>
      <c r="CQ630" s="2010"/>
      <c r="CR630" s="2010"/>
      <c r="CS630" s="2010"/>
      <c r="CT630" s="2010"/>
      <c r="CU630" s="2010"/>
      <c r="CV630" s="2010"/>
      <c r="CW630" s="2010"/>
      <c r="CX630" s="2010"/>
      <c r="CY630" s="2010"/>
      <c r="CZ630" s="2010"/>
      <c r="DA630" s="2010"/>
      <c r="DB630" s="2010"/>
      <c r="DC630" s="2010"/>
      <c r="DD630" s="2010"/>
      <c r="DE630" s="2010"/>
    </row>
    <row r="631" spans="1:109" s="2014" customFormat="1" x14ac:dyDescent="0.2">
      <c r="A631" s="2013"/>
      <c r="B631" s="2013"/>
      <c r="C631" s="2013"/>
      <c r="D631" s="2013"/>
      <c r="AB631" s="2010"/>
      <c r="AU631" s="2010"/>
      <c r="AV631" s="2010"/>
      <c r="AW631" s="2010"/>
      <c r="AX631" s="2010"/>
      <c r="AY631" s="2010"/>
      <c r="AZ631" s="2010"/>
      <c r="BA631" s="2010"/>
      <c r="BB631" s="2010"/>
      <c r="BC631" s="2010"/>
      <c r="BD631" s="2010"/>
      <c r="BE631" s="2010"/>
      <c r="BF631" s="2010"/>
      <c r="BG631" s="2010"/>
      <c r="BH631" s="2010"/>
      <c r="BI631" s="2010"/>
      <c r="BJ631" s="2010"/>
      <c r="BK631" s="2010"/>
      <c r="BL631" s="2010"/>
      <c r="BM631" s="2010"/>
      <c r="BN631" s="2010"/>
      <c r="BO631" s="2010"/>
      <c r="BP631" s="2010"/>
      <c r="BQ631" s="2010"/>
      <c r="BR631" s="2010"/>
      <c r="BS631" s="2010"/>
      <c r="BT631" s="2010"/>
      <c r="BU631" s="2010"/>
      <c r="BV631" s="2010"/>
      <c r="BW631" s="2010"/>
      <c r="BX631" s="2010"/>
      <c r="BY631" s="2010"/>
      <c r="BZ631" s="2010"/>
      <c r="CA631" s="2010"/>
      <c r="CB631" s="2010"/>
      <c r="CC631" s="2010"/>
      <c r="CD631" s="2010"/>
      <c r="CE631" s="2010"/>
      <c r="CF631" s="2010"/>
      <c r="CG631" s="2010"/>
      <c r="CH631" s="2010"/>
      <c r="CI631" s="2010"/>
      <c r="CJ631" s="2010"/>
      <c r="CK631" s="2010"/>
      <c r="CL631" s="2010"/>
      <c r="CM631" s="2010"/>
      <c r="CN631" s="2010"/>
      <c r="CO631" s="2010"/>
      <c r="CP631" s="2010"/>
      <c r="CQ631" s="2010"/>
      <c r="CR631" s="2010"/>
      <c r="CS631" s="2010"/>
      <c r="CT631" s="2010"/>
      <c r="CU631" s="2010"/>
      <c r="CV631" s="2010"/>
      <c r="CW631" s="2010"/>
      <c r="CX631" s="2010"/>
      <c r="CY631" s="2010"/>
      <c r="CZ631" s="2010"/>
      <c r="DA631" s="2010"/>
      <c r="DB631" s="2010"/>
      <c r="DC631" s="2010"/>
      <c r="DD631" s="2010"/>
      <c r="DE631" s="2010"/>
    </row>
    <row r="632" spans="1:109" s="2014" customFormat="1" x14ac:dyDescent="0.2">
      <c r="A632" s="2013"/>
      <c r="B632" s="2013"/>
      <c r="C632" s="2013"/>
      <c r="D632" s="2013"/>
      <c r="AB632" s="2010"/>
      <c r="AU632" s="2010"/>
      <c r="AV632" s="2010"/>
      <c r="AW632" s="2010"/>
      <c r="AX632" s="2010"/>
      <c r="AY632" s="2010"/>
      <c r="AZ632" s="2010"/>
      <c r="BA632" s="2010"/>
      <c r="BB632" s="2010"/>
      <c r="BC632" s="2010"/>
      <c r="BD632" s="2010"/>
      <c r="BE632" s="2010"/>
      <c r="BF632" s="2010"/>
      <c r="BG632" s="2010"/>
      <c r="BH632" s="2010"/>
      <c r="BI632" s="2010"/>
      <c r="BJ632" s="2010"/>
      <c r="BK632" s="2010"/>
      <c r="BL632" s="2010"/>
      <c r="BM632" s="2010"/>
      <c r="BN632" s="2010"/>
      <c r="BO632" s="2010"/>
      <c r="BP632" s="2010"/>
      <c r="BQ632" s="2010"/>
      <c r="BR632" s="2010"/>
      <c r="BS632" s="2010"/>
      <c r="BT632" s="2010"/>
      <c r="BU632" s="2010"/>
      <c r="BV632" s="2010"/>
      <c r="BW632" s="2010"/>
      <c r="BX632" s="2010"/>
      <c r="BY632" s="2010"/>
      <c r="BZ632" s="2010"/>
      <c r="CA632" s="2010"/>
      <c r="CB632" s="2010"/>
      <c r="CC632" s="2010"/>
      <c r="CD632" s="2010"/>
      <c r="CE632" s="2010"/>
      <c r="CF632" s="2010"/>
      <c r="CG632" s="2010"/>
      <c r="CH632" s="2010"/>
      <c r="CI632" s="2010"/>
      <c r="CJ632" s="2010"/>
      <c r="CK632" s="2010"/>
      <c r="CL632" s="2010"/>
      <c r="CM632" s="2010"/>
      <c r="CN632" s="2010"/>
      <c r="CO632" s="2010"/>
      <c r="CP632" s="2010"/>
      <c r="CQ632" s="2010"/>
      <c r="CR632" s="2010"/>
      <c r="CS632" s="2010"/>
      <c r="CT632" s="2010"/>
      <c r="CU632" s="2010"/>
      <c r="CV632" s="2010"/>
      <c r="CW632" s="2010"/>
      <c r="CX632" s="2010"/>
      <c r="CY632" s="2010"/>
      <c r="CZ632" s="2010"/>
      <c r="DA632" s="2010"/>
      <c r="DB632" s="2010"/>
      <c r="DC632" s="2010"/>
      <c r="DD632" s="2010"/>
      <c r="DE632" s="2010"/>
    </row>
    <row r="633" spans="1:109" s="2014" customFormat="1" x14ac:dyDescent="0.2">
      <c r="A633" s="2013"/>
      <c r="B633" s="2013"/>
      <c r="C633" s="2013"/>
      <c r="D633" s="2013"/>
      <c r="AB633" s="2010"/>
      <c r="AU633" s="2010"/>
      <c r="AV633" s="2010"/>
      <c r="AW633" s="2010"/>
      <c r="AX633" s="2010"/>
      <c r="AY633" s="2010"/>
      <c r="AZ633" s="2010"/>
      <c r="BA633" s="2010"/>
      <c r="BB633" s="2010"/>
      <c r="BC633" s="2010"/>
      <c r="BD633" s="2010"/>
      <c r="BE633" s="2010"/>
      <c r="BF633" s="2010"/>
      <c r="BG633" s="2010"/>
      <c r="BH633" s="2010"/>
      <c r="BI633" s="2010"/>
      <c r="BJ633" s="2010"/>
      <c r="BK633" s="2010"/>
      <c r="BL633" s="2010"/>
      <c r="BM633" s="2010"/>
      <c r="BN633" s="2010"/>
      <c r="BO633" s="2010"/>
      <c r="BP633" s="2010"/>
      <c r="BQ633" s="2010"/>
      <c r="BR633" s="2010"/>
      <c r="BS633" s="2010"/>
      <c r="BT633" s="2010"/>
      <c r="BU633" s="2010"/>
      <c r="BV633" s="2010"/>
      <c r="BW633" s="2010"/>
      <c r="BX633" s="2010"/>
      <c r="BY633" s="2010"/>
      <c r="BZ633" s="2010"/>
      <c r="CA633" s="2010"/>
      <c r="CB633" s="2010"/>
      <c r="CC633" s="2010"/>
      <c r="CD633" s="2010"/>
      <c r="CE633" s="2010"/>
      <c r="CF633" s="2010"/>
      <c r="CG633" s="2010"/>
      <c r="CH633" s="2010"/>
      <c r="CI633" s="2010"/>
      <c r="CJ633" s="2010"/>
      <c r="CK633" s="2010"/>
      <c r="CL633" s="2010"/>
      <c r="CM633" s="2010"/>
      <c r="CN633" s="2010"/>
      <c r="CO633" s="2010"/>
      <c r="CP633" s="2010"/>
      <c r="CQ633" s="2010"/>
      <c r="CR633" s="2010"/>
      <c r="CS633" s="2010"/>
      <c r="CT633" s="2010"/>
      <c r="CU633" s="2010"/>
      <c r="CV633" s="2010"/>
      <c r="CW633" s="2010"/>
      <c r="CX633" s="2010"/>
      <c r="CY633" s="2010"/>
      <c r="CZ633" s="2010"/>
      <c r="DA633" s="2010"/>
      <c r="DB633" s="2010"/>
      <c r="DC633" s="2010"/>
      <c r="DD633" s="2010"/>
      <c r="DE633" s="2010"/>
    </row>
    <row r="634" spans="1:109" s="2014" customFormat="1" x14ac:dyDescent="0.2">
      <c r="A634" s="2013"/>
      <c r="B634" s="2013"/>
      <c r="C634" s="2013"/>
      <c r="D634" s="2013"/>
      <c r="AB634" s="2010"/>
      <c r="AU634" s="2010"/>
      <c r="AV634" s="2010"/>
      <c r="AW634" s="2010"/>
      <c r="AX634" s="2010"/>
      <c r="AY634" s="2010"/>
      <c r="AZ634" s="2010"/>
      <c r="BA634" s="2010"/>
      <c r="BB634" s="2010"/>
      <c r="BC634" s="2010"/>
      <c r="BD634" s="2010"/>
      <c r="BE634" s="2010"/>
      <c r="BF634" s="2010"/>
      <c r="BG634" s="2010"/>
      <c r="BH634" s="2010"/>
      <c r="BI634" s="2010"/>
      <c r="BJ634" s="2010"/>
      <c r="BK634" s="2010"/>
      <c r="BL634" s="2010"/>
      <c r="BM634" s="2010"/>
      <c r="BN634" s="2010"/>
      <c r="BO634" s="2010"/>
      <c r="BP634" s="2010"/>
      <c r="BQ634" s="2010"/>
      <c r="BR634" s="2010"/>
      <c r="BS634" s="2010"/>
      <c r="BT634" s="2010"/>
      <c r="BU634" s="2010"/>
      <c r="BV634" s="2010"/>
      <c r="BW634" s="2010"/>
      <c r="BX634" s="2010"/>
      <c r="BY634" s="2010"/>
      <c r="BZ634" s="2010"/>
      <c r="CA634" s="2010"/>
      <c r="CB634" s="2010"/>
      <c r="CC634" s="2010"/>
      <c r="CD634" s="2010"/>
      <c r="CE634" s="2010"/>
      <c r="CF634" s="2010"/>
      <c r="CG634" s="2010"/>
      <c r="CH634" s="2010"/>
      <c r="CI634" s="2010"/>
      <c r="CJ634" s="2010"/>
      <c r="CK634" s="2010"/>
      <c r="CL634" s="2010"/>
      <c r="CM634" s="2010"/>
      <c r="CN634" s="2010"/>
      <c r="CO634" s="2010"/>
      <c r="CP634" s="2010"/>
      <c r="CQ634" s="2010"/>
      <c r="CR634" s="2010"/>
      <c r="CS634" s="2010"/>
      <c r="CT634" s="2010"/>
      <c r="CU634" s="2010"/>
      <c r="CV634" s="2010"/>
      <c r="CW634" s="2010"/>
      <c r="CX634" s="2010"/>
      <c r="CY634" s="2010"/>
      <c r="CZ634" s="2010"/>
      <c r="DA634" s="2010"/>
      <c r="DB634" s="2010"/>
      <c r="DC634" s="2010"/>
      <c r="DD634" s="2010"/>
      <c r="DE634" s="2010"/>
    </row>
    <row r="635" spans="1:109" s="2014" customFormat="1" x14ac:dyDescent="0.2">
      <c r="A635" s="2013"/>
      <c r="B635" s="2013"/>
      <c r="C635" s="2013"/>
      <c r="D635" s="2013"/>
      <c r="AB635" s="2010"/>
      <c r="AU635" s="2010"/>
      <c r="AV635" s="2010"/>
      <c r="AW635" s="2010"/>
      <c r="AX635" s="2010"/>
      <c r="AY635" s="2010"/>
      <c r="AZ635" s="2010"/>
      <c r="BA635" s="2010"/>
      <c r="BB635" s="2010"/>
      <c r="BC635" s="2010"/>
      <c r="BD635" s="2010"/>
      <c r="BE635" s="2010"/>
      <c r="BF635" s="2010"/>
      <c r="BG635" s="2010"/>
      <c r="BH635" s="2010"/>
      <c r="BI635" s="2010"/>
      <c r="BJ635" s="2010"/>
      <c r="BK635" s="2010"/>
      <c r="BL635" s="2010"/>
      <c r="BM635" s="2010"/>
      <c r="BN635" s="2010"/>
      <c r="BO635" s="2010"/>
      <c r="BP635" s="2010"/>
      <c r="BQ635" s="2010"/>
      <c r="BR635" s="2010"/>
      <c r="BS635" s="2010"/>
      <c r="BT635" s="2010"/>
      <c r="BU635" s="2010"/>
      <c r="BV635" s="2010"/>
      <c r="BW635" s="2010"/>
      <c r="BX635" s="2010"/>
      <c r="BY635" s="2010"/>
      <c r="BZ635" s="2010"/>
      <c r="CA635" s="2010"/>
      <c r="CB635" s="2010"/>
      <c r="CC635" s="2010"/>
      <c r="CD635" s="2010"/>
      <c r="CE635" s="2010"/>
      <c r="CF635" s="2010"/>
      <c r="CG635" s="2010"/>
      <c r="CH635" s="2010"/>
      <c r="CI635" s="2010"/>
      <c r="CJ635" s="2010"/>
      <c r="CK635" s="2010"/>
      <c r="CL635" s="2010"/>
      <c r="CM635" s="2010"/>
      <c r="CN635" s="2010"/>
      <c r="CO635" s="2010"/>
      <c r="CP635" s="2010"/>
      <c r="CQ635" s="2010"/>
      <c r="CR635" s="2010"/>
      <c r="CS635" s="2010"/>
      <c r="CT635" s="2010"/>
      <c r="CU635" s="2010"/>
      <c r="CV635" s="2010"/>
      <c r="CW635" s="2010"/>
      <c r="CX635" s="2010"/>
      <c r="CY635" s="2010"/>
      <c r="CZ635" s="2010"/>
      <c r="DA635" s="2010"/>
      <c r="DB635" s="2010"/>
      <c r="DC635" s="2010"/>
      <c r="DD635" s="2010"/>
      <c r="DE635" s="2010"/>
    </row>
    <row r="636" spans="1:109" s="2014" customFormat="1" x14ac:dyDescent="0.2">
      <c r="A636" s="2013"/>
      <c r="B636" s="2013"/>
      <c r="C636" s="2013"/>
      <c r="D636" s="2013"/>
      <c r="AB636" s="2010"/>
      <c r="AU636" s="2010"/>
      <c r="AV636" s="2010"/>
      <c r="AW636" s="2010"/>
      <c r="AX636" s="2010"/>
      <c r="AY636" s="2010"/>
      <c r="AZ636" s="2010"/>
      <c r="BA636" s="2010"/>
      <c r="BB636" s="2010"/>
      <c r="BC636" s="2010"/>
      <c r="BD636" s="2010"/>
      <c r="BE636" s="2010"/>
      <c r="BF636" s="2010"/>
      <c r="BG636" s="2010"/>
      <c r="BH636" s="2010"/>
      <c r="BI636" s="2010"/>
      <c r="BJ636" s="2010"/>
      <c r="BK636" s="2010"/>
      <c r="BL636" s="2010"/>
      <c r="BM636" s="2010"/>
      <c r="BN636" s="2010"/>
      <c r="BO636" s="2010"/>
      <c r="BP636" s="2010"/>
      <c r="BQ636" s="2010"/>
      <c r="BR636" s="2010"/>
      <c r="BS636" s="2010"/>
      <c r="BT636" s="2010"/>
      <c r="BU636" s="2010"/>
      <c r="BV636" s="2010"/>
      <c r="BW636" s="2010"/>
      <c r="BX636" s="2010"/>
      <c r="BY636" s="2010"/>
      <c r="BZ636" s="2010"/>
      <c r="CA636" s="2010"/>
      <c r="CB636" s="2010"/>
      <c r="CC636" s="2010"/>
      <c r="CD636" s="2010"/>
      <c r="CE636" s="2010"/>
      <c r="CF636" s="2010"/>
      <c r="CG636" s="2010"/>
      <c r="CH636" s="2010"/>
      <c r="CI636" s="2010"/>
      <c r="CJ636" s="2010"/>
      <c r="CK636" s="2010"/>
      <c r="CL636" s="2010"/>
      <c r="CM636" s="2010"/>
      <c r="CN636" s="2010"/>
      <c r="CO636" s="2010"/>
      <c r="CP636" s="2010"/>
      <c r="CQ636" s="2010"/>
      <c r="CR636" s="2010"/>
      <c r="CS636" s="2010"/>
      <c r="CT636" s="2010"/>
      <c r="CU636" s="2010"/>
      <c r="CV636" s="2010"/>
      <c r="CW636" s="2010"/>
      <c r="CX636" s="2010"/>
      <c r="CY636" s="2010"/>
      <c r="CZ636" s="2010"/>
      <c r="DA636" s="2010"/>
      <c r="DB636" s="2010"/>
      <c r="DC636" s="2010"/>
      <c r="DD636" s="2010"/>
      <c r="DE636" s="2010"/>
    </row>
    <row r="637" spans="1:109" s="2014" customFormat="1" x14ac:dyDescent="0.2">
      <c r="A637" s="2013"/>
      <c r="B637" s="2013"/>
      <c r="C637" s="2013"/>
      <c r="D637" s="2013"/>
      <c r="AB637" s="2010"/>
      <c r="AU637" s="2010"/>
      <c r="AV637" s="2010"/>
      <c r="AW637" s="2010"/>
      <c r="AX637" s="2010"/>
      <c r="AY637" s="2010"/>
      <c r="AZ637" s="2010"/>
      <c r="BA637" s="2010"/>
      <c r="BB637" s="2010"/>
      <c r="BC637" s="2010"/>
      <c r="BD637" s="2010"/>
      <c r="BE637" s="2010"/>
      <c r="BF637" s="2010"/>
      <c r="BG637" s="2010"/>
      <c r="BH637" s="2010"/>
      <c r="BI637" s="2010"/>
      <c r="BJ637" s="2010"/>
      <c r="BK637" s="2010"/>
      <c r="BL637" s="2010"/>
      <c r="BM637" s="2010"/>
      <c r="BN637" s="2010"/>
      <c r="BO637" s="2010"/>
      <c r="BP637" s="2010"/>
      <c r="BQ637" s="2010"/>
      <c r="BR637" s="2010"/>
      <c r="BS637" s="2010"/>
      <c r="BT637" s="2010"/>
      <c r="BU637" s="2010"/>
      <c r="BV637" s="2010"/>
      <c r="BW637" s="2010"/>
      <c r="BX637" s="2010"/>
      <c r="BY637" s="2010"/>
      <c r="BZ637" s="2010"/>
      <c r="CA637" s="2010"/>
      <c r="CB637" s="2010"/>
      <c r="CC637" s="2010"/>
      <c r="CD637" s="2010"/>
      <c r="CE637" s="2010"/>
      <c r="CF637" s="2010"/>
      <c r="CG637" s="2010"/>
      <c r="CH637" s="2010"/>
      <c r="CI637" s="2010"/>
      <c r="CJ637" s="2010"/>
      <c r="CK637" s="2010"/>
      <c r="CL637" s="2010"/>
      <c r="CM637" s="2010"/>
      <c r="CN637" s="2010"/>
      <c r="CO637" s="2010"/>
      <c r="CP637" s="2010"/>
      <c r="CQ637" s="2010"/>
      <c r="CR637" s="2010"/>
      <c r="CS637" s="2010"/>
      <c r="CT637" s="2010"/>
      <c r="CU637" s="2010"/>
      <c r="CV637" s="2010"/>
      <c r="CW637" s="2010"/>
      <c r="CX637" s="2010"/>
      <c r="CY637" s="2010"/>
      <c r="CZ637" s="2010"/>
      <c r="DA637" s="2010"/>
      <c r="DB637" s="2010"/>
      <c r="DC637" s="2010"/>
      <c r="DD637" s="2010"/>
      <c r="DE637" s="2010"/>
    </row>
    <row r="638" spans="1:109" s="2014" customFormat="1" x14ac:dyDescent="0.2">
      <c r="A638" s="2013"/>
      <c r="B638" s="2013"/>
      <c r="C638" s="2013"/>
      <c r="D638" s="2013"/>
      <c r="AB638" s="2010"/>
      <c r="AU638" s="2010"/>
      <c r="AV638" s="2010"/>
      <c r="AW638" s="2010"/>
      <c r="AX638" s="2010"/>
      <c r="AY638" s="2010"/>
      <c r="AZ638" s="2010"/>
      <c r="BA638" s="2010"/>
      <c r="BB638" s="2010"/>
      <c r="BC638" s="2010"/>
      <c r="BD638" s="2010"/>
      <c r="BE638" s="2010"/>
      <c r="BF638" s="2010"/>
      <c r="BG638" s="2010"/>
      <c r="BH638" s="2010"/>
      <c r="BI638" s="2010"/>
      <c r="BJ638" s="2010"/>
      <c r="BK638" s="2010"/>
      <c r="BL638" s="2010"/>
      <c r="BM638" s="2010"/>
      <c r="BN638" s="2010"/>
      <c r="BO638" s="2010"/>
      <c r="BP638" s="2010"/>
      <c r="BQ638" s="2010"/>
      <c r="BR638" s="2010"/>
      <c r="BS638" s="2010"/>
      <c r="BT638" s="2010"/>
      <c r="BU638" s="2010"/>
      <c r="BV638" s="2010"/>
      <c r="BW638" s="2010"/>
      <c r="BX638" s="2010"/>
      <c r="BY638" s="2010"/>
      <c r="BZ638" s="2010"/>
      <c r="CA638" s="2010"/>
      <c r="CB638" s="2010"/>
      <c r="CC638" s="2010"/>
      <c r="CD638" s="2010"/>
      <c r="CE638" s="2010"/>
      <c r="CF638" s="2010"/>
      <c r="CG638" s="2010"/>
      <c r="CH638" s="2010"/>
      <c r="CI638" s="2010"/>
      <c r="CJ638" s="2010"/>
      <c r="CK638" s="2010"/>
      <c r="CL638" s="2010"/>
      <c r="CM638" s="2010"/>
      <c r="CN638" s="2010"/>
      <c r="CO638" s="2010"/>
      <c r="CP638" s="2010"/>
      <c r="CQ638" s="2010"/>
      <c r="CR638" s="2010"/>
      <c r="CS638" s="2010"/>
      <c r="CT638" s="2010"/>
      <c r="CU638" s="2010"/>
      <c r="CV638" s="2010"/>
      <c r="CW638" s="2010"/>
      <c r="CX638" s="2010"/>
      <c r="CY638" s="2010"/>
      <c r="CZ638" s="2010"/>
      <c r="DA638" s="2010"/>
      <c r="DB638" s="2010"/>
      <c r="DC638" s="2010"/>
      <c r="DD638" s="2010"/>
      <c r="DE638" s="2010"/>
    </row>
    <row r="639" spans="1:109" s="2014" customFormat="1" x14ac:dyDescent="0.2">
      <c r="A639" s="2013"/>
      <c r="B639" s="2013"/>
      <c r="C639" s="2013"/>
      <c r="D639" s="2013"/>
      <c r="AB639" s="2010"/>
      <c r="AU639" s="2010"/>
      <c r="AV639" s="2010"/>
      <c r="AW639" s="2010"/>
      <c r="AX639" s="2010"/>
      <c r="AY639" s="2010"/>
      <c r="AZ639" s="2010"/>
      <c r="BA639" s="2010"/>
      <c r="BB639" s="2010"/>
      <c r="BC639" s="2010"/>
      <c r="BD639" s="2010"/>
      <c r="BE639" s="2010"/>
      <c r="BF639" s="2010"/>
      <c r="BG639" s="2010"/>
      <c r="BH639" s="2010"/>
      <c r="BI639" s="2010"/>
      <c r="BJ639" s="2010"/>
      <c r="BK639" s="2010"/>
      <c r="BL639" s="2010"/>
      <c r="BM639" s="2010"/>
      <c r="BN639" s="2010"/>
      <c r="BO639" s="2010"/>
      <c r="BP639" s="2010"/>
      <c r="BQ639" s="2010"/>
      <c r="BR639" s="2010"/>
      <c r="BS639" s="2010"/>
      <c r="BT639" s="2010"/>
      <c r="BU639" s="2010"/>
      <c r="BV639" s="2010"/>
      <c r="BW639" s="2010"/>
      <c r="BX639" s="2010"/>
      <c r="BY639" s="2010"/>
      <c r="BZ639" s="2010"/>
      <c r="CA639" s="2010"/>
      <c r="CB639" s="2010"/>
      <c r="CC639" s="2010"/>
      <c r="CD639" s="2010"/>
      <c r="CE639" s="2010"/>
      <c r="CF639" s="2010"/>
      <c r="CG639" s="2010"/>
      <c r="CH639" s="2010"/>
      <c r="CI639" s="2010"/>
      <c r="CJ639" s="2010"/>
      <c r="CK639" s="2010"/>
      <c r="CL639" s="2010"/>
      <c r="CM639" s="2010"/>
      <c r="CN639" s="2010"/>
      <c r="CO639" s="2010"/>
      <c r="CP639" s="2010"/>
      <c r="CQ639" s="2010"/>
      <c r="CR639" s="2010"/>
      <c r="CS639" s="2010"/>
      <c r="CT639" s="2010"/>
      <c r="CU639" s="2010"/>
      <c r="CV639" s="2010"/>
      <c r="CW639" s="2010"/>
      <c r="CX639" s="2010"/>
      <c r="CY639" s="2010"/>
      <c r="CZ639" s="2010"/>
      <c r="DA639" s="2010"/>
      <c r="DB639" s="2010"/>
      <c r="DC639" s="2010"/>
      <c r="DD639" s="2010"/>
      <c r="DE639" s="2010"/>
    </row>
    <row r="640" spans="1:109" s="2014" customFormat="1" x14ac:dyDescent="0.2">
      <c r="A640" s="2013"/>
      <c r="B640" s="2013"/>
      <c r="C640" s="2013"/>
      <c r="D640" s="2013"/>
      <c r="AB640" s="2010"/>
      <c r="AU640" s="2010"/>
      <c r="AV640" s="2010"/>
      <c r="AW640" s="2010"/>
      <c r="AX640" s="2010"/>
      <c r="AY640" s="2010"/>
      <c r="AZ640" s="2010"/>
      <c r="BA640" s="2010"/>
      <c r="BB640" s="2010"/>
      <c r="BC640" s="2010"/>
      <c r="BD640" s="2010"/>
      <c r="BE640" s="2010"/>
      <c r="BF640" s="2010"/>
      <c r="BG640" s="2010"/>
      <c r="BH640" s="2010"/>
      <c r="BI640" s="2010"/>
      <c r="BJ640" s="2010"/>
      <c r="BK640" s="2010"/>
      <c r="BL640" s="2010"/>
      <c r="BM640" s="2010"/>
      <c r="BN640" s="2010"/>
      <c r="BO640" s="2010"/>
      <c r="BP640" s="2010"/>
      <c r="BQ640" s="2010"/>
      <c r="BR640" s="2010"/>
      <c r="BS640" s="2010"/>
      <c r="BT640" s="2010"/>
      <c r="BU640" s="2010"/>
      <c r="BV640" s="2010"/>
      <c r="BW640" s="2010"/>
      <c r="BX640" s="2010"/>
      <c r="BY640" s="2010"/>
      <c r="BZ640" s="2010"/>
      <c r="CA640" s="2010"/>
      <c r="CB640" s="2010"/>
      <c r="CC640" s="2010"/>
      <c r="CD640" s="2010"/>
      <c r="CE640" s="2010"/>
      <c r="CF640" s="2010"/>
      <c r="CG640" s="2010"/>
      <c r="CH640" s="2010"/>
      <c r="CI640" s="2010"/>
      <c r="CJ640" s="2010"/>
      <c r="CK640" s="2010"/>
      <c r="CL640" s="2010"/>
      <c r="CM640" s="2010"/>
      <c r="CN640" s="2010"/>
      <c r="CO640" s="2010"/>
      <c r="CP640" s="2010"/>
      <c r="CQ640" s="2010"/>
      <c r="CR640" s="2010"/>
      <c r="CS640" s="2010"/>
      <c r="CT640" s="2010"/>
      <c r="CU640" s="2010"/>
      <c r="CV640" s="2010"/>
      <c r="CW640" s="2010"/>
      <c r="CX640" s="2010"/>
      <c r="CY640" s="2010"/>
      <c r="CZ640" s="2010"/>
      <c r="DA640" s="2010"/>
      <c r="DB640" s="2010"/>
      <c r="DC640" s="2010"/>
      <c r="DD640" s="2010"/>
      <c r="DE640" s="2010"/>
    </row>
    <row r="641" spans="1:109" s="2014" customFormat="1" x14ac:dyDescent="0.2">
      <c r="A641" s="2013"/>
      <c r="B641" s="2013"/>
      <c r="C641" s="2013"/>
      <c r="D641" s="2013"/>
      <c r="AB641" s="2010"/>
      <c r="AU641" s="2010"/>
      <c r="AV641" s="2010"/>
      <c r="AW641" s="2010"/>
      <c r="AX641" s="2010"/>
      <c r="AY641" s="2010"/>
      <c r="AZ641" s="2010"/>
      <c r="BA641" s="2010"/>
      <c r="BB641" s="2010"/>
      <c r="BC641" s="2010"/>
      <c r="BD641" s="2010"/>
      <c r="BE641" s="2010"/>
      <c r="BF641" s="2010"/>
      <c r="BG641" s="2010"/>
      <c r="BH641" s="2010"/>
      <c r="BI641" s="2010"/>
      <c r="BJ641" s="2010"/>
      <c r="BK641" s="2010"/>
      <c r="BL641" s="2010"/>
      <c r="BM641" s="2010"/>
      <c r="BN641" s="2010"/>
      <c r="BO641" s="2010"/>
      <c r="BP641" s="2010"/>
      <c r="BQ641" s="2010"/>
      <c r="BR641" s="2010"/>
      <c r="BS641" s="2010"/>
      <c r="BT641" s="2010"/>
      <c r="BU641" s="2010"/>
      <c r="BV641" s="2010"/>
      <c r="BW641" s="2010"/>
      <c r="BX641" s="2010"/>
      <c r="BY641" s="2010"/>
      <c r="BZ641" s="2010"/>
      <c r="CA641" s="2010"/>
      <c r="CB641" s="2010"/>
      <c r="CC641" s="2010"/>
      <c r="CD641" s="2010"/>
      <c r="CE641" s="2010"/>
      <c r="CF641" s="2010"/>
      <c r="CG641" s="2010"/>
      <c r="CH641" s="2010"/>
      <c r="CI641" s="2010"/>
      <c r="CJ641" s="2010"/>
      <c r="CK641" s="2010"/>
      <c r="CL641" s="2010"/>
      <c r="CM641" s="2010"/>
      <c r="CN641" s="2010"/>
      <c r="CO641" s="2010"/>
      <c r="CP641" s="2010"/>
      <c r="CQ641" s="2010"/>
      <c r="CR641" s="2010"/>
      <c r="CS641" s="2010"/>
      <c r="CT641" s="2010"/>
      <c r="CU641" s="2010"/>
      <c r="CV641" s="2010"/>
      <c r="CW641" s="2010"/>
      <c r="CX641" s="2010"/>
      <c r="CY641" s="2010"/>
      <c r="CZ641" s="2010"/>
      <c r="DA641" s="2010"/>
      <c r="DB641" s="2010"/>
      <c r="DC641" s="2010"/>
      <c r="DD641" s="2010"/>
      <c r="DE641" s="2010"/>
    </row>
    <row r="642" spans="1:109" s="2014" customFormat="1" x14ac:dyDescent="0.2">
      <c r="A642" s="2013"/>
      <c r="B642" s="2013"/>
      <c r="C642" s="2013"/>
      <c r="D642" s="2013"/>
      <c r="AB642" s="2010"/>
      <c r="AU642" s="2010"/>
      <c r="AV642" s="2010"/>
      <c r="AW642" s="2010"/>
      <c r="AX642" s="2010"/>
      <c r="AY642" s="2010"/>
      <c r="AZ642" s="2010"/>
      <c r="BA642" s="2010"/>
      <c r="BB642" s="2010"/>
      <c r="BC642" s="2010"/>
      <c r="BD642" s="2010"/>
      <c r="BE642" s="2010"/>
      <c r="BF642" s="2010"/>
      <c r="BG642" s="2010"/>
      <c r="BH642" s="2010"/>
      <c r="BI642" s="2010"/>
      <c r="BJ642" s="2010"/>
      <c r="BK642" s="2010"/>
      <c r="BL642" s="2010"/>
      <c r="BM642" s="2010"/>
      <c r="BN642" s="2010"/>
      <c r="BO642" s="2010"/>
      <c r="BP642" s="2010"/>
      <c r="BQ642" s="2010"/>
      <c r="BR642" s="2010"/>
      <c r="BS642" s="2010"/>
      <c r="BT642" s="2010"/>
      <c r="BU642" s="2010"/>
      <c r="BV642" s="2010"/>
      <c r="BW642" s="2010"/>
      <c r="BX642" s="2010"/>
      <c r="BY642" s="2010"/>
      <c r="BZ642" s="2010"/>
      <c r="CA642" s="2010"/>
      <c r="CB642" s="2010"/>
      <c r="CC642" s="2010"/>
      <c r="CD642" s="2010"/>
      <c r="CE642" s="2010"/>
      <c r="CF642" s="2010"/>
      <c r="CG642" s="2010"/>
      <c r="CH642" s="2010"/>
      <c r="CI642" s="2010"/>
      <c r="CJ642" s="2010"/>
      <c r="CK642" s="2010"/>
      <c r="CL642" s="2010"/>
      <c r="CM642" s="2010"/>
      <c r="CN642" s="2010"/>
      <c r="CO642" s="2010"/>
      <c r="CP642" s="2010"/>
      <c r="CQ642" s="2010"/>
      <c r="CR642" s="2010"/>
      <c r="CS642" s="2010"/>
      <c r="CT642" s="2010"/>
      <c r="CU642" s="2010"/>
      <c r="CV642" s="2010"/>
      <c r="CW642" s="2010"/>
      <c r="CX642" s="2010"/>
      <c r="CY642" s="2010"/>
      <c r="CZ642" s="2010"/>
      <c r="DA642" s="2010"/>
      <c r="DB642" s="2010"/>
      <c r="DC642" s="2010"/>
      <c r="DD642" s="2010"/>
      <c r="DE642" s="2010"/>
    </row>
    <row r="643" spans="1:109" s="2014" customFormat="1" x14ac:dyDescent="0.2">
      <c r="A643" s="2013"/>
      <c r="B643" s="2013"/>
      <c r="C643" s="2013"/>
      <c r="D643" s="2013"/>
      <c r="AB643" s="2010"/>
      <c r="AU643" s="2010"/>
      <c r="AV643" s="2010"/>
      <c r="AW643" s="2010"/>
      <c r="AX643" s="2010"/>
      <c r="AY643" s="2010"/>
      <c r="AZ643" s="2010"/>
      <c r="BA643" s="2010"/>
      <c r="BB643" s="2010"/>
      <c r="BC643" s="2010"/>
      <c r="BD643" s="2010"/>
      <c r="BE643" s="2010"/>
      <c r="BF643" s="2010"/>
      <c r="BG643" s="2010"/>
      <c r="BH643" s="2010"/>
      <c r="BI643" s="2010"/>
      <c r="BJ643" s="2010"/>
      <c r="BK643" s="2010"/>
      <c r="BL643" s="2010"/>
      <c r="BM643" s="2010"/>
      <c r="BN643" s="2010"/>
      <c r="BO643" s="2010"/>
      <c r="BP643" s="2010"/>
      <c r="BQ643" s="2010"/>
      <c r="BR643" s="2010"/>
      <c r="BS643" s="2010"/>
      <c r="BT643" s="2010"/>
      <c r="BU643" s="2010"/>
      <c r="BV643" s="2010"/>
      <c r="BW643" s="2010"/>
      <c r="BX643" s="2010"/>
      <c r="BY643" s="2010"/>
      <c r="BZ643" s="2010"/>
      <c r="CA643" s="2010"/>
      <c r="CB643" s="2010"/>
      <c r="CC643" s="2010"/>
      <c r="CD643" s="2010"/>
      <c r="CE643" s="2010"/>
      <c r="CF643" s="2010"/>
      <c r="CG643" s="2010"/>
      <c r="CH643" s="2010"/>
      <c r="CI643" s="2010"/>
      <c r="CJ643" s="2010"/>
      <c r="CK643" s="2010"/>
      <c r="CL643" s="2010"/>
      <c r="CM643" s="2010"/>
      <c r="CN643" s="2010"/>
      <c r="CO643" s="2010"/>
      <c r="CP643" s="2010"/>
      <c r="CQ643" s="2010"/>
      <c r="CR643" s="2010"/>
      <c r="CS643" s="2010"/>
      <c r="CT643" s="2010"/>
      <c r="CU643" s="2010"/>
      <c r="CV643" s="2010"/>
      <c r="CW643" s="2010"/>
      <c r="CX643" s="2010"/>
      <c r="CY643" s="2010"/>
      <c r="CZ643" s="2010"/>
      <c r="DA643" s="2010"/>
      <c r="DB643" s="2010"/>
      <c r="DC643" s="2010"/>
      <c r="DD643" s="2010"/>
      <c r="DE643" s="2010"/>
    </row>
    <row r="644" spans="1:109" s="2014" customFormat="1" x14ac:dyDescent="0.2">
      <c r="A644" s="2013"/>
      <c r="B644" s="2013"/>
      <c r="C644" s="2013"/>
      <c r="D644" s="2013"/>
      <c r="AB644" s="2010"/>
      <c r="AU644" s="2010"/>
      <c r="AV644" s="2010"/>
      <c r="AW644" s="2010"/>
      <c r="AX644" s="2010"/>
      <c r="AY644" s="2010"/>
      <c r="AZ644" s="2010"/>
      <c r="BA644" s="2010"/>
      <c r="BB644" s="2010"/>
      <c r="BC644" s="2010"/>
      <c r="BD644" s="2010"/>
      <c r="BE644" s="2010"/>
      <c r="BF644" s="2010"/>
      <c r="BG644" s="2010"/>
      <c r="BH644" s="2010"/>
      <c r="BI644" s="2010"/>
      <c r="BJ644" s="2010"/>
      <c r="BK644" s="2010"/>
      <c r="BL644" s="2010"/>
      <c r="BM644" s="2010"/>
      <c r="BN644" s="2010"/>
      <c r="BO644" s="2010"/>
      <c r="BP644" s="2010"/>
      <c r="BQ644" s="2010"/>
      <c r="BR644" s="2010"/>
      <c r="BS644" s="2010"/>
      <c r="BT644" s="2010"/>
      <c r="BU644" s="2010"/>
      <c r="BV644" s="2010"/>
      <c r="BW644" s="2010"/>
      <c r="BX644" s="2010"/>
      <c r="BY644" s="2010"/>
      <c r="BZ644" s="2010"/>
      <c r="CA644" s="2010"/>
      <c r="CB644" s="2010"/>
      <c r="CC644" s="2010"/>
      <c r="CD644" s="2010"/>
      <c r="CE644" s="2010"/>
      <c r="CF644" s="2010"/>
      <c r="CG644" s="2010"/>
      <c r="CH644" s="2010"/>
      <c r="CI644" s="2010"/>
      <c r="CJ644" s="2010"/>
      <c r="CK644" s="2010"/>
      <c r="CL644" s="2010"/>
      <c r="CM644" s="2010"/>
      <c r="CN644" s="2010"/>
      <c r="CO644" s="2010"/>
      <c r="CP644" s="2010"/>
      <c r="CQ644" s="2010"/>
      <c r="CR644" s="2010"/>
      <c r="CS644" s="2010"/>
      <c r="CT644" s="2010"/>
      <c r="CU644" s="2010"/>
      <c r="CV644" s="2010"/>
      <c r="CW644" s="2010"/>
      <c r="CX644" s="2010"/>
      <c r="CY644" s="2010"/>
      <c r="CZ644" s="2010"/>
      <c r="DA644" s="2010"/>
      <c r="DB644" s="2010"/>
      <c r="DC644" s="2010"/>
      <c r="DD644" s="2010"/>
      <c r="DE644" s="2010"/>
    </row>
    <row r="645" spans="1:109" s="2014" customFormat="1" x14ac:dyDescent="0.2">
      <c r="A645" s="2013"/>
      <c r="B645" s="2013"/>
      <c r="C645" s="2013"/>
      <c r="D645" s="2013"/>
      <c r="AB645" s="2010"/>
      <c r="AU645" s="2010"/>
      <c r="AV645" s="2010"/>
      <c r="AW645" s="2010"/>
      <c r="AX645" s="2010"/>
      <c r="AY645" s="2010"/>
      <c r="AZ645" s="2010"/>
      <c r="BA645" s="2010"/>
      <c r="BB645" s="2010"/>
      <c r="BC645" s="2010"/>
      <c r="BD645" s="2010"/>
      <c r="BE645" s="2010"/>
      <c r="BF645" s="2010"/>
      <c r="BG645" s="2010"/>
      <c r="BH645" s="2010"/>
      <c r="BI645" s="2010"/>
      <c r="BJ645" s="2010"/>
      <c r="BK645" s="2010"/>
      <c r="BL645" s="2010"/>
      <c r="BM645" s="2010"/>
      <c r="BN645" s="2010"/>
      <c r="BO645" s="2010"/>
      <c r="BP645" s="2010"/>
      <c r="BQ645" s="2010"/>
      <c r="BR645" s="2010"/>
      <c r="BS645" s="2010"/>
      <c r="BT645" s="2010"/>
      <c r="BU645" s="2010"/>
      <c r="BV645" s="2010"/>
      <c r="BW645" s="2010"/>
      <c r="BX645" s="2010"/>
      <c r="BY645" s="2010"/>
      <c r="BZ645" s="2010"/>
      <c r="CA645" s="2010"/>
      <c r="CB645" s="2010"/>
      <c r="CC645" s="2010"/>
      <c r="CD645" s="2010"/>
      <c r="CE645" s="2010"/>
      <c r="CF645" s="2010"/>
      <c r="CG645" s="2010"/>
      <c r="CH645" s="2010"/>
      <c r="CI645" s="2010"/>
      <c r="CJ645" s="2010"/>
      <c r="CK645" s="2010"/>
      <c r="CL645" s="2010"/>
      <c r="CM645" s="2010"/>
      <c r="CN645" s="2010"/>
      <c r="CO645" s="2010"/>
      <c r="CP645" s="2010"/>
      <c r="CQ645" s="2010"/>
      <c r="CR645" s="2010"/>
      <c r="CS645" s="2010"/>
      <c r="CT645" s="2010"/>
      <c r="CU645" s="2010"/>
      <c r="CV645" s="2010"/>
      <c r="CW645" s="2010"/>
      <c r="CX645" s="2010"/>
      <c r="CY645" s="2010"/>
      <c r="CZ645" s="2010"/>
      <c r="DA645" s="2010"/>
      <c r="DB645" s="2010"/>
      <c r="DC645" s="2010"/>
      <c r="DD645" s="2010"/>
      <c r="DE645" s="2010"/>
    </row>
    <row r="646" spans="1:109" s="2014" customFormat="1" x14ac:dyDescent="0.2">
      <c r="A646" s="2013"/>
      <c r="B646" s="2013"/>
      <c r="C646" s="2013"/>
      <c r="D646" s="2013"/>
      <c r="AB646" s="2010"/>
      <c r="AU646" s="2010"/>
      <c r="AV646" s="2010"/>
      <c r="AW646" s="2010"/>
      <c r="AX646" s="2010"/>
      <c r="AY646" s="2010"/>
      <c r="AZ646" s="2010"/>
      <c r="BA646" s="2010"/>
      <c r="BB646" s="2010"/>
      <c r="BC646" s="2010"/>
      <c r="BD646" s="2010"/>
      <c r="BE646" s="2010"/>
      <c r="BF646" s="2010"/>
      <c r="BG646" s="2010"/>
      <c r="BH646" s="2010"/>
      <c r="BI646" s="2010"/>
      <c r="BJ646" s="2010"/>
      <c r="BK646" s="2010"/>
      <c r="BL646" s="2010"/>
      <c r="BM646" s="2010"/>
      <c r="BN646" s="2010"/>
      <c r="BO646" s="2010"/>
      <c r="BP646" s="2010"/>
      <c r="BQ646" s="2010"/>
      <c r="BR646" s="2010"/>
      <c r="BS646" s="2010"/>
      <c r="BT646" s="2010"/>
      <c r="BU646" s="2010"/>
      <c r="BV646" s="2010"/>
      <c r="BW646" s="2010"/>
      <c r="BX646" s="2010"/>
      <c r="BY646" s="2010"/>
      <c r="BZ646" s="2010"/>
      <c r="CA646" s="2010"/>
      <c r="CB646" s="2010"/>
      <c r="CC646" s="2010"/>
      <c r="CD646" s="2010"/>
      <c r="CE646" s="2010"/>
      <c r="CF646" s="2010"/>
      <c r="CG646" s="2010"/>
      <c r="CH646" s="2010"/>
      <c r="CI646" s="2010"/>
      <c r="CJ646" s="2010"/>
      <c r="CK646" s="2010"/>
      <c r="CL646" s="2010"/>
      <c r="CM646" s="2010"/>
      <c r="CN646" s="2010"/>
      <c r="CO646" s="2010"/>
      <c r="CP646" s="2010"/>
      <c r="CQ646" s="2010"/>
      <c r="CR646" s="2010"/>
      <c r="CS646" s="2010"/>
      <c r="CT646" s="2010"/>
      <c r="CU646" s="2010"/>
      <c r="CV646" s="2010"/>
      <c r="CW646" s="2010"/>
      <c r="CX646" s="2010"/>
      <c r="CY646" s="2010"/>
      <c r="CZ646" s="2010"/>
      <c r="DA646" s="2010"/>
      <c r="DB646" s="2010"/>
      <c r="DC646" s="2010"/>
      <c r="DD646" s="2010"/>
      <c r="DE646" s="2010"/>
    </row>
    <row r="647" spans="1:109" s="2014" customFormat="1" x14ac:dyDescent="0.2">
      <c r="A647" s="2013"/>
      <c r="B647" s="2013"/>
      <c r="C647" s="2013"/>
      <c r="D647" s="2013"/>
      <c r="AB647" s="2010"/>
      <c r="AU647" s="2010"/>
      <c r="AV647" s="2010"/>
      <c r="AW647" s="2010"/>
      <c r="AX647" s="2010"/>
      <c r="AY647" s="2010"/>
      <c r="AZ647" s="2010"/>
      <c r="BA647" s="2010"/>
      <c r="BB647" s="2010"/>
      <c r="BC647" s="2010"/>
      <c r="BD647" s="2010"/>
      <c r="BE647" s="2010"/>
      <c r="BF647" s="2010"/>
      <c r="BG647" s="2010"/>
      <c r="BH647" s="2010"/>
      <c r="BI647" s="2010"/>
      <c r="BJ647" s="2010"/>
      <c r="BK647" s="2010"/>
      <c r="BL647" s="2010"/>
      <c r="BM647" s="2010"/>
      <c r="BN647" s="2010"/>
      <c r="BO647" s="2010"/>
      <c r="BP647" s="2010"/>
      <c r="BQ647" s="2010"/>
      <c r="BR647" s="2010"/>
      <c r="BS647" s="2010"/>
      <c r="BT647" s="2010"/>
      <c r="BU647" s="2010"/>
      <c r="BV647" s="2010"/>
      <c r="BW647" s="2010"/>
      <c r="BX647" s="2010"/>
      <c r="BY647" s="2010"/>
      <c r="BZ647" s="2010"/>
      <c r="CA647" s="2010"/>
      <c r="CB647" s="2010"/>
      <c r="CC647" s="2010"/>
      <c r="CD647" s="2010"/>
      <c r="CE647" s="2010"/>
      <c r="CF647" s="2010"/>
      <c r="CG647" s="2010"/>
      <c r="CH647" s="2010"/>
      <c r="CI647" s="2010"/>
      <c r="CJ647" s="2010"/>
      <c r="CK647" s="2010"/>
      <c r="CL647" s="2010"/>
      <c r="CM647" s="2010"/>
      <c r="CN647" s="2010"/>
      <c r="CO647" s="2010"/>
      <c r="CP647" s="2010"/>
      <c r="CQ647" s="2010"/>
      <c r="CR647" s="2010"/>
      <c r="CS647" s="2010"/>
      <c r="CT647" s="2010"/>
      <c r="CU647" s="2010"/>
      <c r="CV647" s="2010"/>
      <c r="CW647" s="2010"/>
      <c r="CX647" s="2010"/>
      <c r="CY647" s="2010"/>
      <c r="CZ647" s="2010"/>
      <c r="DA647" s="2010"/>
      <c r="DB647" s="2010"/>
      <c r="DC647" s="2010"/>
      <c r="DD647" s="2010"/>
      <c r="DE647" s="2010"/>
    </row>
    <row r="648" spans="1:109" s="2014" customFormat="1" x14ac:dyDescent="0.2">
      <c r="A648" s="2013"/>
      <c r="B648" s="2013"/>
      <c r="C648" s="2013"/>
      <c r="D648" s="2013"/>
      <c r="AB648" s="2010"/>
      <c r="AU648" s="2010"/>
      <c r="AV648" s="2010"/>
      <c r="AW648" s="2010"/>
      <c r="AX648" s="2010"/>
      <c r="AY648" s="2010"/>
      <c r="AZ648" s="2010"/>
      <c r="BA648" s="2010"/>
      <c r="BB648" s="2010"/>
      <c r="BC648" s="2010"/>
      <c r="BD648" s="2010"/>
      <c r="BE648" s="2010"/>
      <c r="BF648" s="2010"/>
      <c r="BG648" s="2010"/>
      <c r="BH648" s="2010"/>
      <c r="BI648" s="2010"/>
      <c r="BJ648" s="2010"/>
      <c r="BK648" s="2010"/>
      <c r="BL648" s="2010"/>
      <c r="BM648" s="2010"/>
      <c r="BN648" s="2010"/>
      <c r="BO648" s="2010"/>
      <c r="BP648" s="2010"/>
      <c r="BQ648" s="2010"/>
      <c r="BR648" s="2010"/>
      <c r="BS648" s="2010"/>
      <c r="BT648" s="2010"/>
      <c r="BU648" s="2010"/>
      <c r="BV648" s="2010"/>
      <c r="BW648" s="2010"/>
      <c r="BX648" s="2010"/>
      <c r="BY648" s="2010"/>
      <c r="BZ648" s="2010"/>
      <c r="CA648" s="2010"/>
      <c r="CB648" s="2010"/>
      <c r="CC648" s="2010"/>
      <c r="CD648" s="2010"/>
      <c r="CE648" s="2010"/>
      <c r="CF648" s="2010"/>
      <c r="CG648" s="2010"/>
      <c r="CH648" s="2010"/>
      <c r="CI648" s="2010"/>
      <c r="CJ648" s="2010"/>
      <c r="CK648" s="2010"/>
      <c r="CL648" s="2010"/>
      <c r="CM648" s="2010"/>
      <c r="CN648" s="2010"/>
      <c r="CO648" s="2010"/>
      <c r="CP648" s="2010"/>
      <c r="CQ648" s="2010"/>
      <c r="CR648" s="2010"/>
      <c r="CS648" s="2010"/>
      <c r="CT648" s="2010"/>
      <c r="CU648" s="2010"/>
      <c r="CV648" s="2010"/>
      <c r="CW648" s="2010"/>
      <c r="CX648" s="2010"/>
      <c r="CY648" s="2010"/>
      <c r="CZ648" s="2010"/>
      <c r="DA648" s="2010"/>
      <c r="DB648" s="2010"/>
      <c r="DC648" s="2010"/>
      <c r="DD648" s="2010"/>
      <c r="DE648" s="2010"/>
    </row>
    <row r="649" spans="1:109" s="2014" customFormat="1" x14ac:dyDescent="0.2">
      <c r="A649" s="2013"/>
      <c r="B649" s="2013"/>
      <c r="C649" s="2013"/>
      <c r="D649" s="2013"/>
      <c r="AB649" s="2010"/>
      <c r="AU649" s="2010"/>
      <c r="AV649" s="2010"/>
      <c r="AW649" s="2010"/>
      <c r="AX649" s="2010"/>
      <c r="AY649" s="2010"/>
      <c r="AZ649" s="2010"/>
      <c r="BA649" s="2010"/>
      <c r="BB649" s="2010"/>
      <c r="BC649" s="2010"/>
      <c r="BD649" s="2010"/>
      <c r="BE649" s="2010"/>
      <c r="BF649" s="2010"/>
      <c r="BG649" s="2010"/>
      <c r="BH649" s="2010"/>
      <c r="BI649" s="2010"/>
      <c r="BJ649" s="2010"/>
      <c r="BK649" s="2010"/>
      <c r="BL649" s="2010"/>
      <c r="BM649" s="2010"/>
      <c r="BN649" s="2010"/>
      <c r="BO649" s="2010"/>
      <c r="BP649" s="2010"/>
      <c r="BQ649" s="2010"/>
      <c r="BR649" s="2010"/>
      <c r="BS649" s="2010"/>
      <c r="BT649" s="2010"/>
      <c r="BU649" s="2010"/>
      <c r="BV649" s="2010"/>
      <c r="BW649" s="2010"/>
      <c r="BX649" s="2010"/>
      <c r="BY649" s="2010"/>
      <c r="BZ649" s="2010"/>
      <c r="CA649" s="2010"/>
      <c r="CB649" s="2010"/>
      <c r="CC649" s="2010"/>
      <c r="CD649" s="2010"/>
      <c r="CE649" s="2010"/>
      <c r="CF649" s="2010"/>
      <c r="CG649" s="2010"/>
      <c r="CH649" s="2010"/>
      <c r="CI649" s="2010"/>
      <c r="CJ649" s="2010"/>
      <c r="CK649" s="2010"/>
      <c r="CL649" s="2010"/>
      <c r="CM649" s="2010"/>
      <c r="CN649" s="2010"/>
      <c r="CO649" s="2010"/>
      <c r="CP649" s="2010"/>
      <c r="CQ649" s="2010"/>
      <c r="CR649" s="2010"/>
      <c r="CS649" s="2010"/>
      <c r="CT649" s="2010"/>
      <c r="CU649" s="2010"/>
      <c r="CV649" s="2010"/>
      <c r="CW649" s="2010"/>
      <c r="CX649" s="2010"/>
      <c r="CY649" s="2010"/>
      <c r="CZ649" s="2010"/>
      <c r="DA649" s="2010"/>
      <c r="DB649" s="2010"/>
      <c r="DC649" s="2010"/>
      <c r="DD649" s="2010"/>
      <c r="DE649" s="2010"/>
    </row>
    <row r="650" spans="1:109" s="2014" customFormat="1" x14ac:dyDescent="0.2">
      <c r="A650" s="2013"/>
      <c r="B650" s="2013"/>
      <c r="C650" s="2013"/>
      <c r="D650" s="2013"/>
      <c r="AB650" s="2010"/>
      <c r="AU650" s="2010"/>
      <c r="AV650" s="2010"/>
      <c r="AW650" s="2010"/>
      <c r="AX650" s="2010"/>
      <c r="AY650" s="2010"/>
      <c r="AZ650" s="2010"/>
      <c r="BA650" s="2010"/>
      <c r="BB650" s="2010"/>
      <c r="BC650" s="2010"/>
      <c r="BD650" s="2010"/>
      <c r="BE650" s="2010"/>
      <c r="BF650" s="2010"/>
      <c r="BG650" s="2010"/>
      <c r="BH650" s="2010"/>
      <c r="BI650" s="2010"/>
      <c r="BJ650" s="2010"/>
      <c r="BK650" s="2010"/>
      <c r="BL650" s="2010"/>
      <c r="BM650" s="2010"/>
      <c r="BN650" s="2010"/>
      <c r="BO650" s="2010"/>
      <c r="BP650" s="2010"/>
      <c r="BQ650" s="2010"/>
      <c r="BR650" s="2010"/>
      <c r="BS650" s="2010"/>
      <c r="BT650" s="2010"/>
      <c r="BU650" s="2010"/>
      <c r="BV650" s="2010"/>
      <c r="BW650" s="2010"/>
      <c r="BX650" s="2010"/>
      <c r="BY650" s="2010"/>
      <c r="BZ650" s="2010"/>
      <c r="CA650" s="2010"/>
      <c r="CB650" s="2010"/>
      <c r="CC650" s="2010"/>
      <c r="CD650" s="2010"/>
      <c r="CE650" s="2010"/>
      <c r="CF650" s="2010"/>
      <c r="CG650" s="2010"/>
      <c r="CH650" s="2010"/>
      <c r="CI650" s="2010"/>
      <c r="CJ650" s="2010"/>
      <c r="CK650" s="2010"/>
      <c r="CL650" s="2010"/>
      <c r="CM650" s="2010"/>
      <c r="CN650" s="2010"/>
      <c r="CO650" s="2010"/>
      <c r="CP650" s="2010"/>
      <c r="CQ650" s="2010"/>
      <c r="CR650" s="2010"/>
      <c r="CS650" s="2010"/>
      <c r="CT650" s="2010"/>
      <c r="CU650" s="2010"/>
      <c r="CV650" s="2010"/>
      <c r="CW650" s="2010"/>
      <c r="CX650" s="2010"/>
      <c r="CY650" s="2010"/>
      <c r="CZ650" s="2010"/>
      <c r="DA650" s="2010"/>
      <c r="DB650" s="2010"/>
      <c r="DC650" s="2010"/>
      <c r="DD650" s="2010"/>
      <c r="DE650" s="2010"/>
    </row>
    <row r="651" spans="1:109" s="2014" customFormat="1" x14ac:dyDescent="0.2">
      <c r="A651" s="2013"/>
      <c r="B651" s="2013"/>
      <c r="C651" s="2013"/>
      <c r="D651" s="2013"/>
      <c r="AB651" s="2010"/>
      <c r="AU651" s="2010"/>
      <c r="AV651" s="2010"/>
      <c r="AW651" s="2010"/>
      <c r="AX651" s="2010"/>
      <c r="AY651" s="2010"/>
      <c r="AZ651" s="2010"/>
      <c r="BA651" s="2010"/>
      <c r="BB651" s="2010"/>
      <c r="BC651" s="2010"/>
      <c r="BD651" s="2010"/>
      <c r="BE651" s="2010"/>
      <c r="BF651" s="2010"/>
      <c r="BG651" s="2010"/>
      <c r="BH651" s="2010"/>
      <c r="BI651" s="2010"/>
      <c r="BJ651" s="2010"/>
      <c r="BK651" s="2010"/>
      <c r="BL651" s="2010"/>
      <c r="BM651" s="2010"/>
      <c r="BN651" s="2010"/>
      <c r="BO651" s="2010"/>
      <c r="BP651" s="2010"/>
      <c r="BQ651" s="2010"/>
      <c r="BR651" s="2010"/>
      <c r="BS651" s="2010"/>
      <c r="BT651" s="2010"/>
      <c r="BU651" s="2010"/>
      <c r="BV651" s="2010"/>
      <c r="BW651" s="2010"/>
      <c r="BX651" s="2010"/>
      <c r="BY651" s="2010"/>
      <c r="BZ651" s="2010"/>
      <c r="CA651" s="2010"/>
      <c r="CB651" s="2010"/>
      <c r="CC651" s="2010"/>
      <c r="CD651" s="2010"/>
      <c r="CE651" s="2010"/>
      <c r="CF651" s="2010"/>
      <c r="CG651" s="2010"/>
      <c r="CH651" s="2010"/>
      <c r="CI651" s="2010"/>
      <c r="CJ651" s="2010"/>
      <c r="CK651" s="2010"/>
      <c r="CL651" s="2010"/>
      <c r="CM651" s="2010"/>
      <c r="CN651" s="2010"/>
      <c r="CO651" s="2010"/>
      <c r="CP651" s="2010"/>
      <c r="CQ651" s="2010"/>
      <c r="CR651" s="2010"/>
      <c r="CS651" s="2010"/>
      <c r="CT651" s="2010"/>
      <c r="CU651" s="2010"/>
      <c r="CV651" s="2010"/>
      <c r="CW651" s="2010"/>
      <c r="CX651" s="2010"/>
      <c r="CY651" s="2010"/>
      <c r="CZ651" s="2010"/>
      <c r="DA651" s="2010"/>
      <c r="DB651" s="2010"/>
      <c r="DC651" s="2010"/>
      <c r="DD651" s="2010"/>
      <c r="DE651" s="2010"/>
    </row>
    <row r="652" spans="1:109" s="2014" customFormat="1" x14ac:dyDescent="0.2">
      <c r="A652" s="2013"/>
      <c r="B652" s="2013"/>
      <c r="C652" s="2013"/>
      <c r="D652" s="2013"/>
      <c r="AB652" s="2010"/>
      <c r="AU652" s="2010"/>
      <c r="AV652" s="2010"/>
      <c r="AW652" s="2010"/>
      <c r="AX652" s="2010"/>
      <c r="AY652" s="2010"/>
      <c r="AZ652" s="2010"/>
      <c r="BA652" s="2010"/>
      <c r="BB652" s="2010"/>
      <c r="BC652" s="2010"/>
      <c r="BD652" s="2010"/>
      <c r="BE652" s="2010"/>
      <c r="BF652" s="2010"/>
      <c r="BG652" s="2010"/>
      <c r="BH652" s="2010"/>
      <c r="BI652" s="2010"/>
      <c r="BJ652" s="2010"/>
      <c r="BK652" s="2010"/>
      <c r="BL652" s="2010"/>
      <c r="BM652" s="2010"/>
      <c r="BN652" s="2010"/>
      <c r="BO652" s="2010"/>
      <c r="BP652" s="2010"/>
      <c r="BQ652" s="2010"/>
      <c r="BR652" s="2010"/>
      <c r="BS652" s="2010"/>
      <c r="BT652" s="2010"/>
      <c r="BU652" s="2010"/>
      <c r="BV652" s="2010"/>
      <c r="BW652" s="2010"/>
      <c r="BX652" s="2010"/>
      <c r="BY652" s="2010"/>
      <c r="BZ652" s="2010"/>
      <c r="CA652" s="2010"/>
      <c r="CB652" s="2010"/>
      <c r="CC652" s="2010"/>
      <c r="CD652" s="2010"/>
      <c r="CE652" s="2010"/>
      <c r="CF652" s="2010"/>
      <c r="CG652" s="2010"/>
      <c r="CH652" s="2010"/>
      <c r="CI652" s="2010"/>
      <c r="CJ652" s="2010"/>
      <c r="CK652" s="2010"/>
      <c r="CL652" s="2010"/>
      <c r="CM652" s="2010"/>
      <c r="CN652" s="2010"/>
      <c r="CO652" s="2010"/>
      <c r="CP652" s="2010"/>
      <c r="CQ652" s="2010"/>
      <c r="CR652" s="2010"/>
      <c r="CS652" s="2010"/>
      <c r="CT652" s="2010"/>
      <c r="CU652" s="2010"/>
      <c r="CV652" s="2010"/>
      <c r="CW652" s="2010"/>
      <c r="CX652" s="2010"/>
      <c r="CY652" s="2010"/>
      <c r="CZ652" s="2010"/>
      <c r="DA652" s="2010"/>
      <c r="DB652" s="2010"/>
      <c r="DC652" s="2010"/>
      <c r="DD652" s="2010"/>
      <c r="DE652" s="2010"/>
    </row>
    <row r="653" spans="1:109" s="2014" customFormat="1" x14ac:dyDescent="0.2">
      <c r="A653" s="2013"/>
      <c r="B653" s="2013"/>
      <c r="C653" s="2013"/>
      <c r="D653" s="2013"/>
      <c r="AB653" s="2010"/>
      <c r="AU653" s="2010"/>
      <c r="AV653" s="2010"/>
      <c r="AW653" s="2010"/>
      <c r="AX653" s="2010"/>
      <c r="AY653" s="2010"/>
      <c r="AZ653" s="2010"/>
      <c r="BA653" s="2010"/>
      <c r="BB653" s="2010"/>
      <c r="BC653" s="2010"/>
      <c r="BD653" s="2010"/>
      <c r="BE653" s="2010"/>
      <c r="BF653" s="2010"/>
      <c r="BG653" s="2010"/>
      <c r="BH653" s="2010"/>
      <c r="BI653" s="2010"/>
      <c r="BJ653" s="2010"/>
      <c r="BK653" s="2010"/>
      <c r="BL653" s="2010"/>
      <c r="BM653" s="2010"/>
      <c r="BN653" s="2010"/>
      <c r="BO653" s="2010"/>
      <c r="BP653" s="2010"/>
      <c r="BQ653" s="2010"/>
      <c r="BR653" s="2010"/>
      <c r="BS653" s="2010"/>
      <c r="BT653" s="2010"/>
      <c r="BU653" s="2010"/>
      <c r="BV653" s="2010"/>
      <c r="BW653" s="2010"/>
      <c r="BX653" s="2010"/>
      <c r="BY653" s="2010"/>
      <c r="BZ653" s="2010"/>
      <c r="CA653" s="2010"/>
      <c r="CB653" s="2010"/>
      <c r="CC653" s="2010"/>
      <c r="CD653" s="2010"/>
      <c r="CE653" s="2010"/>
      <c r="CF653" s="2010"/>
      <c r="CG653" s="2010"/>
      <c r="CH653" s="2010"/>
      <c r="CI653" s="2010"/>
      <c r="CJ653" s="2010"/>
      <c r="CK653" s="2010"/>
      <c r="CL653" s="2010"/>
      <c r="CM653" s="2010"/>
      <c r="CN653" s="2010"/>
      <c r="CO653" s="2010"/>
      <c r="CP653" s="2010"/>
      <c r="CQ653" s="2010"/>
      <c r="CR653" s="2010"/>
      <c r="CS653" s="2010"/>
      <c r="CT653" s="2010"/>
      <c r="CU653" s="2010"/>
      <c r="CV653" s="2010"/>
      <c r="CW653" s="2010"/>
      <c r="CX653" s="2010"/>
      <c r="CY653" s="2010"/>
      <c r="CZ653" s="2010"/>
      <c r="DA653" s="2010"/>
      <c r="DB653" s="2010"/>
      <c r="DC653" s="2010"/>
      <c r="DD653" s="2010"/>
      <c r="DE653" s="2010"/>
    </row>
    <row r="654" spans="1:109" s="2014" customFormat="1" x14ac:dyDescent="0.2">
      <c r="A654" s="2013"/>
      <c r="B654" s="2013"/>
      <c r="C654" s="2013"/>
      <c r="D654" s="2013"/>
      <c r="AB654" s="2010"/>
      <c r="AU654" s="2010"/>
      <c r="AV654" s="2010"/>
      <c r="AW654" s="2010"/>
      <c r="AX654" s="2010"/>
      <c r="AY654" s="2010"/>
      <c r="AZ654" s="2010"/>
      <c r="BA654" s="2010"/>
      <c r="BB654" s="2010"/>
      <c r="BC654" s="2010"/>
      <c r="BD654" s="2010"/>
      <c r="BE654" s="2010"/>
      <c r="BF654" s="2010"/>
      <c r="BG654" s="2010"/>
      <c r="BH654" s="2010"/>
      <c r="BI654" s="2010"/>
      <c r="BJ654" s="2010"/>
      <c r="BK654" s="2010"/>
      <c r="BL654" s="2010"/>
      <c r="BM654" s="2010"/>
      <c r="BN654" s="2010"/>
      <c r="BO654" s="2010"/>
      <c r="BP654" s="2010"/>
      <c r="BQ654" s="2010"/>
      <c r="BR654" s="2010"/>
      <c r="BS654" s="2010"/>
      <c r="BT654" s="2010"/>
      <c r="BU654" s="2010"/>
      <c r="BV654" s="2010"/>
      <c r="BW654" s="2010"/>
      <c r="BX654" s="2010"/>
      <c r="BY654" s="2010"/>
      <c r="BZ654" s="2010"/>
      <c r="CA654" s="2010"/>
      <c r="CB654" s="2010"/>
      <c r="CC654" s="2010"/>
      <c r="CD654" s="2010"/>
      <c r="CE654" s="2010"/>
      <c r="CF654" s="2010"/>
      <c r="CG654" s="2010"/>
      <c r="CH654" s="2010"/>
      <c r="CI654" s="2010"/>
      <c r="CJ654" s="2010"/>
      <c r="CK654" s="2010"/>
      <c r="CL654" s="2010"/>
      <c r="CM654" s="2010"/>
      <c r="CN654" s="2010"/>
      <c r="CO654" s="2010"/>
      <c r="CP654" s="2010"/>
      <c r="CQ654" s="2010"/>
      <c r="CR654" s="2010"/>
      <c r="CS654" s="2010"/>
      <c r="CT654" s="2010"/>
      <c r="CU654" s="2010"/>
      <c r="CV654" s="2010"/>
      <c r="CW654" s="2010"/>
      <c r="CX654" s="2010"/>
      <c r="CY654" s="2010"/>
      <c r="CZ654" s="2010"/>
      <c r="DA654" s="2010"/>
      <c r="DB654" s="2010"/>
      <c r="DC654" s="2010"/>
      <c r="DD654" s="2010"/>
      <c r="DE654" s="2010"/>
    </row>
    <row r="655" spans="1:109" s="2014" customFormat="1" x14ac:dyDescent="0.2">
      <c r="A655" s="2013"/>
      <c r="B655" s="2013"/>
      <c r="C655" s="2013"/>
      <c r="D655" s="2013"/>
      <c r="AB655" s="2010"/>
      <c r="AU655" s="2010"/>
      <c r="AV655" s="2010"/>
      <c r="AW655" s="2010"/>
      <c r="AX655" s="2010"/>
      <c r="AY655" s="2010"/>
      <c r="AZ655" s="2010"/>
      <c r="BA655" s="2010"/>
      <c r="BB655" s="2010"/>
      <c r="BC655" s="2010"/>
      <c r="BD655" s="2010"/>
      <c r="BE655" s="2010"/>
      <c r="BF655" s="2010"/>
      <c r="BG655" s="2010"/>
      <c r="BH655" s="2010"/>
      <c r="BI655" s="2010"/>
      <c r="BJ655" s="2010"/>
      <c r="BK655" s="2010"/>
      <c r="BL655" s="2010"/>
      <c r="BM655" s="2010"/>
      <c r="BN655" s="2010"/>
      <c r="BO655" s="2010"/>
      <c r="BP655" s="2010"/>
      <c r="BQ655" s="2010"/>
      <c r="BR655" s="2010"/>
      <c r="BS655" s="2010"/>
      <c r="BT655" s="2010"/>
      <c r="BU655" s="2010"/>
      <c r="BV655" s="2010"/>
      <c r="BW655" s="2010"/>
      <c r="BX655" s="2010"/>
      <c r="BY655" s="2010"/>
      <c r="BZ655" s="2010"/>
      <c r="CA655" s="2010"/>
      <c r="CB655" s="2010"/>
      <c r="CC655" s="2010"/>
      <c r="CD655" s="2010"/>
      <c r="CE655" s="2010"/>
      <c r="CF655" s="2010"/>
      <c r="CG655" s="2010"/>
      <c r="CH655" s="2010"/>
      <c r="CI655" s="2010"/>
      <c r="CJ655" s="2010"/>
      <c r="CK655" s="2010"/>
      <c r="CL655" s="2010"/>
      <c r="CM655" s="2010"/>
      <c r="CN655" s="2010"/>
      <c r="CO655" s="2010"/>
      <c r="CP655" s="2010"/>
      <c r="CQ655" s="2010"/>
      <c r="CR655" s="2010"/>
      <c r="CS655" s="2010"/>
      <c r="CT655" s="2010"/>
      <c r="CU655" s="2010"/>
      <c r="CV655" s="2010"/>
      <c r="CW655" s="2010"/>
      <c r="CX655" s="2010"/>
      <c r="CY655" s="2010"/>
      <c r="CZ655" s="2010"/>
      <c r="DA655" s="2010"/>
      <c r="DB655" s="2010"/>
      <c r="DC655" s="2010"/>
      <c r="DD655" s="2010"/>
      <c r="DE655" s="2010"/>
    </row>
    <row r="656" spans="1:109" s="2014" customFormat="1" x14ac:dyDescent="0.2">
      <c r="A656" s="2013"/>
      <c r="B656" s="2013"/>
      <c r="C656" s="2013"/>
      <c r="D656" s="2013"/>
      <c r="AB656" s="2010"/>
      <c r="AU656" s="2010"/>
      <c r="AV656" s="2010"/>
      <c r="AW656" s="2010"/>
      <c r="AX656" s="2010"/>
      <c r="AY656" s="2010"/>
      <c r="AZ656" s="2010"/>
      <c r="BA656" s="2010"/>
      <c r="BB656" s="2010"/>
      <c r="BC656" s="2010"/>
      <c r="BD656" s="2010"/>
      <c r="BE656" s="2010"/>
      <c r="BF656" s="2010"/>
      <c r="BG656" s="2010"/>
      <c r="BH656" s="2010"/>
      <c r="BI656" s="2010"/>
      <c r="BJ656" s="2010"/>
      <c r="BK656" s="2010"/>
      <c r="BL656" s="2010"/>
      <c r="BM656" s="2010"/>
      <c r="BN656" s="2010"/>
      <c r="BO656" s="2010"/>
      <c r="BP656" s="2010"/>
      <c r="BQ656" s="2010"/>
      <c r="BR656" s="2010"/>
      <c r="BS656" s="2010"/>
      <c r="BT656" s="2010"/>
      <c r="BU656" s="2010"/>
      <c r="BV656" s="2010"/>
      <c r="BW656" s="2010"/>
      <c r="BX656" s="2010"/>
      <c r="BY656" s="2010"/>
      <c r="BZ656" s="2010"/>
      <c r="CA656" s="2010"/>
      <c r="CB656" s="2010"/>
      <c r="CC656" s="2010"/>
      <c r="CD656" s="2010"/>
      <c r="CE656" s="2010"/>
      <c r="CF656" s="2010"/>
      <c r="CG656" s="2010"/>
      <c r="CH656" s="2010"/>
      <c r="CI656" s="2010"/>
      <c r="CJ656" s="2010"/>
      <c r="CK656" s="2010"/>
      <c r="CL656" s="2010"/>
      <c r="CM656" s="2010"/>
      <c r="CN656" s="2010"/>
      <c r="CO656" s="2010"/>
      <c r="CP656" s="2010"/>
      <c r="CQ656" s="2010"/>
      <c r="CR656" s="2010"/>
      <c r="CS656" s="2010"/>
      <c r="CT656" s="2010"/>
      <c r="CU656" s="2010"/>
      <c r="CV656" s="2010"/>
      <c r="CW656" s="2010"/>
      <c r="CX656" s="2010"/>
      <c r="CY656" s="2010"/>
      <c r="CZ656" s="2010"/>
      <c r="DA656" s="2010"/>
      <c r="DB656" s="2010"/>
      <c r="DC656" s="2010"/>
      <c r="DD656" s="2010"/>
      <c r="DE656" s="2010"/>
    </row>
    <row r="657" spans="1:109" s="2014" customFormat="1" x14ac:dyDescent="0.2">
      <c r="A657" s="2013"/>
      <c r="B657" s="2013"/>
      <c r="C657" s="2013"/>
      <c r="D657" s="2013"/>
      <c r="AB657" s="2010"/>
      <c r="AU657" s="2010"/>
      <c r="AV657" s="2010"/>
      <c r="AW657" s="2010"/>
      <c r="AX657" s="2010"/>
      <c r="AY657" s="2010"/>
      <c r="AZ657" s="2010"/>
      <c r="BA657" s="2010"/>
      <c r="BB657" s="2010"/>
      <c r="BC657" s="2010"/>
      <c r="BD657" s="2010"/>
      <c r="BE657" s="2010"/>
      <c r="BF657" s="2010"/>
      <c r="BG657" s="2010"/>
      <c r="BH657" s="2010"/>
      <c r="BI657" s="2010"/>
      <c r="BJ657" s="2010"/>
      <c r="BK657" s="2010"/>
      <c r="BL657" s="2010"/>
      <c r="BM657" s="2010"/>
      <c r="BN657" s="2010"/>
      <c r="BO657" s="2010"/>
      <c r="BP657" s="2010"/>
      <c r="BQ657" s="2010"/>
      <c r="BR657" s="2010"/>
      <c r="BS657" s="2010"/>
      <c r="BT657" s="2010"/>
      <c r="BU657" s="2010"/>
      <c r="BV657" s="2010"/>
      <c r="BW657" s="2010"/>
      <c r="BX657" s="2010"/>
      <c r="BY657" s="2010"/>
      <c r="BZ657" s="2010"/>
      <c r="CA657" s="2010"/>
      <c r="CB657" s="2010"/>
      <c r="CC657" s="2010"/>
      <c r="CD657" s="2010"/>
      <c r="CE657" s="2010"/>
      <c r="CF657" s="2010"/>
      <c r="CG657" s="2010"/>
      <c r="CH657" s="2010"/>
      <c r="CI657" s="2010"/>
      <c r="CJ657" s="2010"/>
      <c r="CK657" s="2010"/>
      <c r="CL657" s="2010"/>
      <c r="CM657" s="2010"/>
      <c r="CN657" s="2010"/>
      <c r="CO657" s="2010"/>
      <c r="CP657" s="2010"/>
      <c r="CQ657" s="2010"/>
      <c r="CR657" s="2010"/>
      <c r="CS657" s="2010"/>
      <c r="CT657" s="2010"/>
      <c r="CU657" s="2010"/>
      <c r="CV657" s="2010"/>
      <c r="CW657" s="2010"/>
      <c r="CX657" s="2010"/>
      <c r="CY657" s="2010"/>
      <c r="CZ657" s="2010"/>
      <c r="DA657" s="2010"/>
      <c r="DB657" s="2010"/>
      <c r="DC657" s="2010"/>
      <c r="DD657" s="2010"/>
      <c r="DE657" s="2010"/>
    </row>
    <row r="658" spans="1:109" s="2014" customFormat="1" x14ac:dyDescent="0.2">
      <c r="A658" s="2013"/>
      <c r="B658" s="2013"/>
      <c r="C658" s="2013"/>
      <c r="D658" s="2013"/>
      <c r="AB658" s="2010"/>
      <c r="AU658" s="2010"/>
      <c r="AV658" s="2010"/>
      <c r="AW658" s="2010"/>
      <c r="AX658" s="2010"/>
      <c r="AY658" s="2010"/>
      <c r="AZ658" s="2010"/>
      <c r="BA658" s="2010"/>
      <c r="BB658" s="2010"/>
      <c r="BC658" s="2010"/>
      <c r="BD658" s="2010"/>
      <c r="BE658" s="2010"/>
      <c r="BF658" s="2010"/>
      <c r="BG658" s="2010"/>
      <c r="BH658" s="2010"/>
      <c r="BI658" s="2010"/>
      <c r="BJ658" s="2010"/>
      <c r="BK658" s="2010"/>
      <c r="BL658" s="2010"/>
      <c r="BM658" s="2010"/>
      <c r="BN658" s="2010"/>
      <c r="BO658" s="2010"/>
      <c r="BP658" s="2010"/>
      <c r="BQ658" s="2010"/>
      <c r="BR658" s="2010"/>
      <c r="BS658" s="2010"/>
      <c r="BT658" s="2010"/>
      <c r="BU658" s="2010"/>
      <c r="BV658" s="2010"/>
      <c r="BW658" s="2010"/>
      <c r="BX658" s="2010"/>
      <c r="BY658" s="2010"/>
      <c r="BZ658" s="2010"/>
      <c r="CA658" s="2010"/>
      <c r="CB658" s="2010"/>
      <c r="CC658" s="2010"/>
      <c r="CD658" s="2010"/>
      <c r="CE658" s="2010"/>
      <c r="CF658" s="2010"/>
      <c r="CG658" s="2010"/>
      <c r="CH658" s="2010"/>
      <c r="CI658" s="2010"/>
      <c r="CJ658" s="2010"/>
      <c r="CK658" s="2010"/>
      <c r="CL658" s="2010"/>
      <c r="CM658" s="2010"/>
      <c r="CN658" s="2010"/>
      <c r="CO658" s="2010"/>
      <c r="CP658" s="2010"/>
      <c r="CQ658" s="2010"/>
      <c r="CR658" s="2010"/>
      <c r="CS658" s="2010"/>
      <c r="CT658" s="2010"/>
      <c r="CU658" s="2010"/>
      <c r="CV658" s="2010"/>
      <c r="CW658" s="2010"/>
      <c r="CX658" s="2010"/>
      <c r="CY658" s="2010"/>
      <c r="CZ658" s="2010"/>
      <c r="DA658" s="2010"/>
      <c r="DB658" s="2010"/>
      <c r="DC658" s="2010"/>
      <c r="DD658" s="2010"/>
      <c r="DE658" s="2010"/>
    </row>
    <row r="659" spans="1:109" s="2014" customFormat="1" x14ac:dyDescent="0.2">
      <c r="A659" s="2013"/>
      <c r="B659" s="2013"/>
      <c r="C659" s="2013"/>
      <c r="D659" s="2013"/>
      <c r="AB659" s="2010"/>
      <c r="AU659" s="2010"/>
      <c r="AV659" s="2010"/>
      <c r="AW659" s="2010"/>
      <c r="AX659" s="2010"/>
      <c r="AY659" s="2010"/>
      <c r="AZ659" s="2010"/>
      <c r="BA659" s="2010"/>
      <c r="BB659" s="2010"/>
      <c r="BC659" s="2010"/>
      <c r="BD659" s="2010"/>
      <c r="BE659" s="2010"/>
      <c r="BF659" s="2010"/>
      <c r="BG659" s="2010"/>
      <c r="BH659" s="2010"/>
      <c r="BI659" s="2010"/>
      <c r="BJ659" s="2010"/>
      <c r="BK659" s="2010"/>
      <c r="BL659" s="2010"/>
      <c r="BM659" s="2010"/>
      <c r="BN659" s="2010"/>
      <c r="BO659" s="2010"/>
      <c r="BP659" s="2010"/>
      <c r="BQ659" s="2010"/>
      <c r="BR659" s="2010"/>
      <c r="BS659" s="2010"/>
      <c r="BT659" s="2010"/>
      <c r="BU659" s="2010"/>
      <c r="BV659" s="2010"/>
      <c r="BW659" s="2010"/>
      <c r="BX659" s="2010"/>
      <c r="BY659" s="2010"/>
      <c r="BZ659" s="2010"/>
      <c r="CA659" s="2010"/>
      <c r="CB659" s="2010"/>
      <c r="CC659" s="2010"/>
      <c r="CD659" s="2010"/>
      <c r="CE659" s="2010"/>
      <c r="CF659" s="2010"/>
      <c r="CG659" s="2010"/>
      <c r="CH659" s="2010"/>
      <c r="CI659" s="2010"/>
      <c r="CJ659" s="2010"/>
      <c r="CK659" s="2010"/>
      <c r="CL659" s="2010"/>
      <c r="CM659" s="2010"/>
      <c r="CN659" s="2010"/>
      <c r="CO659" s="2010"/>
      <c r="CP659" s="2010"/>
      <c r="CQ659" s="2010"/>
      <c r="CR659" s="2010"/>
      <c r="CS659" s="2010"/>
      <c r="CT659" s="2010"/>
      <c r="CU659" s="2010"/>
      <c r="CV659" s="2010"/>
      <c r="CW659" s="2010"/>
      <c r="CX659" s="2010"/>
      <c r="CY659" s="2010"/>
      <c r="CZ659" s="2010"/>
      <c r="DA659" s="2010"/>
      <c r="DB659" s="2010"/>
      <c r="DC659" s="2010"/>
      <c r="DD659" s="2010"/>
      <c r="DE659" s="2010"/>
    </row>
    <row r="660" spans="1:109" s="2014" customFormat="1" x14ac:dyDescent="0.2">
      <c r="A660" s="2013"/>
      <c r="B660" s="2013"/>
      <c r="C660" s="2013"/>
      <c r="D660" s="2013"/>
      <c r="AB660" s="2010"/>
      <c r="AU660" s="2010"/>
      <c r="AV660" s="2010"/>
      <c r="AW660" s="2010"/>
      <c r="AX660" s="2010"/>
      <c r="AY660" s="2010"/>
      <c r="AZ660" s="2010"/>
      <c r="BA660" s="2010"/>
      <c r="BB660" s="2010"/>
      <c r="BC660" s="2010"/>
      <c r="BD660" s="2010"/>
      <c r="BE660" s="2010"/>
      <c r="BF660" s="2010"/>
      <c r="BG660" s="2010"/>
      <c r="BH660" s="2010"/>
      <c r="BI660" s="2010"/>
      <c r="BJ660" s="2010"/>
      <c r="BK660" s="2010"/>
      <c r="BL660" s="2010"/>
      <c r="BM660" s="2010"/>
      <c r="BN660" s="2010"/>
      <c r="BO660" s="2010"/>
      <c r="BP660" s="2010"/>
      <c r="BQ660" s="2010"/>
      <c r="BR660" s="2010"/>
      <c r="BS660" s="2010"/>
      <c r="BT660" s="2010"/>
      <c r="BU660" s="2010"/>
      <c r="BV660" s="2010"/>
      <c r="BW660" s="2010"/>
      <c r="BX660" s="2010"/>
      <c r="BY660" s="2010"/>
      <c r="BZ660" s="2010"/>
      <c r="CA660" s="2010"/>
      <c r="CB660" s="2010"/>
      <c r="CC660" s="2010"/>
      <c r="CD660" s="2010"/>
      <c r="CE660" s="2010"/>
      <c r="CF660" s="2010"/>
      <c r="CG660" s="2010"/>
      <c r="CH660" s="2010"/>
      <c r="CI660" s="2010"/>
      <c r="CJ660" s="2010"/>
      <c r="CK660" s="2010"/>
      <c r="CL660" s="2010"/>
      <c r="CM660" s="2010"/>
      <c r="CN660" s="2010"/>
      <c r="CO660" s="2010"/>
      <c r="CP660" s="2010"/>
      <c r="CQ660" s="2010"/>
      <c r="CR660" s="2010"/>
      <c r="CS660" s="2010"/>
      <c r="CT660" s="2010"/>
      <c r="CU660" s="2010"/>
      <c r="CV660" s="2010"/>
      <c r="CW660" s="2010"/>
      <c r="CX660" s="2010"/>
      <c r="CY660" s="2010"/>
      <c r="CZ660" s="2010"/>
      <c r="DA660" s="2010"/>
      <c r="DB660" s="2010"/>
      <c r="DC660" s="2010"/>
      <c r="DD660" s="2010"/>
      <c r="DE660" s="2010"/>
    </row>
    <row r="661" spans="1:109" s="2014" customFormat="1" x14ac:dyDescent="0.2">
      <c r="A661" s="2013"/>
      <c r="B661" s="2013"/>
      <c r="C661" s="2013"/>
      <c r="D661" s="2013"/>
      <c r="AB661" s="2010"/>
      <c r="AU661" s="2010"/>
      <c r="AV661" s="2010"/>
      <c r="AW661" s="2010"/>
      <c r="AX661" s="2010"/>
      <c r="AY661" s="2010"/>
      <c r="AZ661" s="2010"/>
      <c r="BA661" s="2010"/>
      <c r="BB661" s="2010"/>
      <c r="BC661" s="2010"/>
      <c r="BD661" s="2010"/>
      <c r="BE661" s="2010"/>
      <c r="BF661" s="2010"/>
      <c r="BG661" s="2010"/>
      <c r="BH661" s="2010"/>
      <c r="BI661" s="2010"/>
      <c r="BJ661" s="2010"/>
      <c r="BK661" s="2010"/>
      <c r="BL661" s="2010"/>
      <c r="BM661" s="2010"/>
      <c r="BN661" s="2010"/>
      <c r="BO661" s="2010"/>
      <c r="BP661" s="2010"/>
      <c r="BQ661" s="2010"/>
      <c r="BR661" s="2010"/>
      <c r="BS661" s="2010"/>
      <c r="BT661" s="2010"/>
      <c r="BU661" s="2010"/>
      <c r="BV661" s="2010"/>
      <c r="BW661" s="2010"/>
      <c r="BX661" s="2010"/>
      <c r="BY661" s="2010"/>
      <c r="BZ661" s="2010"/>
      <c r="CA661" s="2010"/>
      <c r="CB661" s="2010"/>
      <c r="CC661" s="2010"/>
      <c r="CD661" s="2010"/>
      <c r="CE661" s="2010"/>
      <c r="CF661" s="2010"/>
      <c r="CG661" s="2010"/>
      <c r="CH661" s="2010"/>
      <c r="CI661" s="2010"/>
      <c r="CJ661" s="2010"/>
      <c r="CK661" s="2010"/>
      <c r="CL661" s="2010"/>
      <c r="CM661" s="2010"/>
      <c r="CN661" s="2010"/>
      <c r="CO661" s="2010"/>
      <c r="CP661" s="2010"/>
      <c r="CQ661" s="2010"/>
      <c r="CR661" s="2010"/>
      <c r="CS661" s="2010"/>
      <c r="CT661" s="2010"/>
      <c r="CU661" s="2010"/>
      <c r="CV661" s="2010"/>
      <c r="CW661" s="2010"/>
      <c r="CX661" s="2010"/>
      <c r="CY661" s="2010"/>
      <c r="CZ661" s="2010"/>
      <c r="DA661" s="2010"/>
      <c r="DB661" s="2010"/>
      <c r="DC661" s="2010"/>
      <c r="DD661" s="2010"/>
      <c r="DE661" s="2010"/>
    </row>
    <row r="662" spans="1:109" s="2014" customFormat="1" x14ac:dyDescent="0.2">
      <c r="A662" s="2013"/>
      <c r="B662" s="2013"/>
      <c r="C662" s="2013"/>
      <c r="D662" s="2013"/>
      <c r="AB662" s="2010"/>
      <c r="AU662" s="2010"/>
      <c r="AV662" s="2010"/>
      <c r="AW662" s="2010"/>
      <c r="AX662" s="2010"/>
      <c r="AY662" s="2010"/>
      <c r="AZ662" s="2010"/>
      <c r="BA662" s="2010"/>
      <c r="BB662" s="2010"/>
      <c r="BC662" s="2010"/>
      <c r="BD662" s="2010"/>
      <c r="BE662" s="2010"/>
      <c r="BF662" s="2010"/>
      <c r="BG662" s="2010"/>
      <c r="BH662" s="2010"/>
      <c r="BI662" s="2010"/>
      <c r="BJ662" s="2010"/>
      <c r="BK662" s="2010"/>
      <c r="BL662" s="2010"/>
      <c r="BM662" s="2010"/>
      <c r="BN662" s="2010"/>
      <c r="BO662" s="2010"/>
      <c r="BP662" s="2010"/>
      <c r="BQ662" s="2010"/>
      <c r="BR662" s="2010"/>
      <c r="BS662" s="2010"/>
      <c r="BT662" s="2010"/>
      <c r="BU662" s="2010"/>
      <c r="BV662" s="2010"/>
      <c r="BW662" s="2010"/>
      <c r="BX662" s="2010"/>
      <c r="BY662" s="2010"/>
      <c r="BZ662" s="2010"/>
      <c r="CA662" s="2010"/>
      <c r="CB662" s="2010"/>
      <c r="CC662" s="2010"/>
      <c r="CD662" s="2010"/>
      <c r="CE662" s="2010"/>
      <c r="CF662" s="2010"/>
      <c r="CG662" s="2010"/>
      <c r="CH662" s="2010"/>
      <c r="CI662" s="2010"/>
      <c r="CJ662" s="2010"/>
      <c r="CK662" s="2010"/>
      <c r="CL662" s="2010"/>
      <c r="CM662" s="2010"/>
      <c r="CN662" s="2010"/>
      <c r="CO662" s="2010"/>
      <c r="CP662" s="2010"/>
      <c r="CQ662" s="2010"/>
      <c r="CR662" s="2010"/>
      <c r="CS662" s="2010"/>
      <c r="CT662" s="2010"/>
      <c r="CU662" s="2010"/>
      <c r="CV662" s="2010"/>
      <c r="CW662" s="2010"/>
      <c r="CX662" s="2010"/>
      <c r="CY662" s="2010"/>
      <c r="CZ662" s="2010"/>
      <c r="DA662" s="2010"/>
      <c r="DB662" s="2010"/>
      <c r="DC662" s="2010"/>
      <c r="DD662" s="2010"/>
      <c r="DE662" s="2010"/>
    </row>
    <row r="663" spans="1:109" s="2014" customFormat="1" x14ac:dyDescent="0.2">
      <c r="A663" s="2013"/>
      <c r="B663" s="2013"/>
      <c r="C663" s="2013"/>
      <c r="D663" s="2013"/>
      <c r="AB663" s="2010"/>
      <c r="AU663" s="2010"/>
      <c r="AV663" s="2010"/>
      <c r="AW663" s="2010"/>
      <c r="AX663" s="2010"/>
      <c r="AY663" s="2010"/>
      <c r="AZ663" s="2010"/>
      <c r="BA663" s="2010"/>
      <c r="BB663" s="2010"/>
      <c r="BC663" s="2010"/>
      <c r="BD663" s="2010"/>
      <c r="BE663" s="2010"/>
      <c r="BF663" s="2010"/>
      <c r="BG663" s="2010"/>
      <c r="BH663" s="2010"/>
      <c r="BI663" s="2010"/>
      <c r="BJ663" s="2010"/>
      <c r="BK663" s="2010"/>
      <c r="BL663" s="2010"/>
      <c r="BM663" s="2010"/>
      <c r="BN663" s="2010"/>
      <c r="BO663" s="2010"/>
      <c r="BP663" s="2010"/>
      <c r="BQ663" s="2010"/>
      <c r="BR663" s="2010"/>
      <c r="BS663" s="2010"/>
      <c r="BT663" s="2010"/>
      <c r="BU663" s="2010"/>
      <c r="BV663" s="2010"/>
      <c r="BW663" s="2010"/>
      <c r="BX663" s="2010"/>
      <c r="BY663" s="2010"/>
      <c r="BZ663" s="2010"/>
      <c r="CA663" s="2010"/>
      <c r="CB663" s="2010"/>
      <c r="CC663" s="2010"/>
      <c r="CD663" s="2010"/>
      <c r="CE663" s="2010"/>
      <c r="CF663" s="2010"/>
      <c r="CG663" s="2010"/>
      <c r="CH663" s="2010"/>
      <c r="CI663" s="2010"/>
      <c r="CJ663" s="2010"/>
      <c r="CK663" s="2010"/>
      <c r="CL663" s="2010"/>
      <c r="CM663" s="2010"/>
      <c r="CN663" s="2010"/>
      <c r="CO663" s="2010"/>
      <c r="CP663" s="2010"/>
      <c r="CQ663" s="2010"/>
      <c r="CR663" s="2010"/>
      <c r="CS663" s="2010"/>
      <c r="CT663" s="2010"/>
      <c r="CU663" s="2010"/>
      <c r="CV663" s="2010"/>
      <c r="CW663" s="2010"/>
      <c r="CX663" s="2010"/>
      <c r="CY663" s="2010"/>
      <c r="CZ663" s="2010"/>
      <c r="DA663" s="2010"/>
      <c r="DB663" s="2010"/>
      <c r="DC663" s="2010"/>
      <c r="DD663" s="2010"/>
      <c r="DE663" s="2010"/>
    </row>
    <row r="664" spans="1:109" s="2014" customFormat="1" x14ac:dyDescent="0.2">
      <c r="A664" s="2013"/>
      <c r="B664" s="2013"/>
      <c r="C664" s="2013"/>
      <c r="D664" s="2013"/>
      <c r="AB664" s="2010"/>
      <c r="AU664" s="2010"/>
      <c r="AV664" s="2010"/>
      <c r="AW664" s="2010"/>
      <c r="AX664" s="2010"/>
      <c r="AY664" s="2010"/>
      <c r="AZ664" s="2010"/>
      <c r="BA664" s="2010"/>
      <c r="BB664" s="2010"/>
      <c r="BC664" s="2010"/>
      <c r="BD664" s="2010"/>
      <c r="BE664" s="2010"/>
      <c r="BF664" s="2010"/>
      <c r="BG664" s="2010"/>
      <c r="BH664" s="2010"/>
      <c r="BI664" s="2010"/>
      <c r="BJ664" s="2010"/>
      <c r="BK664" s="2010"/>
      <c r="BL664" s="2010"/>
      <c r="BM664" s="2010"/>
      <c r="BN664" s="2010"/>
      <c r="BO664" s="2010"/>
      <c r="BP664" s="2010"/>
      <c r="BQ664" s="2010"/>
      <c r="BR664" s="2010"/>
      <c r="BS664" s="2010"/>
      <c r="BT664" s="2010"/>
      <c r="BU664" s="2010"/>
      <c r="BV664" s="2010"/>
      <c r="BW664" s="2010"/>
      <c r="BX664" s="2010"/>
      <c r="BY664" s="2010"/>
      <c r="BZ664" s="2010"/>
      <c r="CA664" s="2010"/>
      <c r="CB664" s="2010"/>
      <c r="CC664" s="2010"/>
      <c r="CD664" s="2010"/>
      <c r="CE664" s="2010"/>
      <c r="CF664" s="2010"/>
      <c r="CG664" s="2010"/>
      <c r="CH664" s="2010"/>
      <c r="CI664" s="2010"/>
      <c r="CJ664" s="2010"/>
      <c r="CK664" s="2010"/>
      <c r="CL664" s="2010"/>
      <c r="CM664" s="2010"/>
      <c r="CN664" s="2010"/>
      <c r="CO664" s="2010"/>
      <c r="CP664" s="2010"/>
      <c r="CQ664" s="2010"/>
      <c r="CR664" s="2010"/>
      <c r="CS664" s="2010"/>
      <c r="CT664" s="2010"/>
      <c r="CU664" s="2010"/>
      <c r="CV664" s="2010"/>
      <c r="CW664" s="2010"/>
      <c r="CX664" s="2010"/>
      <c r="CY664" s="2010"/>
      <c r="CZ664" s="2010"/>
      <c r="DA664" s="2010"/>
      <c r="DB664" s="2010"/>
      <c r="DC664" s="2010"/>
      <c r="DD664" s="2010"/>
      <c r="DE664" s="2010"/>
    </row>
    <row r="665" spans="1:109" s="2014" customFormat="1" x14ac:dyDescent="0.2">
      <c r="A665" s="2013"/>
      <c r="B665" s="2013"/>
      <c r="C665" s="2013"/>
      <c r="D665" s="2013"/>
      <c r="AB665" s="2010"/>
      <c r="AU665" s="2010"/>
      <c r="AV665" s="2010"/>
      <c r="AW665" s="2010"/>
      <c r="AX665" s="2010"/>
      <c r="AY665" s="2010"/>
      <c r="AZ665" s="2010"/>
      <c r="BA665" s="2010"/>
      <c r="BB665" s="2010"/>
      <c r="BC665" s="2010"/>
      <c r="BD665" s="2010"/>
      <c r="BE665" s="2010"/>
      <c r="BF665" s="2010"/>
      <c r="BG665" s="2010"/>
      <c r="BH665" s="2010"/>
      <c r="BI665" s="2010"/>
      <c r="BJ665" s="2010"/>
      <c r="BK665" s="2010"/>
      <c r="BL665" s="2010"/>
      <c r="BM665" s="2010"/>
      <c r="BN665" s="2010"/>
      <c r="BO665" s="2010"/>
      <c r="BP665" s="2010"/>
      <c r="BQ665" s="2010"/>
      <c r="BR665" s="2010"/>
      <c r="BS665" s="2010"/>
      <c r="BT665" s="2010"/>
      <c r="BU665" s="2010"/>
      <c r="BV665" s="2010"/>
      <c r="BW665" s="2010"/>
      <c r="BX665" s="2010"/>
      <c r="BY665" s="2010"/>
      <c r="BZ665" s="2010"/>
      <c r="CA665" s="2010"/>
      <c r="CB665" s="2010"/>
      <c r="CC665" s="2010"/>
      <c r="CD665" s="2010"/>
      <c r="CE665" s="2010"/>
      <c r="CF665" s="2010"/>
      <c r="CG665" s="2010"/>
      <c r="CH665" s="2010"/>
      <c r="CI665" s="2010"/>
      <c r="CJ665" s="2010"/>
      <c r="CK665" s="2010"/>
      <c r="CL665" s="2010"/>
      <c r="CM665" s="2010"/>
      <c r="CN665" s="2010"/>
      <c r="CO665" s="2010"/>
      <c r="CP665" s="2010"/>
      <c r="CQ665" s="2010"/>
      <c r="CR665" s="2010"/>
      <c r="CS665" s="2010"/>
      <c r="CT665" s="2010"/>
      <c r="CU665" s="2010"/>
      <c r="CV665" s="2010"/>
      <c r="CW665" s="2010"/>
      <c r="CX665" s="2010"/>
      <c r="CY665" s="2010"/>
      <c r="CZ665" s="2010"/>
      <c r="DA665" s="2010"/>
      <c r="DB665" s="2010"/>
      <c r="DC665" s="2010"/>
      <c r="DD665" s="2010"/>
      <c r="DE665" s="2010"/>
    </row>
    <row r="666" spans="1:109" s="2014" customFormat="1" x14ac:dyDescent="0.2">
      <c r="A666" s="2013"/>
      <c r="B666" s="2013"/>
      <c r="C666" s="2013"/>
      <c r="D666" s="2013"/>
      <c r="AB666" s="2010"/>
      <c r="AU666" s="2010"/>
      <c r="AV666" s="2010"/>
      <c r="AW666" s="2010"/>
      <c r="AX666" s="2010"/>
      <c r="AY666" s="2010"/>
      <c r="AZ666" s="2010"/>
      <c r="BA666" s="2010"/>
      <c r="BB666" s="2010"/>
      <c r="BC666" s="2010"/>
      <c r="BD666" s="2010"/>
      <c r="BE666" s="2010"/>
      <c r="BF666" s="2010"/>
      <c r="BG666" s="2010"/>
      <c r="BH666" s="2010"/>
      <c r="BI666" s="2010"/>
      <c r="BJ666" s="2010"/>
      <c r="BK666" s="2010"/>
      <c r="BL666" s="2010"/>
      <c r="BM666" s="2010"/>
      <c r="BN666" s="2010"/>
      <c r="BO666" s="2010"/>
      <c r="BP666" s="2010"/>
      <c r="BQ666" s="2010"/>
      <c r="BR666" s="2010"/>
      <c r="BS666" s="2010"/>
      <c r="BT666" s="2010"/>
      <c r="BU666" s="2010"/>
      <c r="BV666" s="2010"/>
      <c r="BW666" s="2010"/>
      <c r="BX666" s="2010"/>
      <c r="BY666" s="2010"/>
      <c r="BZ666" s="2010"/>
      <c r="CA666" s="2010"/>
      <c r="CB666" s="2010"/>
      <c r="CC666" s="2010"/>
      <c r="CD666" s="2010"/>
      <c r="CE666" s="2010"/>
      <c r="CF666" s="2010"/>
      <c r="CG666" s="2010"/>
      <c r="CH666" s="2010"/>
      <c r="CI666" s="2010"/>
      <c r="CJ666" s="2010"/>
      <c r="CK666" s="2010"/>
      <c r="CL666" s="2010"/>
      <c r="CM666" s="2010"/>
      <c r="CN666" s="2010"/>
      <c r="CO666" s="2010"/>
      <c r="CP666" s="2010"/>
      <c r="CQ666" s="2010"/>
      <c r="CR666" s="2010"/>
      <c r="CS666" s="2010"/>
      <c r="CT666" s="2010"/>
      <c r="CU666" s="2010"/>
      <c r="CV666" s="2010"/>
      <c r="CW666" s="2010"/>
      <c r="CX666" s="2010"/>
      <c r="CY666" s="2010"/>
      <c r="CZ666" s="2010"/>
      <c r="DA666" s="2010"/>
      <c r="DB666" s="2010"/>
      <c r="DC666" s="2010"/>
      <c r="DD666" s="2010"/>
      <c r="DE666" s="2010"/>
    </row>
    <row r="667" spans="1:109" s="2014" customFormat="1" x14ac:dyDescent="0.2">
      <c r="A667" s="2013"/>
      <c r="B667" s="2013"/>
      <c r="C667" s="2013"/>
      <c r="D667" s="2013"/>
      <c r="AB667" s="2010"/>
      <c r="AU667" s="2010"/>
      <c r="AV667" s="2010"/>
      <c r="AW667" s="2010"/>
      <c r="AX667" s="2010"/>
      <c r="AY667" s="2010"/>
      <c r="AZ667" s="2010"/>
      <c r="BA667" s="2010"/>
      <c r="BB667" s="2010"/>
      <c r="BC667" s="2010"/>
      <c r="BD667" s="2010"/>
      <c r="BE667" s="2010"/>
      <c r="BF667" s="2010"/>
      <c r="BG667" s="2010"/>
      <c r="BH667" s="2010"/>
      <c r="BI667" s="2010"/>
      <c r="BJ667" s="2010"/>
      <c r="BK667" s="2010"/>
      <c r="BL667" s="2010"/>
      <c r="BM667" s="2010"/>
      <c r="BN667" s="2010"/>
      <c r="BO667" s="2010"/>
      <c r="BP667" s="2010"/>
      <c r="BQ667" s="2010"/>
      <c r="BR667" s="2010"/>
      <c r="BS667" s="2010"/>
      <c r="BT667" s="2010"/>
      <c r="BU667" s="2010"/>
      <c r="BV667" s="2010"/>
      <c r="BW667" s="2010"/>
      <c r="BX667" s="2010"/>
      <c r="BY667" s="2010"/>
      <c r="BZ667" s="2010"/>
      <c r="CA667" s="2010"/>
      <c r="CB667" s="2010"/>
      <c r="CC667" s="2010"/>
      <c r="CD667" s="2010"/>
      <c r="CE667" s="2010"/>
      <c r="CF667" s="2010"/>
      <c r="CG667" s="2010"/>
      <c r="CH667" s="2010"/>
      <c r="CI667" s="2010"/>
      <c r="CJ667" s="2010"/>
      <c r="CK667" s="2010"/>
      <c r="CL667" s="2010"/>
      <c r="CM667" s="2010"/>
      <c r="CN667" s="2010"/>
      <c r="CO667" s="2010"/>
      <c r="CP667" s="2010"/>
      <c r="CQ667" s="2010"/>
      <c r="CR667" s="2010"/>
      <c r="CS667" s="2010"/>
      <c r="CT667" s="2010"/>
      <c r="CU667" s="2010"/>
      <c r="CV667" s="2010"/>
      <c r="CW667" s="2010"/>
      <c r="CX667" s="2010"/>
      <c r="CY667" s="2010"/>
      <c r="CZ667" s="2010"/>
      <c r="DA667" s="2010"/>
      <c r="DB667" s="2010"/>
      <c r="DC667" s="2010"/>
      <c r="DD667" s="2010"/>
      <c r="DE667" s="2010"/>
    </row>
    <row r="668" spans="1:109" s="2014" customFormat="1" x14ac:dyDescent="0.2">
      <c r="A668" s="2013"/>
      <c r="B668" s="2013"/>
      <c r="C668" s="2013"/>
      <c r="D668" s="2013"/>
      <c r="AB668" s="2010"/>
      <c r="AU668" s="2010"/>
      <c r="AV668" s="2010"/>
      <c r="AW668" s="2010"/>
      <c r="AX668" s="2010"/>
      <c r="AY668" s="2010"/>
      <c r="AZ668" s="2010"/>
      <c r="BA668" s="2010"/>
      <c r="BB668" s="2010"/>
      <c r="BC668" s="2010"/>
      <c r="BD668" s="2010"/>
      <c r="BE668" s="2010"/>
      <c r="BF668" s="2010"/>
      <c r="BG668" s="2010"/>
      <c r="BH668" s="2010"/>
      <c r="BI668" s="2010"/>
      <c r="BJ668" s="2010"/>
      <c r="BK668" s="2010"/>
      <c r="BL668" s="2010"/>
      <c r="BM668" s="2010"/>
      <c r="BN668" s="2010"/>
      <c r="BO668" s="2010"/>
      <c r="BP668" s="2010"/>
      <c r="BQ668" s="2010"/>
      <c r="BR668" s="2010"/>
      <c r="BS668" s="2010"/>
      <c r="BT668" s="2010"/>
      <c r="BU668" s="2010"/>
      <c r="BV668" s="2010"/>
      <c r="BW668" s="2010"/>
      <c r="BX668" s="2010"/>
      <c r="BY668" s="2010"/>
      <c r="BZ668" s="2010"/>
      <c r="CA668" s="2010"/>
      <c r="CB668" s="2010"/>
      <c r="CC668" s="2010"/>
      <c r="CD668" s="2010"/>
      <c r="CE668" s="2010"/>
      <c r="CF668" s="2010"/>
      <c r="CG668" s="2010"/>
      <c r="CH668" s="2010"/>
      <c r="CI668" s="2010"/>
      <c r="CJ668" s="2010"/>
      <c r="CK668" s="2010"/>
      <c r="CL668" s="2010"/>
      <c r="CM668" s="2010"/>
      <c r="CN668" s="2010"/>
      <c r="CO668" s="2010"/>
      <c r="CP668" s="2010"/>
      <c r="CQ668" s="2010"/>
      <c r="CR668" s="2010"/>
      <c r="CS668" s="2010"/>
      <c r="CT668" s="2010"/>
      <c r="CU668" s="2010"/>
      <c r="CV668" s="2010"/>
      <c r="CW668" s="2010"/>
      <c r="CX668" s="2010"/>
      <c r="CY668" s="2010"/>
      <c r="CZ668" s="2010"/>
      <c r="DA668" s="2010"/>
      <c r="DB668" s="2010"/>
      <c r="DC668" s="2010"/>
      <c r="DD668" s="2010"/>
      <c r="DE668" s="2010"/>
    </row>
    <row r="669" spans="1:109" s="2014" customFormat="1" x14ac:dyDescent="0.2">
      <c r="A669" s="2013"/>
      <c r="B669" s="2013"/>
      <c r="C669" s="2013"/>
      <c r="D669" s="2013"/>
      <c r="AB669" s="2010"/>
      <c r="AU669" s="2010"/>
      <c r="AV669" s="2010"/>
      <c r="AW669" s="2010"/>
      <c r="AX669" s="2010"/>
      <c r="AY669" s="2010"/>
      <c r="AZ669" s="2010"/>
      <c r="BA669" s="2010"/>
      <c r="BB669" s="2010"/>
      <c r="BC669" s="2010"/>
      <c r="BD669" s="2010"/>
      <c r="BE669" s="2010"/>
      <c r="BF669" s="2010"/>
      <c r="BG669" s="2010"/>
      <c r="BH669" s="2010"/>
      <c r="BI669" s="2010"/>
      <c r="BJ669" s="2010"/>
      <c r="BK669" s="2010"/>
      <c r="BL669" s="2010"/>
      <c r="BM669" s="2010"/>
      <c r="BN669" s="2010"/>
      <c r="BO669" s="2010"/>
      <c r="BP669" s="2010"/>
      <c r="BQ669" s="2010"/>
      <c r="BR669" s="2010"/>
      <c r="BS669" s="2010"/>
      <c r="BT669" s="2010"/>
      <c r="BU669" s="2010"/>
      <c r="BV669" s="2010"/>
      <c r="BW669" s="2010"/>
      <c r="BX669" s="2010"/>
      <c r="BY669" s="2010"/>
      <c r="BZ669" s="2010"/>
      <c r="CA669" s="2010"/>
      <c r="CB669" s="2010"/>
      <c r="CC669" s="2010"/>
      <c r="CD669" s="2010"/>
      <c r="CE669" s="2010"/>
      <c r="CF669" s="2010"/>
      <c r="CG669" s="2010"/>
      <c r="CH669" s="2010"/>
      <c r="CI669" s="2010"/>
      <c r="CJ669" s="2010"/>
      <c r="CK669" s="2010"/>
      <c r="CL669" s="2010"/>
      <c r="CM669" s="2010"/>
      <c r="CN669" s="2010"/>
      <c r="CO669" s="2010"/>
      <c r="CP669" s="2010"/>
      <c r="CQ669" s="2010"/>
      <c r="CR669" s="2010"/>
      <c r="CS669" s="2010"/>
      <c r="CT669" s="2010"/>
      <c r="CU669" s="2010"/>
      <c r="CV669" s="2010"/>
      <c r="CW669" s="2010"/>
      <c r="CX669" s="2010"/>
      <c r="CY669" s="2010"/>
      <c r="CZ669" s="2010"/>
      <c r="DA669" s="2010"/>
      <c r="DB669" s="2010"/>
      <c r="DC669" s="2010"/>
      <c r="DD669" s="2010"/>
      <c r="DE669" s="2010"/>
    </row>
    <row r="670" spans="1:109" s="2014" customFormat="1" x14ac:dyDescent="0.2">
      <c r="A670" s="2013"/>
      <c r="B670" s="2013"/>
      <c r="C670" s="2013"/>
      <c r="D670" s="2013"/>
      <c r="AB670" s="2010"/>
      <c r="AU670" s="2010"/>
      <c r="AV670" s="2010"/>
      <c r="AW670" s="2010"/>
      <c r="AX670" s="2010"/>
      <c r="AY670" s="2010"/>
      <c r="AZ670" s="2010"/>
      <c r="BA670" s="2010"/>
      <c r="BB670" s="2010"/>
      <c r="BC670" s="2010"/>
      <c r="BD670" s="2010"/>
      <c r="BE670" s="2010"/>
      <c r="BF670" s="2010"/>
      <c r="BG670" s="2010"/>
      <c r="BH670" s="2010"/>
      <c r="BI670" s="2010"/>
      <c r="BJ670" s="2010"/>
      <c r="BK670" s="2010"/>
      <c r="BL670" s="2010"/>
      <c r="BM670" s="2010"/>
      <c r="BN670" s="2010"/>
      <c r="BO670" s="2010"/>
      <c r="BP670" s="2010"/>
      <c r="BQ670" s="2010"/>
      <c r="BR670" s="2010"/>
      <c r="BS670" s="2010"/>
      <c r="BT670" s="2010"/>
      <c r="BU670" s="2010"/>
      <c r="BV670" s="2010"/>
      <c r="BW670" s="2010"/>
      <c r="BX670" s="2010"/>
      <c r="BY670" s="2010"/>
      <c r="BZ670" s="2010"/>
      <c r="CA670" s="2010"/>
      <c r="CB670" s="2010"/>
      <c r="CC670" s="2010"/>
      <c r="CD670" s="2010"/>
      <c r="CE670" s="2010"/>
      <c r="CF670" s="2010"/>
      <c r="CG670" s="2010"/>
      <c r="CH670" s="2010"/>
      <c r="CI670" s="2010"/>
      <c r="CJ670" s="2010"/>
      <c r="CK670" s="2010"/>
      <c r="CL670" s="2010"/>
      <c r="CM670" s="2010"/>
      <c r="CN670" s="2010"/>
      <c r="CO670" s="2010"/>
      <c r="CP670" s="2010"/>
      <c r="CQ670" s="2010"/>
      <c r="CR670" s="2010"/>
      <c r="CS670" s="2010"/>
      <c r="CT670" s="2010"/>
      <c r="CU670" s="2010"/>
      <c r="CV670" s="2010"/>
      <c r="CW670" s="2010"/>
      <c r="CX670" s="2010"/>
      <c r="CY670" s="2010"/>
      <c r="CZ670" s="2010"/>
      <c r="DA670" s="2010"/>
      <c r="DB670" s="2010"/>
      <c r="DC670" s="2010"/>
      <c r="DD670" s="2010"/>
      <c r="DE670" s="2010"/>
    </row>
    <row r="671" spans="1:109" s="2014" customFormat="1" x14ac:dyDescent="0.2">
      <c r="A671" s="2013"/>
      <c r="B671" s="2013"/>
      <c r="C671" s="2013"/>
      <c r="D671" s="2013"/>
      <c r="AB671" s="2010"/>
      <c r="AU671" s="2010"/>
      <c r="AV671" s="2010"/>
      <c r="AW671" s="2010"/>
      <c r="AX671" s="2010"/>
      <c r="AY671" s="2010"/>
      <c r="AZ671" s="2010"/>
      <c r="BA671" s="2010"/>
      <c r="BB671" s="2010"/>
      <c r="BC671" s="2010"/>
      <c r="BD671" s="2010"/>
      <c r="BE671" s="2010"/>
      <c r="BF671" s="2010"/>
      <c r="BG671" s="2010"/>
      <c r="BH671" s="2010"/>
      <c r="BI671" s="2010"/>
      <c r="BJ671" s="2010"/>
      <c r="BK671" s="2010"/>
      <c r="BL671" s="2010"/>
      <c r="BM671" s="2010"/>
      <c r="BN671" s="2010"/>
      <c r="BO671" s="2010"/>
      <c r="BP671" s="2010"/>
      <c r="BQ671" s="2010"/>
      <c r="BR671" s="2010"/>
      <c r="BS671" s="2010"/>
      <c r="BT671" s="2010"/>
      <c r="BU671" s="2010"/>
      <c r="BV671" s="2010"/>
      <c r="BW671" s="2010"/>
      <c r="BX671" s="2010"/>
      <c r="BY671" s="2010"/>
      <c r="BZ671" s="2010"/>
      <c r="CA671" s="2010"/>
      <c r="CB671" s="2010"/>
      <c r="CC671" s="2010"/>
      <c r="CD671" s="2010"/>
      <c r="CE671" s="2010"/>
      <c r="CF671" s="2010"/>
      <c r="CG671" s="2010"/>
      <c r="CH671" s="2010"/>
      <c r="CI671" s="2010"/>
      <c r="CJ671" s="2010"/>
      <c r="CK671" s="2010"/>
      <c r="CL671" s="2010"/>
      <c r="CM671" s="2010"/>
      <c r="CN671" s="2010"/>
      <c r="CO671" s="2010"/>
      <c r="CP671" s="2010"/>
      <c r="CQ671" s="2010"/>
      <c r="CR671" s="2010"/>
      <c r="CS671" s="2010"/>
      <c r="CT671" s="2010"/>
      <c r="CU671" s="2010"/>
      <c r="CV671" s="2010"/>
      <c r="CW671" s="2010"/>
      <c r="CX671" s="2010"/>
      <c r="CY671" s="2010"/>
      <c r="CZ671" s="2010"/>
      <c r="DA671" s="2010"/>
      <c r="DB671" s="2010"/>
      <c r="DC671" s="2010"/>
      <c r="DD671" s="2010"/>
      <c r="DE671" s="2010"/>
    </row>
    <row r="672" spans="1:109" s="2014" customFormat="1" x14ac:dyDescent="0.2">
      <c r="A672" s="2013"/>
      <c r="B672" s="2013"/>
      <c r="C672" s="2013"/>
      <c r="D672" s="2013"/>
      <c r="AB672" s="2010"/>
      <c r="AU672" s="2010"/>
      <c r="AV672" s="2010"/>
      <c r="AW672" s="2010"/>
      <c r="AX672" s="2010"/>
      <c r="AY672" s="2010"/>
      <c r="AZ672" s="2010"/>
      <c r="BA672" s="2010"/>
      <c r="BB672" s="2010"/>
      <c r="BC672" s="2010"/>
      <c r="BD672" s="2010"/>
      <c r="BE672" s="2010"/>
      <c r="BF672" s="2010"/>
      <c r="BG672" s="2010"/>
      <c r="BH672" s="2010"/>
      <c r="BI672" s="2010"/>
      <c r="BJ672" s="2010"/>
      <c r="BK672" s="2010"/>
      <c r="BL672" s="2010"/>
      <c r="BM672" s="2010"/>
      <c r="BN672" s="2010"/>
      <c r="BO672" s="2010"/>
      <c r="BP672" s="2010"/>
      <c r="BQ672" s="2010"/>
      <c r="BR672" s="2010"/>
      <c r="BS672" s="2010"/>
      <c r="BT672" s="2010"/>
      <c r="BU672" s="2010"/>
      <c r="BV672" s="2010"/>
      <c r="BW672" s="2010"/>
      <c r="BX672" s="2010"/>
      <c r="BY672" s="2010"/>
      <c r="BZ672" s="2010"/>
      <c r="CA672" s="2010"/>
      <c r="CB672" s="2010"/>
      <c r="CC672" s="2010"/>
      <c r="CD672" s="2010"/>
      <c r="CE672" s="2010"/>
      <c r="CF672" s="2010"/>
      <c r="CG672" s="2010"/>
      <c r="CH672" s="2010"/>
      <c r="CI672" s="2010"/>
      <c r="CJ672" s="2010"/>
      <c r="CK672" s="2010"/>
      <c r="CL672" s="2010"/>
      <c r="CM672" s="2010"/>
      <c r="CN672" s="2010"/>
      <c r="CO672" s="2010"/>
      <c r="CP672" s="2010"/>
      <c r="CQ672" s="2010"/>
      <c r="CR672" s="2010"/>
      <c r="CS672" s="2010"/>
      <c r="CT672" s="2010"/>
      <c r="CU672" s="2010"/>
      <c r="CV672" s="2010"/>
      <c r="CW672" s="2010"/>
      <c r="CX672" s="2010"/>
      <c r="CY672" s="2010"/>
      <c r="CZ672" s="2010"/>
      <c r="DA672" s="2010"/>
      <c r="DB672" s="2010"/>
      <c r="DC672" s="2010"/>
      <c r="DD672" s="2010"/>
      <c r="DE672" s="2010"/>
    </row>
    <row r="673" spans="1:109" s="2014" customFormat="1" x14ac:dyDescent="0.2">
      <c r="A673" s="2013"/>
      <c r="B673" s="2013"/>
      <c r="C673" s="2013"/>
      <c r="D673" s="2013"/>
      <c r="AB673" s="2010"/>
      <c r="AU673" s="2010"/>
      <c r="AV673" s="2010"/>
      <c r="AW673" s="2010"/>
      <c r="AX673" s="2010"/>
      <c r="AY673" s="2010"/>
      <c r="AZ673" s="2010"/>
      <c r="BA673" s="2010"/>
      <c r="BB673" s="2010"/>
      <c r="BC673" s="2010"/>
      <c r="BD673" s="2010"/>
      <c r="BE673" s="2010"/>
      <c r="BF673" s="2010"/>
      <c r="BG673" s="2010"/>
      <c r="BH673" s="2010"/>
      <c r="BI673" s="2010"/>
      <c r="BJ673" s="2010"/>
      <c r="BK673" s="2010"/>
      <c r="BL673" s="2010"/>
      <c r="BM673" s="2010"/>
      <c r="BN673" s="2010"/>
      <c r="BO673" s="2010"/>
      <c r="BP673" s="2010"/>
      <c r="BQ673" s="2010"/>
      <c r="BR673" s="2010"/>
      <c r="BS673" s="2010"/>
      <c r="BT673" s="2010"/>
      <c r="BU673" s="2010"/>
      <c r="BV673" s="2010"/>
      <c r="BW673" s="2010"/>
      <c r="BX673" s="2010"/>
      <c r="BY673" s="2010"/>
      <c r="BZ673" s="2010"/>
      <c r="CA673" s="2010"/>
      <c r="CB673" s="2010"/>
      <c r="CC673" s="2010"/>
      <c r="CD673" s="2010"/>
      <c r="CE673" s="2010"/>
      <c r="CF673" s="2010"/>
      <c r="CG673" s="2010"/>
      <c r="CH673" s="2010"/>
      <c r="CI673" s="2010"/>
      <c r="CJ673" s="2010"/>
      <c r="CK673" s="2010"/>
      <c r="CL673" s="2010"/>
      <c r="CM673" s="2010"/>
      <c r="CN673" s="2010"/>
      <c r="CO673" s="2010"/>
      <c r="CP673" s="2010"/>
      <c r="CQ673" s="2010"/>
      <c r="CR673" s="2010"/>
      <c r="CS673" s="2010"/>
      <c r="CT673" s="2010"/>
      <c r="CU673" s="2010"/>
      <c r="CV673" s="2010"/>
      <c r="CW673" s="2010"/>
      <c r="CX673" s="2010"/>
      <c r="CY673" s="2010"/>
      <c r="CZ673" s="2010"/>
      <c r="DA673" s="2010"/>
      <c r="DB673" s="2010"/>
      <c r="DC673" s="2010"/>
      <c r="DD673" s="2010"/>
      <c r="DE673" s="2010"/>
    </row>
    <row r="674" spans="1:109" s="2014" customFormat="1" x14ac:dyDescent="0.2">
      <c r="A674" s="2013"/>
      <c r="B674" s="2013"/>
      <c r="C674" s="2013"/>
      <c r="D674" s="2013"/>
      <c r="AB674" s="2010"/>
      <c r="AU674" s="2010"/>
      <c r="AV674" s="2010"/>
      <c r="AW674" s="2010"/>
      <c r="AX674" s="2010"/>
      <c r="AY674" s="2010"/>
      <c r="AZ674" s="2010"/>
      <c r="BA674" s="2010"/>
      <c r="BB674" s="2010"/>
      <c r="BC674" s="2010"/>
      <c r="BD674" s="2010"/>
      <c r="BE674" s="2010"/>
      <c r="BF674" s="2010"/>
      <c r="BG674" s="2010"/>
      <c r="BH674" s="2010"/>
      <c r="BI674" s="2010"/>
      <c r="BJ674" s="2010"/>
      <c r="BK674" s="2010"/>
      <c r="BL674" s="2010"/>
      <c r="BM674" s="2010"/>
      <c r="BN674" s="2010"/>
      <c r="BO674" s="2010"/>
      <c r="BP674" s="2010"/>
      <c r="BQ674" s="2010"/>
      <c r="BR674" s="2010"/>
      <c r="BS674" s="2010"/>
      <c r="BT674" s="2010"/>
      <c r="BU674" s="2010"/>
      <c r="BV674" s="2010"/>
      <c r="BW674" s="2010"/>
      <c r="BX674" s="2010"/>
      <c r="BY674" s="2010"/>
      <c r="BZ674" s="2010"/>
      <c r="CA674" s="2010"/>
      <c r="CB674" s="2010"/>
      <c r="CC674" s="2010"/>
      <c r="CD674" s="2010"/>
      <c r="CE674" s="2010"/>
      <c r="CF674" s="2010"/>
      <c r="CG674" s="2010"/>
      <c r="CH674" s="2010"/>
      <c r="CI674" s="2010"/>
      <c r="CJ674" s="2010"/>
      <c r="CK674" s="2010"/>
      <c r="CL674" s="2010"/>
      <c r="CM674" s="2010"/>
      <c r="CN674" s="2010"/>
      <c r="CO674" s="2010"/>
      <c r="CP674" s="2010"/>
      <c r="CQ674" s="2010"/>
      <c r="CR674" s="2010"/>
      <c r="CS674" s="2010"/>
      <c r="CT674" s="2010"/>
      <c r="CU674" s="2010"/>
      <c r="CV674" s="2010"/>
      <c r="CW674" s="2010"/>
      <c r="CX674" s="2010"/>
      <c r="CY674" s="2010"/>
      <c r="CZ674" s="2010"/>
      <c r="DA674" s="2010"/>
      <c r="DB674" s="2010"/>
      <c r="DC674" s="2010"/>
      <c r="DD674" s="2010"/>
      <c r="DE674" s="2010"/>
    </row>
    <row r="675" spans="1:109" s="2014" customFormat="1" x14ac:dyDescent="0.2">
      <c r="A675" s="2013"/>
      <c r="B675" s="2013"/>
      <c r="C675" s="2013"/>
      <c r="D675" s="2013"/>
      <c r="AB675" s="2010"/>
      <c r="AU675" s="2010"/>
      <c r="AV675" s="2010"/>
      <c r="AW675" s="2010"/>
      <c r="AX675" s="2010"/>
      <c r="AY675" s="2010"/>
      <c r="AZ675" s="2010"/>
      <c r="BA675" s="2010"/>
      <c r="BB675" s="2010"/>
      <c r="BC675" s="2010"/>
      <c r="BD675" s="2010"/>
      <c r="BE675" s="2010"/>
      <c r="BF675" s="2010"/>
      <c r="BG675" s="2010"/>
      <c r="BH675" s="2010"/>
      <c r="BI675" s="2010"/>
      <c r="BJ675" s="2010"/>
      <c r="BK675" s="2010"/>
      <c r="BL675" s="2010"/>
      <c r="BM675" s="2010"/>
      <c r="BN675" s="2010"/>
      <c r="BO675" s="2010"/>
      <c r="BP675" s="2010"/>
      <c r="BQ675" s="2010"/>
      <c r="BR675" s="2010"/>
      <c r="BS675" s="2010"/>
      <c r="BT675" s="2010"/>
      <c r="BU675" s="2010"/>
      <c r="BV675" s="2010"/>
      <c r="BW675" s="2010"/>
      <c r="BX675" s="2010"/>
      <c r="BY675" s="2010"/>
      <c r="BZ675" s="2010"/>
      <c r="CA675" s="2010"/>
      <c r="CB675" s="2010"/>
      <c r="CC675" s="2010"/>
      <c r="CD675" s="2010"/>
      <c r="CE675" s="2010"/>
      <c r="CF675" s="2010"/>
      <c r="CG675" s="2010"/>
      <c r="CH675" s="2010"/>
      <c r="CI675" s="2010"/>
      <c r="CJ675" s="2010"/>
      <c r="CK675" s="2010"/>
      <c r="CL675" s="2010"/>
      <c r="CM675" s="2010"/>
      <c r="CN675" s="2010"/>
      <c r="CO675" s="2010"/>
      <c r="CP675" s="2010"/>
      <c r="CQ675" s="2010"/>
      <c r="CR675" s="2010"/>
      <c r="CS675" s="2010"/>
      <c r="CT675" s="2010"/>
      <c r="CU675" s="2010"/>
      <c r="CV675" s="2010"/>
      <c r="CW675" s="2010"/>
      <c r="CX675" s="2010"/>
      <c r="CY675" s="2010"/>
      <c r="CZ675" s="2010"/>
      <c r="DA675" s="2010"/>
      <c r="DB675" s="2010"/>
      <c r="DC675" s="2010"/>
      <c r="DD675" s="2010"/>
      <c r="DE675" s="2010"/>
    </row>
    <row r="676" spans="1:109" s="2014" customFormat="1" x14ac:dyDescent="0.2">
      <c r="A676" s="2013"/>
      <c r="B676" s="2013"/>
      <c r="C676" s="2013"/>
      <c r="D676" s="2013"/>
      <c r="AB676" s="2010"/>
      <c r="AU676" s="2010"/>
      <c r="AV676" s="2010"/>
      <c r="AW676" s="2010"/>
      <c r="AX676" s="2010"/>
      <c r="AY676" s="2010"/>
      <c r="AZ676" s="2010"/>
      <c r="BA676" s="2010"/>
      <c r="BB676" s="2010"/>
      <c r="BC676" s="2010"/>
      <c r="BD676" s="2010"/>
      <c r="BE676" s="2010"/>
      <c r="BF676" s="2010"/>
      <c r="BG676" s="2010"/>
      <c r="BH676" s="2010"/>
      <c r="BI676" s="2010"/>
      <c r="BJ676" s="2010"/>
      <c r="BK676" s="2010"/>
      <c r="BL676" s="2010"/>
      <c r="BM676" s="2010"/>
      <c r="BN676" s="2010"/>
      <c r="BO676" s="2010"/>
      <c r="BP676" s="2010"/>
      <c r="BQ676" s="2010"/>
      <c r="BR676" s="2010"/>
      <c r="BS676" s="2010"/>
      <c r="BT676" s="2010"/>
      <c r="BU676" s="2010"/>
      <c r="BV676" s="2010"/>
      <c r="BW676" s="2010"/>
      <c r="BX676" s="2010"/>
      <c r="BY676" s="2010"/>
      <c r="BZ676" s="2010"/>
      <c r="CA676" s="2010"/>
      <c r="CB676" s="2010"/>
      <c r="CC676" s="2010"/>
      <c r="CD676" s="2010"/>
      <c r="CE676" s="2010"/>
      <c r="CF676" s="2010"/>
      <c r="CG676" s="2010"/>
      <c r="CH676" s="2010"/>
      <c r="CI676" s="2010"/>
      <c r="CJ676" s="2010"/>
      <c r="CK676" s="2010"/>
      <c r="CL676" s="2010"/>
      <c r="CM676" s="2010"/>
      <c r="CN676" s="2010"/>
      <c r="CO676" s="2010"/>
      <c r="CP676" s="2010"/>
      <c r="CQ676" s="2010"/>
      <c r="CR676" s="2010"/>
      <c r="CS676" s="2010"/>
      <c r="CT676" s="2010"/>
      <c r="CU676" s="2010"/>
      <c r="CV676" s="2010"/>
      <c r="CW676" s="2010"/>
      <c r="CX676" s="2010"/>
      <c r="CY676" s="2010"/>
      <c r="CZ676" s="2010"/>
      <c r="DA676" s="2010"/>
      <c r="DB676" s="2010"/>
      <c r="DC676" s="2010"/>
      <c r="DD676" s="2010"/>
      <c r="DE676" s="2010"/>
    </row>
    <row r="677" spans="1:109" s="2014" customFormat="1" x14ac:dyDescent="0.2">
      <c r="A677" s="2013"/>
      <c r="B677" s="2013"/>
      <c r="C677" s="2013"/>
      <c r="D677" s="2013"/>
      <c r="AB677" s="2010"/>
      <c r="AU677" s="2010"/>
      <c r="AV677" s="2010"/>
      <c r="AW677" s="2010"/>
      <c r="AX677" s="2010"/>
      <c r="AY677" s="2010"/>
      <c r="AZ677" s="2010"/>
      <c r="BA677" s="2010"/>
      <c r="BB677" s="2010"/>
      <c r="BC677" s="2010"/>
      <c r="BD677" s="2010"/>
      <c r="BE677" s="2010"/>
      <c r="BF677" s="2010"/>
      <c r="BG677" s="2010"/>
      <c r="BH677" s="2010"/>
      <c r="BI677" s="2010"/>
      <c r="BJ677" s="2010"/>
      <c r="BK677" s="2010"/>
      <c r="BL677" s="2010"/>
      <c r="BM677" s="2010"/>
      <c r="BN677" s="2010"/>
      <c r="BO677" s="2010"/>
      <c r="BP677" s="2010"/>
      <c r="BQ677" s="2010"/>
      <c r="BR677" s="2010"/>
      <c r="BS677" s="2010"/>
      <c r="BT677" s="2010"/>
      <c r="BU677" s="2010"/>
      <c r="BV677" s="2010"/>
      <c r="BW677" s="2010"/>
      <c r="BX677" s="2010"/>
      <c r="BY677" s="2010"/>
      <c r="BZ677" s="2010"/>
      <c r="CA677" s="2010"/>
      <c r="CB677" s="2010"/>
      <c r="CC677" s="2010"/>
      <c r="CD677" s="2010"/>
      <c r="CE677" s="2010"/>
      <c r="CF677" s="2010"/>
      <c r="CG677" s="2010"/>
      <c r="CH677" s="2010"/>
      <c r="CI677" s="2010"/>
      <c r="CJ677" s="2010"/>
      <c r="CK677" s="2010"/>
      <c r="CL677" s="2010"/>
      <c r="CM677" s="2010"/>
      <c r="CN677" s="2010"/>
      <c r="CO677" s="2010"/>
      <c r="CP677" s="2010"/>
      <c r="CQ677" s="2010"/>
      <c r="CR677" s="2010"/>
      <c r="CS677" s="2010"/>
      <c r="CT677" s="2010"/>
      <c r="CU677" s="2010"/>
      <c r="CV677" s="2010"/>
      <c r="CW677" s="2010"/>
      <c r="CX677" s="2010"/>
      <c r="CY677" s="2010"/>
      <c r="CZ677" s="2010"/>
      <c r="DA677" s="2010"/>
      <c r="DB677" s="2010"/>
      <c r="DC677" s="2010"/>
      <c r="DD677" s="2010"/>
      <c r="DE677" s="2010"/>
    </row>
    <row r="678" spans="1:109" s="2014" customFormat="1" x14ac:dyDescent="0.2">
      <c r="A678" s="2013"/>
      <c r="B678" s="2013"/>
      <c r="C678" s="2013"/>
      <c r="D678" s="2013"/>
      <c r="AB678" s="2010"/>
      <c r="AU678" s="2010"/>
      <c r="AV678" s="2010"/>
      <c r="AW678" s="2010"/>
      <c r="AX678" s="2010"/>
      <c r="AY678" s="2010"/>
      <c r="AZ678" s="2010"/>
      <c r="BA678" s="2010"/>
      <c r="BB678" s="2010"/>
      <c r="BC678" s="2010"/>
      <c r="BD678" s="2010"/>
      <c r="BE678" s="2010"/>
      <c r="BF678" s="2010"/>
      <c r="BG678" s="2010"/>
      <c r="BH678" s="2010"/>
      <c r="BI678" s="2010"/>
      <c r="BJ678" s="2010"/>
      <c r="BK678" s="2010"/>
      <c r="BL678" s="2010"/>
      <c r="BM678" s="2010"/>
      <c r="BN678" s="2010"/>
      <c r="BO678" s="2010"/>
      <c r="BP678" s="2010"/>
      <c r="BQ678" s="2010"/>
      <c r="BR678" s="2010"/>
      <c r="BS678" s="2010"/>
      <c r="BT678" s="2010"/>
      <c r="BU678" s="2010"/>
      <c r="BV678" s="2010"/>
      <c r="BW678" s="2010"/>
      <c r="BX678" s="2010"/>
      <c r="BY678" s="2010"/>
      <c r="BZ678" s="2010"/>
      <c r="CA678" s="2010"/>
      <c r="CB678" s="2010"/>
      <c r="CC678" s="2010"/>
      <c r="CD678" s="2010"/>
      <c r="CE678" s="2010"/>
      <c r="CF678" s="2010"/>
      <c r="CG678" s="2010"/>
      <c r="CH678" s="2010"/>
      <c r="CI678" s="2010"/>
      <c r="CJ678" s="2010"/>
      <c r="CK678" s="2010"/>
      <c r="CL678" s="2010"/>
      <c r="CM678" s="2010"/>
      <c r="CN678" s="2010"/>
      <c r="CO678" s="2010"/>
      <c r="CP678" s="2010"/>
      <c r="CQ678" s="2010"/>
      <c r="CR678" s="2010"/>
      <c r="CS678" s="2010"/>
      <c r="CT678" s="2010"/>
      <c r="CU678" s="2010"/>
      <c r="CV678" s="2010"/>
      <c r="CW678" s="2010"/>
      <c r="CX678" s="2010"/>
      <c r="CY678" s="2010"/>
      <c r="CZ678" s="2010"/>
      <c r="DA678" s="2010"/>
      <c r="DB678" s="2010"/>
      <c r="DC678" s="2010"/>
      <c r="DD678" s="2010"/>
      <c r="DE678" s="2010"/>
    </row>
    <row r="679" spans="1:109" s="2014" customFormat="1" x14ac:dyDescent="0.2">
      <c r="A679" s="2013"/>
      <c r="B679" s="2013"/>
      <c r="C679" s="2013"/>
      <c r="D679" s="2013"/>
      <c r="AB679" s="2010"/>
      <c r="AU679" s="2010"/>
      <c r="AV679" s="2010"/>
      <c r="AW679" s="2010"/>
      <c r="AX679" s="2010"/>
      <c r="AY679" s="2010"/>
      <c r="AZ679" s="2010"/>
      <c r="BA679" s="2010"/>
      <c r="BB679" s="2010"/>
      <c r="BC679" s="2010"/>
      <c r="BD679" s="2010"/>
      <c r="BE679" s="2010"/>
      <c r="BF679" s="2010"/>
      <c r="BG679" s="2010"/>
      <c r="BH679" s="2010"/>
      <c r="BI679" s="2010"/>
      <c r="BJ679" s="2010"/>
      <c r="BK679" s="2010"/>
      <c r="BL679" s="2010"/>
      <c r="BM679" s="2010"/>
      <c r="BN679" s="2010"/>
      <c r="BO679" s="2010"/>
      <c r="BP679" s="2010"/>
      <c r="BQ679" s="2010"/>
      <c r="BR679" s="2010"/>
      <c r="BS679" s="2010"/>
      <c r="BT679" s="2010"/>
      <c r="BU679" s="2010"/>
      <c r="BV679" s="2010"/>
      <c r="BW679" s="2010"/>
      <c r="BX679" s="2010"/>
      <c r="BY679" s="2010"/>
      <c r="BZ679" s="2010"/>
      <c r="CA679" s="2010"/>
      <c r="CB679" s="2010"/>
      <c r="CC679" s="2010"/>
      <c r="CD679" s="2010"/>
      <c r="CE679" s="2010"/>
      <c r="CF679" s="2010"/>
      <c r="CG679" s="2010"/>
      <c r="CH679" s="2010"/>
      <c r="CI679" s="2010"/>
      <c r="CJ679" s="2010"/>
      <c r="CK679" s="2010"/>
      <c r="CL679" s="2010"/>
      <c r="CM679" s="2010"/>
      <c r="CN679" s="2010"/>
      <c r="CO679" s="2010"/>
      <c r="CP679" s="2010"/>
      <c r="CQ679" s="2010"/>
      <c r="CR679" s="2010"/>
      <c r="CS679" s="2010"/>
      <c r="CT679" s="2010"/>
      <c r="CU679" s="2010"/>
      <c r="CV679" s="2010"/>
      <c r="CW679" s="2010"/>
      <c r="CX679" s="2010"/>
      <c r="CY679" s="2010"/>
      <c r="CZ679" s="2010"/>
      <c r="DA679" s="2010"/>
      <c r="DB679" s="2010"/>
      <c r="DC679" s="2010"/>
      <c r="DD679" s="2010"/>
      <c r="DE679" s="2010"/>
    </row>
    <row r="680" spans="1:109" s="2014" customFormat="1" x14ac:dyDescent="0.2">
      <c r="A680" s="2013"/>
      <c r="B680" s="2013"/>
      <c r="C680" s="2013"/>
      <c r="D680" s="2013"/>
      <c r="AB680" s="2010"/>
      <c r="AU680" s="2010"/>
      <c r="AV680" s="2010"/>
      <c r="AW680" s="2010"/>
      <c r="AX680" s="2010"/>
      <c r="AY680" s="2010"/>
      <c r="AZ680" s="2010"/>
      <c r="BA680" s="2010"/>
      <c r="BB680" s="2010"/>
      <c r="BC680" s="2010"/>
      <c r="BD680" s="2010"/>
      <c r="BE680" s="2010"/>
      <c r="BF680" s="2010"/>
      <c r="BG680" s="2010"/>
      <c r="BH680" s="2010"/>
      <c r="BI680" s="2010"/>
      <c r="BJ680" s="2010"/>
      <c r="BK680" s="2010"/>
      <c r="BL680" s="2010"/>
      <c r="BM680" s="2010"/>
      <c r="BN680" s="2010"/>
      <c r="BO680" s="2010"/>
      <c r="BP680" s="2010"/>
      <c r="BQ680" s="2010"/>
      <c r="BR680" s="2010"/>
      <c r="BS680" s="2010"/>
      <c r="BT680" s="2010"/>
      <c r="BU680" s="2010"/>
      <c r="BV680" s="2010"/>
      <c r="BW680" s="2010"/>
      <c r="BX680" s="2010"/>
      <c r="BY680" s="2010"/>
      <c r="BZ680" s="2010"/>
      <c r="CA680" s="2010"/>
      <c r="CB680" s="2010"/>
      <c r="CC680" s="2010"/>
      <c r="CD680" s="2010"/>
      <c r="CE680" s="2010"/>
      <c r="CF680" s="2010"/>
      <c r="CG680" s="2010"/>
      <c r="CH680" s="2010"/>
      <c r="CI680" s="2010"/>
      <c r="CJ680" s="2010"/>
      <c r="CK680" s="2010"/>
      <c r="CL680" s="2010"/>
      <c r="CM680" s="2010"/>
      <c r="CN680" s="2010"/>
      <c r="CO680" s="2010"/>
      <c r="CP680" s="2010"/>
      <c r="CQ680" s="2010"/>
      <c r="CR680" s="2010"/>
      <c r="CS680" s="2010"/>
      <c r="CT680" s="2010"/>
      <c r="CU680" s="2010"/>
      <c r="CV680" s="2010"/>
      <c r="CW680" s="2010"/>
      <c r="CX680" s="2010"/>
      <c r="CY680" s="2010"/>
      <c r="CZ680" s="2010"/>
      <c r="DA680" s="2010"/>
      <c r="DB680" s="2010"/>
      <c r="DC680" s="2010"/>
      <c r="DD680" s="2010"/>
      <c r="DE680" s="2010"/>
    </row>
    <row r="681" spans="1:109" s="2014" customFormat="1" x14ac:dyDescent="0.2">
      <c r="A681" s="2013"/>
      <c r="B681" s="2013"/>
      <c r="C681" s="2013"/>
      <c r="D681" s="2013"/>
      <c r="AB681" s="2010"/>
      <c r="AU681" s="2010"/>
      <c r="AV681" s="2010"/>
      <c r="AW681" s="2010"/>
      <c r="AX681" s="2010"/>
      <c r="AY681" s="2010"/>
      <c r="AZ681" s="2010"/>
      <c r="BA681" s="2010"/>
      <c r="BB681" s="2010"/>
      <c r="BC681" s="2010"/>
      <c r="BD681" s="2010"/>
      <c r="BE681" s="2010"/>
      <c r="BF681" s="2010"/>
      <c r="BG681" s="2010"/>
      <c r="BH681" s="2010"/>
      <c r="BI681" s="2010"/>
      <c r="BJ681" s="2010"/>
      <c r="BK681" s="2010"/>
      <c r="BL681" s="2010"/>
      <c r="BM681" s="2010"/>
      <c r="BN681" s="2010"/>
      <c r="BO681" s="2010"/>
      <c r="BP681" s="2010"/>
      <c r="BQ681" s="2010"/>
      <c r="BR681" s="2010"/>
      <c r="BS681" s="2010"/>
      <c r="BT681" s="2010"/>
      <c r="BU681" s="2010"/>
      <c r="BV681" s="2010"/>
      <c r="BW681" s="2010"/>
      <c r="BX681" s="2010"/>
      <c r="BY681" s="2010"/>
      <c r="BZ681" s="2010"/>
      <c r="CA681" s="2010"/>
      <c r="CB681" s="2010"/>
      <c r="CC681" s="2010"/>
      <c r="CD681" s="2010"/>
      <c r="CE681" s="2010"/>
      <c r="CF681" s="2010"/>
      <c r="CG681" s="2010"/>
      <c r="CH681" s="2010"/>
      <c r="CI681" s="2010"/>
      <c r="CJ681" s="2010"/>
      <c r="CK681" s="2010"/>
      <c r="CL681" s="2010"/>
      <c r="CM681" s="2010"/>
      <c r="CN681" s="2010"/>
      <c r="CO681" s="2010"/>
      <c r="CP681" s="2010"/>
      <c r="CQ681" s="2010"/>
      <c r="CR681" s="2010"/>
      <c r="CS681" s="2010"/>
      <c r="CT681" s="2010"/>
      <c r="CU681" s="2010"/>
      <c r="CV681" s="2010"/>
      <c r="CW681" s="2010"/>
      <c r="CX681" s="2010"/>
      <c r="CY681" s="2010"/>
      <c r="CZ681" s="2010"/>
      <c r="DA681" s="2010"/>
      <c r="DB681" s="2010"/>
      <c r="DC681" s="2010"/>
      <c r="DD681" s="2010"/>
      <c r="DE681" s="2010"/>
    </row>
    <row r="682" spans="1:109" s="2014" customFormat="1" x14ac:dyDescent="0.2">
      <c r="A682" s="2013"/>
      <c r="B682" s="2013"/>
      <c r="C682" s="2013"/>
      <c r="D682" s="2013"/>
      <c r="AB682" s="2010"/>
      <c r="AU682" s="2010"/>
      <c r="AV682" s="2010"/>
      <c r="AW682" s="2010"/>
      <c r="AX682" s="2010"/>
      <c r="AY682" s="2010"/>
      <c r="AZ682" s="2010"/>
      <c r="BA682" s="2010"/>
      <c r="BB682" s="2010"/>
      <c r="BC682" s="2010"/>
      <c r="BD682" s="2010"/>
      <c r="BE682" s="2010"/>
      <c r="BF682" s="2010"/>
      <c r="BG682" s="2010"/>
      <c r="BH682" s="2010"/>
      <c r="BI682" s="2010"/>
      <c r="BJ682" s="2010"/>
      <c r="BK682" s="2010"/>
      <c r="BL682" s="2010"/>
      <c r="BM682" s="2010"/>
      <c r="BN682" s="2010"/>
      <c r="BO682" s="2010"/>
      <c r="BP682" s="2010"/>
      <c r="BQ682" s="2010"/>
      <c r="BR682" s="2010"/>
      <c r="BS682" s="2010"/>
      <c r="BT682" s="2010"/>
      <c r="BU682" s="2010"/>
      <c r="BV682" s="2010"/>
      <c r="BW682" s="2010"/>
      <c r="BX682" s="2010"/>
      <c r="BY682" s="2010"/>
      <c r="BZ682" s="2010"/>
      <c r="CA682" s="2010"/>
      <c r="CB682" s="2010"/>
      <c r="CC682" s="2010"/>
      <c r="CD682" s="2010"/>
      <c r="CE682" s="2010"/>
      <c r="CF682" s="2010"/>
      <c r="CG682" s="2010"/>
      <c r="CH682" s="2010"/>
      <c r="CI682" s="2010"/>
      <c r="CJ682" s="2010"/>
      <c r="CK682" s="2010"/>
      <c r="CL682" s="2010"/>
      <c r="CM682" s="2010"/>
      <c r="CN682" s="2010"/>
      <c r="CO682" s="2010"/>
      <c r="CP682" s="2010"/>
      <c r="CQ682" s="2010"/>
      <c r="CR682" s="2010"/>
      <c r="CS682" s="2010"/>
      <c r="CT682" s="2010"/>
      <c r="CU682" s="2010"/>
      <c r="CV682" s="2010"/>
      <c r="CW682" s="2010"/>
      <c r="CX682" s="2010"/>
      <c r="CY682" s="2010"/>
      <c r="CZ682" s="2010"/>
      <c r="DA682" s="2010"/>
      <c r="DB682" s="2010"/>
      <c r="DC682" s="2010"/>
      <c r="DD682" s="2010"/>
      <c r="DE682" s="2010"/>
    </row>
    <row r="683" spans="1:109" s="2014" customFormat="1" x14ac:dyDescent="0.2">
      <c r="A683" s="2013"/>
      <c r="B683" s="2013"/>
      <c r="C683" s="2013"/>
      <c r="D683" s="2013"/>
      <c r="AB683" s="2010"/>
      <c r="AU683" s="2010"/>
      <c r="AV683" s="2010"/>
      <c r="AW683" s="2010"/>
      <c r="AX683" s="2010"/>
      <c r="AY683" s="2010"/>
      <c r="AZ683" s="2010"/>
      <c r="BA683" s="2010"/>
      <c r="BB683" s="2010"/>
      <c r="BC683" s="2010"/>
      <c r="BD683" s="2010"/>
      <c r="BE683" s="2010"/>
      <c r="BF683" s="2010"/>
      <c r="BG683" s="2010"/>
      <c r="BH683" s="2010"/>
      <c r="BI683" s="2010"/>
      <c r="BJ683" s="2010"/>
      <c r="BK683" s="2010"/>
      <c r="BL683" s="2010"/>
      <c r="BM683" s="2010"/>
      <c r="BN683" s="2010"/>
      <c r="BO683" s="2010"/>
      <c r="BP683" s="2010"/>
      <c r="BQ683" s="2010"/>
      <c r="BR683" s="2010"/>
      <c r="BS683" s="2010"/>
      <c r="BT683" s="2010"/>
      <c r="BU683" s="2010"/>
      <c r="BV683" s="2010"/>
      <c r="BW683" s="2010"/>
      <c r="BX683" s="2010"/>
      <c r="BY683" s="2010"/>
      <c r="BZ683" s="2010"/>
      <c r="CA683" s="2010"/>
      <c r="CB683" s="2010"/>
      <c r="CC683" s="2010"/>
      <c r="CD683" s="2010"/>
      <c r="CE683" s="2010"/>
      <c r="CF683" s="2010"/>
      <c r="CG683" s="2010"/>
      <c r="CH683" s="2010"/>
      <c r="CI683" s="2010"/>
      <c r="CJ683" s="2010"/>
      <c r="CK683" s="2010"/>
      <c r="CL683" s="2010"/>
      <c r="CM683" s="2010"/>
      <c r="CN683" s="2010"/>
      <c r="CO683" s="2010"/>
      <c r="CP683" s="2010"/>
      <c r="CQ683" s="2010"/>
      <c r="CR683" s="2010"/>
      <c r="CS683" s="2010"/>
      <c r="CT683" s="2010"/>
      <c r="CU683" s="2010"/>
      <c r="CV683" s="2010"/>
      <c r="CW683" s="2010"/>
      <c r="CX683" s="2010"/>
      <c r="CY683" s="2010"/>
      <c r="CZ683" s="2010"/>
      <c r="DA683" s="2010"/>
      <c r="DB683" s="2010"/>
      <c r="DC683" s="2010"/>
      <c r="DD683" s="2010"/>
      <c r="DE683" s="2010"/>
    </row>
    <row r="684" spans="1:109" s="2014" customFormat="1" x14ac:dyDescent="0.2">
      <c r="A684" s="2013"/>
      <c r="B684" s="2013"/>
      <c r="C684" s="2013"/>
      <c r="D684" s="2013"/>
      <c r="AB684" s="2010"/>
      <c r="AU684" s="2010"/>
      <c r="AV684" s="2010"/>
      <c r="AW684" s="2010"/>
      <c r="AX684" s="2010"/>
      <c r="AY684" s="2010"/>
      <c r="AZ684" s="2010"/>
      <c r="BA684" s="2010"/>
      <c r="BB684" s="2010"/>
      <c r="BC684" s="2010"/>
      <c r="BD684" s="2010"/>
      <c r="BE684" s="2010"/>
      <c r="BF684" s="2010"/>
      <c r="BG684" s="2010"/>
      <c r="BH684" s="2010"/>
      <c r="BI684" s="2010"/>
      <c r="BJ684" s="2010"/>
      <c r="BK684" s="2010"/>
      <c r="BL684" s="2010"/>
      <c r="BM684" s="2010"/>
      <c r="BN684" s="2010"/>
      <c r="BO684" s="2010"/>
      <c r="BP684" s="2010"/>
      <c r="BQ684" s="2010"/>
      <c r="BR684" s="2010"/>
      <c r="BS684" s="2010"/>
      <c r="BT684" s="2010"/>
      <c r="BU684" s="2010"/>
      <c r="BV684" s="2010"/>
      <c r="BW684" s="2010"/>
      <c r="BX684" s="2010"/>
      <c r="BY684" s="2010"/>
      <c r="BZ684" s="2010"/>
      <c r="CA684" s="2010"/>
      <c r="CB684" s="2010"/>
      <c r="CC684" s="2010"/>
      <c r="CD684" s="2010"/>
      <c r="CE684" s="2010"/>
      <c r="CF684" s="2010"/>
      <c r="CG684" s="2010"/>
      <c r="CH684" s="2010"/>
      <c r="CI684" s="2010"/>
      <c r="CJ684" s="2010"/>
      <c r="CK684" s="2010"/>
      <c r="CL684" s="2010"/>
      <c r="CM684" s="2010"/>
      <c r="CN684" s="2010"/>
      <c r="CO684" s="2010"/>
      <c r="CP684" s="2010"/>
      <c r="CQ684" s="2010"/>
      <c r="CR684" s="2010"/>
      <c r="CS684" s="2010"/>
      <c r="CT684" s="2010"/>
      <c r="CU684" s="2010"/>
      <c r="CV684" s="2010"/>
      <c r="CW684" s="2010"/>
      <c r="CX684" s="2010"/>
      <c r="CY684" s="2010"/>
      <c r="CZ684" s="2010"/>
      <c r="DA684" s="2010"/>
      <c r="DB684" s="2010"/>
      <c r="DC684" s="2010"/>
      <c r="DD684" s="2010"/>
      <c r="DE684" s="2010"/>
    </row>
    <row r="685" spans="1:109" s="2014" customFormat="1" x14ac:dyDescent="0.2">
      <c r="A685" s="2013"/>
      <c r="B685" s="2013"/>
      <c r="C685" s="2013"/>
      <c r="D685" s="2013"/>
      <c r="AB685" s="2010"/>
      <c r="AU685" s="2010"/>
      <c r="AV685" s="2010"/>
      <c r="AW685" s="2010"/>
      <c r="AX685" s="2010"/>
      <c r="AY685" s="2010"/>
      <c r="AZ685" s="2010"/>
      <c r="BA685" s="2010"/>
      <c r="BB685" s="2010"/>
      <c r="BC685" s="2010"/>
      <c r="BD685" s="2010"/>
      <c r="BE685" s="2010"/>
      <c r="BF685" s="2010"/>
      <c r="BG685" s="2010"/>
      <c r="BH685" s="2010"/>
      <c r="BI685" s="2010"/>
      <c r="BJ685" s="2010"/>
      <c r="BK685" s="2010"/>
      <c r="BL685" s="2010"/>
      <c r="BM685" s="2010"/>
      <c r="BN685" s="2010"/>
      <c r="BO685" s="2010"/>
      <c r="BP685" s="2010"/>
      <c r="BQ685" s="2010"/>
      <c r="BR685" s="2010"/>
      <c r="BS685" s="2010"/>
      <c r="BT685" s="2010"/>
      <c r="BU685" s="2010"/>
      <c r="BV685" s="2010"/>
      <c r="BW685" s="2010"/>
      <c r="BX685" s="2010"/>
      <c r="BY685" s="2010"/>
      <c r="BZ685" s="2010"/>
      <c r="CA685" s="2010"/>
      <c r="CB685" s="2010"/>
      <c r="CC685" s="2010"/>
      <c r="CD685" s="2010"/>
      <c r="CE685" s="2010"/>
      <c r="CF685" s="2010"/>
      <c r="CG685" s="2010"/>
      <c r="CH685" s="2010"/>
      <c r="CI685" s="2010"/>
      <c r="CJ685" s="2010"/>
      <c r="CK685" s="2010"/>
      <c r="CL685" s="2010"/>
      <c r="CM685" s="2010"/>
      <c r="CN685" s="2010"/>
      <c r="CO685" s="2010"/>
      <c r="CP685" s="2010"/>
      <c r="CQ685" s="2010"/>
      <c r="CR685" s="2010"/>
      <c r="CS685" s="2010"/>
      <c r="CT685" s="2010"/>
      <c r="CU685" s="2010"/>
      <c r="CV685" s="2010"/>
      <c r="CW685" s="2010"/>
      <c r="CX685" s="2010"/>
      <c r="CY685" s="2010"/>
      <c r="CZ685" s="2010"/>
      <c r="DA685" s="2010"/>
      <c r="DB685" s="2010"/>
      <c r="DC685" s="2010"/>
      <c r="DD685" s="2010"/>
      <c r="DE685" s="2010"/>
    </row>
    <row r="686" spans="1:109" s="2014" customFormat="1" x14ac:dyDescent="0.2">
      <c r="A686" s="2013"/>
      <c r="B686" s="2013"/>
      <c r="C686" s="2013"/>
      <c r="D686" s="2013"/>
      <c r="AB686" s="2010"/>
      <c r="AU686" s="2010"/>
      <c r="AV686" s="2010"/>
      <c r="AW686" s="2010"/>
      <c r="AX686" s="2010"/>
      <c r="AY686" s="2010"/>
      <c r="AZ686" s="2010"/>
      <c r="BA686" s="2010"/>
      <c r="BB686" s="2010"/>
      <c r="BC686" s="2010"/>
      <c r="BD686" s="2010"/>
      <c r="BE686" s="2010"/>
      <c r="BF686" s="2010"/>
      <c r="BG686" s="2010"/>
      <c r="BH686" s="2010"/>
      <c r="BI686" s="2010"/>
      <c r="BJ686" s="2010"/>
      <c r="BK686" s="2010"/>
      <c r="BL686" s="2010"/>
      <c r="BM686" s="2010"/>
      <c r="BN686" s="2010"/>
      <c r="BO686" s="2010"/>
      <c r="BP686" s="2010"/>
      <c r="BQ686" s="2010"/>
      <c r="BR686" s="2010"/>
      <c r="BS686" s="2010"/>
      <c r="BT686" s="2010"/>
      <c r="BU686" s="2010"/>
      <c r="BV686" s="2010"/>
      <c r="BW686" s="2010"/>
      <c r="BX686" s="2010"/>
      <c r="BY686" s="2010"/>
      <c r="BZ686" s="2010"/>
      <c r="CA686" s="2010"/>
      <c r="CB686" s="2010"/>
      <c r="CC686" s="2010"/>
      <c r="CD686" s="2010"/>
      <c r="CE686" s="2010"/>
      <c r="CF686" s="2010"/>
      <c r="CG686" s="2010"/>
      <c r="CH686" s="2010"/>
      <c r="CI686" s="2010"/>
      <c r="CJ686" s="2010"/>
      <c r="CK686" s="2010"/>
      <c r="CL686" s="2010"/>
      <c r="CM686" s="2010"/>
      <c r="CN686" s="2010"/>
      <c r="CO686" s="2010"/>
      <c r="CP686" s="2010"/>
      <c r="CQ686" s="2010"/>
      <c r="CR686" s="2010"/>
      <c r="CS686" s="2010"/>
      <c r="CT686" s="2010"/>
      <c r="CU686" s="2010"/>
      <c r="CV686" s="2010"/>
      <c r="CW686" s="2010"/>
      <c r="CX686" s="2010"/>
      <c r="CY686" s="2010"/>
      <c r="CZ686" s="2010"/>
      <c r="DA686" s="2010"/>
      <c r="DB686" s="2010"/>
      <c r="DC686" s="2010"/>
      <c r="DD686" s="2010"/>
      <c r="DE686" s="2010"/>
    </row>
    <row r="687" spans="1:109" s="2014" customFormat="1" x14ac:dyDescent="0.2">
      <c r="A687" s="2013"/>
      <c r="B687" s="2013"/>
      <c r="C687" s="2013"/>
      <c r="D687" s="2013"/>
      <c r="AB687" s="2010"/>
      <c r="AU687" s="2010"/>
      <c r="AV687" s="2010"/>
      <c r="AW687" s="2010"/>
      <c r="AX687" s="2010"/>
      <c r="AY687" s="2010"/>
      <c r="AZ687" s="2010"/>
      <c r="BA687" s="2010"/>
      <c r="BB687" s="2010"/>
      <c r="BC687" s="2010"/>
      <c r="BD687" s="2010"/>
      <c r="BE687" s="2010"/>
      <c r="BF687" s="2010"/>
      <c r="BG687" s="2010"/>
      <c r="BH687" s="2010"/>
      <c r="BI687" s="2010"/>
      <c r="BJ687" s="2010"/>
      <c r="BK687" s="2010"/>
      <c r="BL687" s="2010"/>
      <c r="BM687" s="2010"/>
      <c r="BN687" s="2010"/>
      <c r="BO687" s="2010"/>
      <c r="BP687" s="2010"/>
      <c r="BQ687" s="2010"/>
      <c r="BR687" s="2010"/>
      <c r="BS687" s="2010"/>
      <c r="BT687" s="2010"/>
      <c r="BU687" s="2010"/>
      <c r="BV687" s="2010"/>
      <c r="BW687" s="2010"/>
      <c r="BX687" s="2010"/>
      <c r="BY687" s="2010"/>
      <c r="BZ687" s="2010"/>
      <c r="CA687" s="2010"/>
      <c r="CB687" s="2010"/>
      <c r="CC687" s="2010"/>
      <c r="CD687" s="2010"/>
      <c r="CE687" s="2010"/>
      <c r="CF687" s="2010"/>
      <c r="CG687" s="2010"/>
      <c r="CH687" s="2010"/>
      <c r="CI687" s="2010"/>
      <c r="CJ687" s="2010"/>
      <c r="CK687" s="2010"/>
      <c r="CL687" s="2010"/>
      <c r="CM687" s="2010"/>
      <c r="CN687" s="2010"/>
      <c r="CO687" s="2010"/>
      <c r="CP687" s="2010"/>
      <c r="CQ687" s="2010"/>
      <c r="CR687" s="2010"/>
      <c r="CS687" s="2010"/>
      <c r="CT687" s="2010"/>
      <c r="CU687" s="2010"/>
      <c r="CV687" s="2010"/>
      <c r="CW687" s="2010"/>
      <c r="CX687" s="2010"/>
      <c r="CY687" s="2010"/>
      <c r="CZ687" s="2010"/>
      <c r="DA687" s="2010"/>
      <c r="DB687" s="2010"/>
      <c r="DC687" s="2010"/>
      <c r="DD687" s="2010"/>
      <c r="DE687" s="2010"/>
    </row>
    <row r="688" spans="1:109" s="2014" customFormat="1" x14ac:dyDescent="0.2">
      <c r="A688" s="2013"/>
      <c r="B688" s="2013"/>
      <c r="C688" s="2013"/>
      <c r="D688" s="2013"/>
      <c r="AB688" s="2010"/>
      <c r="AU688" s="2010"/>
      <c r="AV688" s="2010"/>
      <c r="AW688" s="2010"/>
      <c r="AX688" s="2010"/>
      <c r="AY688" s="2010"/>
      <c r="AZ688" s="2010"/>
      <c r="BA688" s="2010"/>
      <c r="BB688" s="2010"/>
      <c r="BC688" s="2010"/>
      <c r="BD688" s="2010"/>
      <c r="BE688" s="2010"/>
      <c r="BF688" s="2010"/>
      <c r="BG688" s="2010"/>
      <c r="BH688" s="2010"/>
      <c r="BI688" s="2010"/>
      <c r="BJ688" s="2010"/>
      <c r="BK688" s="2010"/>
      <c r="BL688" s="2010"/>
      <c r="BM688" s="2010"/>
      <c r="BN688" s="2010"/>
      <c r="BO688" s="2010"/>
      <c r="BP688" s="2010"/>
      <c r="BQ688" s="2010"/>
      <c r="BR688" s="2010"/>
      <c r="BS688" s="2010"/>
      <c r="BT688" s="2010"/>
      <c r="BU688" s="2010"/>
      <c r="BV688" s="2010"/>
      <c r="BW688" s="2010"/>
      <c r="BX688" s="2010"/>
      <c r="BY688" s="2010"/>
      <c r="BZ688" s="2010"/>
      <c r="CA688" s="2010"/>
      <c r="CB688" s="2010"/>
      <c r="CC688" s="2010"/>
      <c r="CD688" s="2010"/>
      <c r="CE688" s="2010"/>
      <c r="CF688" s="2010"/>
      <c r="CG688" s="2010"/>
      <c r="CH688" s="2010"/>
      <c r="CI688" s="2010"/>
      <c r="CJ688" s="2010"/>
      <c r="CK688" s="2010"/>
      <c r="CL688" s="2010"/>
      <c r="CM688" s="2010"/>
      <c r="CN688" s="2010"/>
      <c r="CO688" s="2010"/>
      <c r="CP688" s="2010"/>
      <c r="CQ688" s="2010"/>
      <c r="CR688" s="2010"/>
      <c r="CS688" s="2010"/>
      <c r="CT688" s="2010"/>
      <c r="CU688" s="2010"/>
      <c r="CV688" s="2010"/>
      <c r="CW688" s="2010"/>
      <c r="CX688" s="2010"/>
      <c r="CY688" s="2010"/>
      <c r="CZ688" s="2010"/>
      <c r="DA688" s="2010"/>
      <c r="DB688" s="2010"/>
      <c r="DC688" s="2010"/>
      <c r="DD688" s="2010"/>
      <c r="DE688" s="2010"/>
    </row>
    <row r="689" spans="1:109" s="2014" customFormat="1" x14ac:dyDescent="0.2">
      <c r="A689" s="2013"/>
      <c r="B689" s="2013"/>
      <c r="C689" s="2013"/>
      <c r="D689" s="2013"/>
      <c r="AB689" s="2010"/>
      <c r="AU689" s="2010"/>
      <c r="AV689" s="2010"/>
      <c r="AW689" s="2010"/>
      <c r="AX689" s="2010"/>
      <c r="AY689" s="2010"/>
      <c r="AZ689" s="2010"/>
      <c r="BA689" s="2010"/>
      <c r="BB689" s="2010"/>
      <c r="BC689" s="2010"/>
      <c r="BD689" s="2010"/>
      <c r="BE689" s="2010"/>
      <c r="BF689" s="2010"/>
      <c r="BG689" s="2010"/>
      <c r="BH689" s="2010"/>
      <c r="BI689" s="2010"/>
      <c r="BJ689" s="2010"/>
      <c r="BK689" s="2010"/>
      <c r="BL689" s="2010"/>
      <c r="BM689" s="2010"/>
      <c r="BN689" s="2010"/>
      <c r="BO689" s="2010"/>
      <c r="BP689" s="2010"/>
      <c r="BQ689" s="2010"/>
      <c r="BR689" s="2010"/>
      <c r="BS689" s="2010"/>
      <c r="BT689" s="2010"/>
      <c r="BU689" s="2010"/>
      <c r="BV689" s="2010"/>
      <c r="BW689" s="2010"/>
      <c r="BX689" s="2010"/>
      <c r="BY689" s="2010"/>
      <c r="BZ689" s="2010"/>
      <c r="CA689" s="2010"/>
      <c r="CB689" s="2010"/>
      <c r="CC689" s="2010"/>
      <c r="CD689" s="2010"/>
      <c r="CE689" s="2010"/>
      <c r="CF689" s="2010"/>
      <c r="CG689" s="2010"/>
      <c r="CH689" s="2010"/>
      <c r="CI689" s="2010"/>
      <c r="CJ689" s="2010"/>
      <c r="CK689" s="2010"/>
      <c r="CL689" s="2010"/>
      <c r="CM689" s="2010"/>
      <c r="CN689" s="2010"/>
      <c r="CO689" s="2010"/>
      <c r="CP689" s="2010"/>
      <c r="CQ689" s="2010"/>
      <c r="CR689" s="2010"/>
      <c r="CS689" s="2010"/>
      <c r="CT689" s="2010"/>
      <c r="CU689" s="2010"/>
      <c r="CV689" s="2010"/>
      <c r="CW689" s="2010"/>
      <c r="CX689" s="2010"/>
      <c r="CY689" s="2010"/>
      <c r="CZ689" s="2010"/>
      <c r="DA689" s="2010"/>
      <c r="DB689" s="2010"/>
      <c r="DC689" s="2010"/>
      <c r="DD689" s="2010"/>
      <c r="DE689" s="2010"/>
    </row>
    <row r="690" spans="1:109" s="2014" customFormat="1" x14ac:dyDescent="0.2">
      <c r="A690" s="2013"/>
      <c r="B690" s="2013"/>
      <c r="C690" s="2013"/>
      <c r="D690" s="2013"/>
      <c r="AB690" s="2010"/>
      <c r="AU690" s="2010"/>
      <c r="AV690" s="2010"/>
      <c r="AW690" s="2010"/>
      <c r="AX690" s="2010"/>
      <c r="AY690" s="2010"/>
      <c r="AZ690" s="2010"/>
      <c r="BA690" s="2010"/>
      <c r="BB690" s="2010"/>
      <c r="BC690" s="2010"/>
      <c r="BD690" s="2010"/>
      <c r="BE690" s="2010"/>
      <c r="BF690" s="2010"/>
      <c r="BG690" s="2010"/>
      <c r="BH690" s="2010"/>
      <c r="BI690" s="2010"/>
      <c r="BJ690" s="2010"/>
      <c r="BK690" s="2010"/>
      <c r="BL690" s="2010"/>
      <c r="BM690" s="2010"/>
      <c r="BN690" s="2010"/>
      <c r="BO690" s="2010"/>
      <c r="BP690" s="2010"/>
      <c r="BQ690" s="2010"/>
      <c r="BR690" s="2010"/>
      <c r="BS690" s="2010"/>
      <c r="BT690" s="2010"/>
      <c r="BU690" s="2010"/>
      <c r="BV690" s="2010"/>
      <c r="BW690" s="2010"/>
      <c r="BX690" s="2010"/>
      <c r="BY690" s="2010"/>
      <c r="BZ690" s="2010"/>
      <c r="CA690" s="2010"/>
      <c r="CB690" s="2010"/>
      <c r="CC690" s="2010"/>
      <c r="CD690" s="2010"/>
      <c r="CE690" s="2010"/>
      <c r="CF690" s="2010"/>
      <c r="CG690" s="2010"/>
      <c r="CH690" s="2010"/>
      <c r="CI690" s="2010"/>
      <c r="CJ690" s="2010"/>
      <c r="CK690" s="2010"/>
      <c r="CL690" s="2010"/>
      <c r="CM690" s="2010"/>
      <c r="CN690" s="2010"/>
      <c r="CO690" s="2010"/>
      <c r="CP690" s="2010"/>
      <c r="CQ690" s="2010"/>
      <c r="CR690" s="2010"/>
      <c r="CS690" s="2010"/>
      <c r="CT690" s="2010"/>
      <c r="CU690" s="2010"/>
      <c r="CV690" s="2010"/>
      <c r="CW690" s="2010"/>
      <c r="CX690" s="2010"/>
      <c r="CY690" s="2010"/>
      <c r="CZ690" s="2010"/>
      <c r="DA690" s="2010"/>
      <c r="DB690" s="2010"/>
      <c r="DC690" s="2010"/>
      <c r="DD690" s="2010"/>
      <c r="DE690" s="2010"/>
    </row>
    <row r="691" spans="1:109" s="2014" customFormat="1" x14ac:dyDescent="0.2">
      <c r="A691" s="2013"/>
      <c r="B691" s="2013"/>
      <c r="C691" s="2013"/>
      <c r="D691" s="2013"/>
      <c r="AB691" s="2010"/>
      <c r="AU691" s="2010"/>
      <c r="AV691" s="2010"/>
      <c r="AW691" s="2010"/>
      <c r="AX691" s="2010"/>
      <c r="AY691" s="2010"/>
      <c r="AZ691" s="2010"/>
      <c r="BA691" s="2010"/>
      <c r="BB691" s="2010"/>
      <c r="BC691" s="2010"/>
      <c r="BD691" s="2010"/>
      <c r="BE691" s="2010"/>
      <c r="BF691" s="2010"/>
      <c r="BG691" s="2010"/>
      <c r="BH691" s="2010"/>
      <c r="BI691" s="2010"/>
      <c r="BJ691" s="2010"/>
      <c r="BK691" s="2010"/>
      <c r="BL691" s="2010"/>
      <c r="BM691" s="2010"/>
      <c r="BN691" s="2010"/>
      <c r="BO691" s="2010"/>
      <c r="BP691" s="2010"/>
      <c r="BQ691" s="2010"/>
      <c r="BR691" s="2010"/>
      <c r="BS691" s="2010"/>
      <c r="BT691" s="2010"/>
      <c r="BU691" s="2010"/>
      <c r="BV691" s="2010"/>
      <c r="BW691" s="2010"/>
      <c r="BX691" s="2010"/>
      <c r="BY691" s="2010"/>
      <c r="BZ691" s="2010"/>
      <c r="CA691" s="2010"/>
      <c r="CB691" s="2010"/>
      <c r="CC691" s="2010"/>
      <c r="CD691" s="2010"/>
      <c r="CE691" s="2010"/>
      <c r="CF691" s="2010"/>
      <c r="CG691" s="2010"/>
      <c r="CH691" s="2010"/>
      <c r="CI691" s="2010"/>
      <c r="CJ691" s="2010"/>
      <c r="CK691" s="2010"/>
      <c r="CL691" s="2010"/>
      <c r="CM691" s="2010"/>
      <c r="CN691" s="2010"/>
      <c r="CO691" s="2010"/>
      <c r="CP691" s="2010"/>
      <c r="CQ691" s="2010"/>
      <c r="CR691" s="2010"/>
      <c r="CS691" s="2010"/>
      <c r="CT691" s="2010"/>
      <c r="CU691" s="2010"/>
      <c r="CV691" s="2010"/>
      <c r="CW691" s="2010"/>
      <c r="CX691" s="2010"/>
      <c r="CY691" s="2010"/>
      <c r="CZ691" s="2010"/>
      <c r="DA691" s="2010"/>
      <c r="DB691" s="2010"/>
      <c r="DC691" s="2010"/>
      <c r="DD691" s="2010"/>
      <c r="DE691" s="2010"/>
    </row>
    <row r="692" spans="1:109" s="2014" customFormat="1" x14ac:dyDescent="0.2">
      <c r="A692" s="2013"/>
      <c r="B692" s="2013"/>
      <c r="C692" s="2013"/>
      <c r="D692" s="2013"/>
      <c r="AB692" s="2010"/>
      <c r="AU692" s="2010"/>
      <c r="AV692" s="2010"/>
      <c r="AW692" s="2010"/>
      <c r="AX692" s="2010"/>
      <c r="AY692" s="2010"/>
      <c r="AZ692" s="2010"/>
      <c r="BA692" s="2010"/>
      <c r="BB692" s="2010"/>
      <c r="BC692" s="2010"/>
      <c r="BD692" s="2010"/>
      <c r="BE692" s="2010"/>
      <c r="BF692" s="2010"/>
      <c r="BG692" s="2010"/>
      <c r="BH692" s="2010"/>
      <c r="BI692" s="2010"/>
      <c r="BJ692" s="2010"/>
      <c r="BK692" s="2010"/>
      <c r="BL692" s="2010"/>
      <c r="BM692" s="2010"/>
      <c r="BN692" s="2010"/>
      <c r="BO692" s="2010"/>
      <c r="BP692" s="2010"/>
      <c r="BQ692" s="2010"/>
      <c r="BR692" s="2010"/>
      <c r="BS692" s="2010"/>
      <c r="BT692" s="2010"/>
      <c r="BU692" s="2010"/>
      <c r="BV692" s="2010"/>
      <c r="BW692" s="2010"/>
      <c r="BX692" s="2010"/>
      <c r="BY692" s="2010"/>
      <c r="BZ692" s="2010"/>
      <c r="CA692" s="2010"/>
      <c r="CB692" s="2010"/>
      <c r="CC692" s="2010"/>
      <c r="CD692" s="2010"/>
      <c r="CE692" s="2010"/>
      <c r="CF692" s="2010"/>
      <c r="CG692" s="2010"/>
      <c r="CH692" s="2010"/>
      <c r="CI692" s="2010"/>
      <c r="CJ692" s="2010"/>
      <c r="CK692" s="2010"/>
      <c r="CL692" s="2010"/>
      <c r="CM692" s="2010"/>
      <c r="CN692" s="2010"/>
      <c r="CO692" s="2010"/>
      <c r="CP692" s="2010"/>
      <c r="CQ692" s="2010"/>
      <c r="CR692" s="2010"/>
      <c r="CS692" s="2010"/>
      <c r="CT692" s="2010"/>
      <c r="CU692" s="2010"/>
      <c r="CV692" s="2010"/>
      <c r="CW692" s="2010"/>
      <c r="CX692" s="2010"/>
      <c r="CY692" s="2010"/>
      <c r="CZ692" s="2010"/>
      <c r="DA692" s="2010"/>
      <c r="DB692" s="2010"/>
      <c r="DC692" s="2010"/>
      <c r="DD692" s="2010"/>
      <c r="DE692" s="2010"/>
    </row>
    <row r="693" spans="1:109" s="2014" customFormat="1" x14ac:dyDescent="0.2">
      <c r="A693" s="2013"/>
      <c r="B693" s="2013"/>
      <c r="C693" s="2013"/>
      <c r="D693" s="2013"/>
      <c r="AB693" s="2010"/>
      <c r="AU693" s="2010"/>
      <c r="AV693" s="2010"/>
      <c r="AW693" s="2010"/>
      <c r="AX693" s="2010"/>
      <c r="AY693" s="2010"/>
      <c r="AZ693" s="2010"/>
      <c r="BA693" s="2010"/>
      <c r="BB693" s="2010"/>
      <c r="BC693" s="2010"/>
      <c r="BD693" s="2010"/>
      <c r="BE693" s="2010"/>
      <c r="BF693" s="2010"/>
      <c r="BG693" s="2010"/>
      <c r="BH693" s="2010"/>
      <c r="BI693" s="2010"/>
      <c r="BJ693" s="2010"/>
      <c r="BK693" s="2010"/>
      <c r="BL693" s="2010"/>
      <c r="BM693" s="2010"/>
      <c r="BN693" s="2010"/>
      <c r="BO693" s="2010"/>
      <c r="BP693" s="2010"/>
      <c r="BQ693" s="2010"/>
      <c r="BR693" s="2010"/>
      <c r="BS693" s="2010"/>
      <c r="BT693" s="2010"/>
      <c r="BU693" s="2010"/>
      <c r="BV693" s="2010"/>
      <c r="BW693" s="2010"/>
      <c r="BX693" s="2010"/>
      <c r="BY693" s="2010"/>
      <c r="BZ693" s="2010"/>
      <c r="CA693" s="2010"/>
      <c r="CB693" s="2010"/>
      <c r="CC693" s="2010"/>
      <c r="CD693" s="2010"/>
      <c r="CE693" s="2010"/>
      <c r="CF693" s="2010"/>
      <c r="CG693" s="2010"/>
      <c r="CH693" s="2010"/>
      <c r="CI693" s="2010"/>
      <c r="CJ693" s="2010"/>
      <c r="CK693" s="2010"/>
      <c r="CL693" s="2010"/>
      <c r="CM693" s="2010"/>
      <c r="CN693" s="2010"/>
      <c r="CO693" s="2010"/>
      <c r="CP693" s="2010"/>
      <c r="CQ693" s="2010"/>
      <c r="CR693" s="2010"/>
      <c r="CS693" s="2010"/>
      <c r="CT693" s="2010"/>
      <c r="CU693" s="2010"/>
      <c r="CV693" s="2010"/>
      <c r="CW693" s="2010"/>
      <c r="CX693" s="2010"/>
      <c r="CY693" s="2010"/>
      <c r="CZ693" s="2010"/>
      <c r="DA693" s="2010"/>
      <c r="DB693" s="2010"/>
      <c r="DC693" s="2010"/>
      <c r="DD693" s="2010"/>
      <c r="DE693" s="2010"/>
    </row>
    <row r="694" spans="1:109" s="2014" customFormat="1" x14ac:dyDescent="0.2">
      <c r="A694" s="2013"/>
      <c r="B694" s="2013"/>
      <c r="C694" s="2013"/>
      <c r="D694" s="2013"/>
      <c r="AB694" s="2010"/>
      <c r="AU694" s="2010"/>
      <c r="AV694" s="2010"/>
      <c r="AW694" s="2010"/>
      <c r="AX694" s="2010"/>
      <c r="AY694" s="2010"/>
      <c r="AZ694" s="2010"/>
      <c r="BA694" s="2010"/>
      <c r="BB694" s="2010"/>
      <c r="BC694" s="2010"/>
      <c r="BD694" s="2010"/>
      <c r="BE694" s="2010"/>
      <c r="BF694" s="2010"/>
      <c r="BG694" s="2010"/>
      <c r="BH694" s="2010"/>
      <c r="BI694" s="2010"/>
      <c r="BJ694" s="2010"/>
      <c r="BK694" s="2010"/>
      <c r="BL694" s="2010"/>
      <c r="BM694" s="2010"/>
      <c r="BN694" s="2010"/>
      <c r="BO694" s="2010"/>
      <c r="BP694" s="2010"/>
      <c r="BQ694" s="2010"/>
      <c r="BR694" s="2010"/>
      <c r="BS694" s="2010"/>
      <c r="BT694" s="2010"/>
      <c r="BU694" s="2010"/>
      <c r="BV694" s="2010"/>
      <c r="BW694" s="2010"/>
      <c r="BX694" s="2010"/>
      <c r="BY694" s="2010"/>
      <c r="BZ694" s="2010"/>
      <c r="CA694" s="2010"/>
      <c r="CB694" s="2010"/>
      <c r="CC694" s="2010"/>
      <c r="CD694" s="2010"/>
      <c r="CE694" s="2010"/>
      <c r="CF694" s="2010"/>
      <c r="CG694" s="2010"/>
      <c r="CH694" s="2010"/>
      <c r="CI694" s="2010"/>
      <c r="CJ694" s="2010"/>
      <c r="CK694" s="2010"/>
      <c r="CL694" s="2010"/>
      <c r="CM694" s="2010"/>
      <c r="CN694" s="2010"/>
      <c r="CO694" s="2010"/>
      <c r="CP694" s="2010"/>
      <c r="CQ694" s="2010"/>
      <c r="CR694" s="2010"/>
      <c r="CS694" s="2010"/>
      <c r="CT694" s="2010"/>
      <c r="CU694" s="2010"/>
      <c r="CV694" s="2010"/>
      <c r="CW694" s="2010"/>
      <c r="CX694" s="2010"/>
      <c r="CY694" s="2010"/>
      <c r="CZ694" s="2010"/>
      <c r="DA694" s="2010"/>
      <c r="DB694" s="2010"/>
      <c r="DC694" s="2010"/>
      <c r="DD694" s="2010"/>
      <c r="DE694" s="2010"/>
    </row>
    <row r="695" spans="1:109" s="2014" customFormat="1" x14ac:dyDescent="0.2">
      <c r="A695" s="2013"/>
      <c r="B695" s="2013"/>
      <c r="C695" s="2013"/>
      <c r="D695" s="2013"/>
      <c r="AB695" s="2010"/>
      <c r="AU695" s="2010"/>
      <c r="AV695" s="2010"/>
      <c r="AW695" s="2010"/>
      <c r="AX695" s="2010"/>
      <c r="AY695" s="2010"/>
      <c r="AZ695" s="2010"/>
      <c r="BA695" s="2010"/>
      <c r="BB695" s="2010"/>
      <c r="BC695" s="2010"/>
      <c r="BD695" s="2010"/>
      <c r="BE695" s="2010"/>
      <c r="BF695" s="2010"/>
      <c r="BG695" s="2010"/>
      <c r="BH695" s="2010"/>
      <c r="BI695" s="2010"/>
      <c r="BJ695" s="2010"/>
      <c r="BK695" s="2010"/>
      <c r="BL695" s="2010"/>
      <c r="BM695" s="2010"/>
      <c r="BN695" s="2010"/>
      <c r="BO695" s="2010"/>
      <c r="BP695" s="2010"/>
      <c r="BQ695" s="2010"/>
      <c r="BR695" s="2010"/>
      <c r="BS695" s="2010"/>
      <c r="BT695" s="2010"/>
      <c r="BU695" s="2010"/>
      <c r="BV695" s="2010"/>
      <c r="BW695" s="2010"/>
      <c r="BX695" s="2010"/>
      <c r="BY695" s="2010"/>
      <c r="BZ695" s="2010"/>
      <c r="CA695" s="2010"/>
      <c r="CB695" s="2010"/>
      <c r="CC695" s="2010"/>
      <c r="CD695" s="2010"/>
      <c r="CE695" s="2010"/>
      <c r="CF695" s="2010"/>
      <c r="CG695" s="2010"/>
      <c r="CH695" s="2010"/>
      <c r="CI695" s="2010"/>
      <c r="CJ695" s="2010"/>
      <c r="CK695" s="2010"/>
      <c r="CL695" s="2010"/>
      <c r="CM695" s="2010"/>
      <c r="CN695" s="2010"/>
      <c r="CO695" s="2010"/>
      <c r="CP695" s="2010"/>
      <c r="CQ695" s="2010"/>
      <c r="CR695" s="2010"/>
      <c r="CS695" s="2010"/>
      <c r="CT695" s="2010"/>
      <c r="CU695" s="2010"/>
      <c r="CV695" s="2010"/>
      <c r="CW695" s="2010"/>
      <c r="CX695" s="2010"/>
      <c r="CY695" s="2010"/>
      <c r="CZ695" s="2010"/>
      <c r="DA695" s="2010"/>
      <c r="DB695" s="2010"/>
      <c r="DC695" s="2010"/>
      <c r="DD695" s="2010"/>
      <c r="DE695" s="2010"/>
    </row>
    <row r="696" spans="1:109" s="2014" customFormat="1" x14ac:dyDescent="0.2">
      <c r="A696" s="2013"/>
      <c r="B696" s="2013"/>
      <c r="C696" s="2013"/>
      <c r="D696" s="2013"/>
      <c r="AB696" s="2010"/>
      <c r="AU696" s="2010"/>
      <c r="AV696" s="2010"/>
      <c r="AW696" s="2010"/>
      <c r="AX696" s="2010"/>
      <c r="AY696" s="2010"/>
      <c r="AZ696" s="2010"/>
      <c r="BA696" s="2010"/>
      <c r="BB696" s="2010"/>
      <c r="BC696" s="2010"/>
      <c r="BD696" s="2010"/>
      <c r="BE696" s="2010"/>
      <c r="BF696" s="2010"/>
      <c r="BG696" s="2010"/>
      <c r="BH696" s="2010"/>
      <c r="BI696" s="2010"/>
      <c r="BJ696" s="2010"/>
      <c r="BK696" s="2010"/>
      <c r="BL696" s="2010"/>
      <c r="BM696" s="2010"/>
      <c r="BN696" s="2010"/>
      <c r="BO696" s="2010"/>
      <c r="BP696" s="2010"/>
      <c r="BQ696" s="2010"/>
      <c r="BR696" s="2010"/>
      <c r="BS696" s="2010"/>
      <c r="BT696" s="2010"/>
      <c r="BU696" s="2010"/>
      <c r="BV696" s="2010"/>
      <c r="BW696" s="2010"/>
      <c r="BX696" s="2010"/>
      <c r="BY696" s="2010"/>
      <c r="BZ696" s="2010"/>
      <c r="CA696" s="2010"/>
      <c r="CB696" s="2010"/>
      <c r="CC696" s="2010"/>
      <c r="CD696" s="2010"/>
      <c r="CE696" s="2010"/>
      <c r="CF696" s="2010"/>
      <c r="CG696" s="2010"/>
      <c r="CH696" s="2010"/>
      <c r="CI696" s="2010"/>
      <c r="CJ696" s="2010"/>
      <c r="CK696" s="2010"/>
      <c r="CL696" s="2010"/>
      <c r="CM696" s="2010"/>
      <c r="CN696" s="2010"/>
      <c r="CO696" s="2010"/>
      <c r="CP696" s="2010"/>
      <c r="CQ696" s="2010"/>
      <c r="CR696" s="2010"/>
      <c r="CS696" s="2010"/>
      <c r="CT696" s="2010"/>
      <c r="CU696" s="2010"/>
      <c r="CV696" s="2010"/>
      <c r="CW696" s="2010"/>
      <c r="CX696" s="2010"/>
      <c r="CY696" s="2010"/>
      <c r="CZ696" s="2010"/>
      <c r="DA696" s="2010"/>
      <c r="DB696" s="2010"/>
      <c r="DC696" s="2010"/>
      <c r="DD696" s="2010"/>
      <c r="DE696" s="2010"/>
    </row>
    <row r="697" spans="1:109" s="2014" customFormat="1" x14ac:dyDescent="0.2">
      <c r="A697" s="2013"/>
      <c r="B697" s="2013"/>
      <c r="C697" s="2013"/>
      <c r="D697" s="2013"/>
      <c r="AB697" s="2010"/>
      <c r="AU697" s="2010"/>
      <c r="AV697" s="2010"/>
      <c r="AW697" s="2010"/>
      <c r="AX697" s="2010"/>
      <c r="AY697" s="2010"/>
      <c r="AZ697" s="2010"/>
      <c r="BA697" s="2010"/>
      <c r="BB697" s="2010"/>
      <c r="BC697" s="2010"/>
      <c r="BD697" s="2010"/>
      <c r="BE697" s="2010"/>
      <c r="BF697" s="2010"/>
      <c r="BG697" s="2010"/>
      <c r="BH697" s="2010"/>
      <c r="BI697" s="2010"/>
      <c r="BJ697" s="2010"/>
      <c r="BK697" s="2010"/>
      <c r="BL697" s="2010"/>
      <c r="BM697" s="2010"/>
      <c r="BN697" s="2010"/>
      <c r="BO697" s="2010"/>
      <c r="BP697" s="2010"/>
      <c r="BQ697" s="2010"/>
      <c r="BR697" s="2010"/>
      <c r="BS697" s="2010"/>
      <c r="BT697" s="2010"/>
      <c r="BU697" s="2010"/>
      <c r="BV697" s="2010"/>
      <c r="BW697" s="2010"/>
      <c r="BX697" s="2010"/>
      <c r="BY697" s="2010"/>
      <c r="BZ697" s="2010"/>
      <c r="CA697" s="2010"/>
      <c r="CB697" s="2010"/>
      <c r="CC697" s="2010"/>
      <c r="CD697" s="2010"/>
      <c r="CE697" s="2010"/>
      <c r="CF697" s="2010"/>
      <c r="CG697" s="2010"/>
      <c r="CH697" s="2010"/>
      <c r="CI697" s="2010"/>
      <c r="CJ697" s="2010"/>
      <c r="CK697" s="2010"/>
      <c r="CL697" s="2010"/>
      <c r="CM697" s="2010"/>
      <c r="CN697" s="2010"/>
      <c r="CO697" s="2010"/>
      <c r="CP697" s="2010"/>
      <c r="CQ697" s="2010"/>
      <c r="CR697" s="2010"/>
      <c r="CS697" s="2010"/>
      <c r="CT697" s="2010"/>
      <c r="CU697" s="2010"/>
      <c r="CV697" s="2010"/>
      <c r="CW697" s="2010"/>
      <c r="CX697" s="2010"/>
      <c r="CY697" s="2010"/>
      <c r="CZ697" s="2010"/>
      <c r="DA697" s="2010"/>
      <c r="DB697" s="2010"/>
      <c r="DC697" s="2010"/>
      <c r="DD697" s="2010"/>
      <c r="DE697" s="2010"/>
    </row>
    <row r="698" spans="1:109" s="2014" customFormat="1" x14ac:dyDescent="0.2">
      <c r="A698" s="2013"/>
      <c r="B698" s="2013"/>
      <c r="C698" s="2013"/>
      <c r="D698" s="2013"/>
      <c r="AB698" s="2010"/>
      <c r="AU698" s="2010"/>
      <c r="AV698" s="2010"/>
      <c r="AW698" s="2010"/>
      <c r="AX698" s="2010"/>
      <c r="AY698" s="2010"/>
      <c r="AZ698" s="2010"/>
      <c r="BA698" s="2010"/>
      <c r="BB698" s="2010"/>
      <c r="BC698" s="2010"/>
      <c r="BD698" s="2010"/>
      <c r="BE698" s="2010"/>
      <c r="BF698" s="2010"/>
      <c r="BG698" s="2010"/>
      <c r="BH698" s="2010"/>
      <c r="BI698" s="2010"/>
      <c r="BJ698" s="2010"/>
      <c r="BK698" s="2010"/>
      <c r="BL698" s="2010"/>
      <c r="BM698" s="2010"/>
      <c r="BN698" s="2010"/>
      <c r="BO698" s="2010"/>
      <c r="BP698" s="2010"/>
      <c r="BQ698" s="2010"/>
      <c r="BR698" s="2010"/>
      <c r="BS698" s="2010"/>
      <c r="BT698" s="2010"/>
      <c r="BU698" s="2010"/>
      <c r="BV698" s="2010"/>
      <c r="BW698" s="2010"/>
      <c r="BX698" s="2010"/>
      <c r="BY698" s="2010"/>
      <c r="BZ698" s="2010"/>
      <c r="CA698" s="2010"/>
      <c r="CB698" s="2010"/>
      <c r="CC698" s="2010"/>
      <c r="CD698" s="2010"/>
      <c r="CE698" s="2010"/>
      <c r="CF698" s="2010"/>
      <c r="CG698" s="2010"/>
      <c r="CH698" s="2010"/>
      <c r="CI698" s="2010"/>
      <c r="CJ698" s="2010"/>
      <c r="CK698" s="2010"/>
      <c r="CL698" s="2010"/>
      <c r="CM698" s="2010"/>
      <c r="CN698" s="2010"/>
      <c r="CO698" s="2010"/>
      <c r="CP698" s="2010"/>
      <c r="CQ698" s="2010"/>
      <c r="CR698" s="2010"/>
      <c r="CS698" s="2010"/>
      <c r="CT698" s="2010"/>
      <c r="CU698" s="2010"/>
      <c r="CV698" s="2010"/>
      <c r="CW698" s="2010"/>
      <c r="CX698" s="2010"/>
      <c r="CY698" s="2010"/>
      <c r="CZ698" s="2010"/>
      <c r="DA698" s="2010"/>
      <c r="DB698" s="2010"/>
      <c r="DC698" s="2010"/>
      <c r="DD698" s="2010"/>
      <c r="DE698" s="2010"/>
    </row>
    <row r="699" spans="1:109" s="2014" customFormat="1" x14ac:dyDescent="0.2">
      <c r="A699" s="2013"/>
      <c r="B699" s="2013"/>
      <c r="C699" s="2013"/>
      <c r="D699" s="2013"/>
      <c r="AB699" s="2010"/>
      <c r="AU699" s="2010"/>
      <c r="AV699" s="2010"/>
      <c r="AW699" s="2010"/>
      <c r="AX699" s="2010"/>
      <c r="AY699" s="2010"/>
      <c r="AZ699" s="2010"/>
      <c r="BA699" s="2010"/>
      <c r="BB699" s="2010"/>
      <c r="BC699" s="2010"/>
      <c r="BD699" s="2010"/>
      <c r="BE699" s="2010"/>
      <c r="BF699" s="2010"/>
      <c r="BG699" s="2010"/>
      <c r="BH699" s="2010"/>
      <c r="BI699" s="2010"/>
      <c r="BJ699" s="2010"/>
      <c r="BK699" s="2010"/>
      <c r="BL699" s="2010"/>
      <c r="BM699" s="2010"/>
      <c r="BN699" s="2010"/>
      <c r="BO699" s="2010"/>
      <c r="BP699" s="2010"/>
      <c r="BQ699" s="2010"/>
      <c r="BR699" s="2010"/>
      <c r="BS699" s="2010"/>
      <c r="BT699" s="2010"/>
      <c r="BU699" s="2010"/>
      <c r="BV699" s="2010"/>
      <c r="BW699" s="2010"/>
      <c r="BX699" s="2010"/>
      <c r="BY699" s="2010"/>
      <c r="BZ699" s="2010"/>
      <c r="CA699" s="2010"/>
      <c r="CB699" s="2010"/>
      <c r="CC699" s="2010"/>
      <c r="CD699" s="2010"/>
      <c r="CE699" s="2010"/>
      <c r="CF699" s="2010"/>
      <c r="CG699" s="2010"/>
      <c r="CH699" s="2010"/>
      <c r="CI699" s="2010"/>
      <c r="CJ699" s="2010"/>
      <c r="CK699" s="2010"/>
      <c r="CL699" s="2010"/>
      <c r="CM699" s="2010"/>
      <c r="CN699" s="2010"/>
      <c r="CO699" s="2010"/>
      <c r="CP699" s="2010"/>
      <c r="CQ699" s="2010"/>
      <c r="CR699" s="2010"/>
      <c r="CS699" s="2010"/>
      <c r="CT699" s="2010"/>
      <c r="CU699" s="2010"/>
      <c r="CV699" s="2010"/>
      <c r="CW699" s="2010"/>
      <c r="CX699" s="2010"/>
      <c r="CY699" s="2010"/>
      <c r="CZ699" s="2010"/>
      <c r="DA699" s="2010"/>
      <c r="DB699" s="2010"/>
      <c r="DC699" s="2010"/>
      <c r="DD699" s="2010"/>
      <c r="DE699" s="2010"/>
    </row>
    <row r="700" spans="1:109" s="2014" customFormat="1" x14ac:dyDescent="0.2">
      <c r="A700" s="2013"/>
      <c r="B700" s="2013"/>
      <c r="C700" s="2013"/>
      <c r="D700" s="2013"/>
      <c r="AB700" s="2010"/>
      <c r="AU700" s="2010"/>
      <c r="AV700" s="2010"/>
      <c r="AW700" s="2010"/>
      <c r="AX700" s="2010"/>
      <c r="AY700" s="2010"/>
      <c r="AZ700" s="2010"/>
      <c r="BA700" s="2010"/>
      <c r="BB700" s="2010"/>
      <c r="BC700" s="2010"/>
      <c r="BD700" s="2010"/>
      <c r="BE700" s="2010"/>
      <c r="BF700" s="2010"/>
      <c r="BG700" s="2010"/>
      <c r="BH700" s="2010"/>
      <c r="BI700" s="2010"/>
      <c r="BJ700" s="2010"/>
      <c r="BK700" s="2010"/>
      <c r="BL700" s="2010"/>
      <c r="BM700" s="2010"/>
      <c r="BN700" s="2010"/>
      <c r="BO700" s="2010"/>
      <c r="BP700" s="2010"/>
      <c r="BQ700" s="2010"/>
      <c r="BR700" s="2010"/>
      <c r="BS700" s="2010"/>
      <c r="BT700" s="2010"/>
      <c r="BU700" s="2010"/>
      <c r="BV700" s="2010"/>
      <c r="BW700" s="2010"/>
      <c r="BX700" s="2010"/>
      <c r="BY700" s="2010"/>
      <c r="BZ700" s="2010"/>
      <c r="CA700" s="2010"/>
      <c r="CB700" s="2010"/>
      <c r="CC700" s="2010"/>
      <c r="CD700" s="2010"/>
      <c r="CE700" s="2010"/>
      <c r="CF700" s="2010"/>
      <c r="CG700" s="2010"/>
      <c r="CH700" s="2010"/>
      <c r="CI700" s="2010"/>
      <c r="CJ700" s="2010"/>
      <c r="CK700" s="2010"/>
      <c r="CL700" s="2010"/>
      <c r="CM700" s="2010"/>
      <c r="CN700" s="2010"/>
      <c r="CO700" s="2010"/>
      <c r="CP700" s="2010"/>
      <c r="CQ700" s="2010"/>
      <c r="CR700" s="2010"/>
      <c r="CS700" s="2010"/>
      <c r="CT700" s="2010"/>
      <c r="CU700" s="2010"/>
      <c r="CV700" s="2010"/>
      <c r="CW700" s="2010"/>
      <c r="CX700" s="2010"/>
      <c r="CY700" s="2010"/>
      <c r="CZ700" s="2010"/>
      <c r="DA700" s="2010"/>
      <c r="DB700" s="2010"/>
      <c r="DC700" s="2010"/>
      <c r="DD700" s="2010"/>
      <c r="DE700" s="2010"/>
    </row>
    <row r="701" spans="1:109" s="2014" customFormat="1" x14ac:dyDescent="0.2">
      <c r="A701" s="2013"/>
      <c r="B701" s="2013"/>
      <c r="C701" s="2013"/>
      <c r="D701" s="2013"/>
      <c r="AB701" s="2010"/>
      <c r="AU701" s="2010"/>
      <c r="AV701" s="2010"/>
      <c r="AW701" s="2010"/>
      <c r="AX701" s="2010"/>
      <c r="AY701" s="2010"/>
      <c r="AZ701" s="2010"/>
      <c r="BA701" s="2010"/>
      <c r="BB701" s="2010"/>
      <c r="BC701" s="2010"/>
      <c r="BD701" s="2010"/>
      <c r="BE701" s="2010"/>
      <c r="BF701" s="2010"/>
      <c r="BG701" s="2010"/>
      <c r="BH701" s="2010"/>
      <c r="BI701" s="2010"/>
      <c r="BJ701" s="2010"/>
      <c r="BK701" s="2010"/>
      <c r="BL701" s="2010"/>
      <c r="BM701" s="2010"/>
      <c r="BN701" s="2010"/>
      <c r="BO701" s="2010"/>
      <c r="BP701" s="2010"/>
      <c r="BQ701" s="2010"/>
      <c r="BR701" s="2010"/>
      <c r="BS701" s="2010"/>
      <c r="BT701" s="2010"/>
      <c r="BU701" s="2010"/>
      <c r="BV701" s="2010"/>
      <c r="BW701" s="2010"/>
      <c r="BX701" s="2010"/>
      <c r="BY701" s="2010"/>
      <c r="BZ701" s="2010"/>
      <c r="CA701" s="2010"/>
      <c r="CB701" s="2010"/>
      <c r="CC701" s="2010"/>
      <c r="CD701" s="2010"/>
      <c r="CE701" s="2010"/>
      <c r="CF701" s="2010"/>
      <c r="CG701" s="2010"/>
      <c r="CH701" s="2010"/>
      <c r="CI701" s="2010"/>
      <c r="CJ701" s="2010"/>
      <c r="CK701" s="2010"/>
      <c r="CL701" s="2010"/>
      <c r="CM701" s="2010"/>
      <c r="CN701" s="2010"/>
      <c r="CO701" s="2010"/>
      <c r="CP701" s="2010"/>
      <c r="CQ701" s="2010"/>
      <c r="CR701" s="2010"/>
      <c r="CS701" s="2010"/>
      <c r="CT701" s="2010"/>
      <c r="CU701" s="2010"/>
      <c r="CV701" s="2010"/>
      <c r="CW701" s="2010"/>
      <c r="CX701" s="2010"/>
      <c r="CY701" s="2010"/>
      <c r="CZ701" s="2010"/>
      <c r="DA701" s="2010"/>
      <c r="DB701" s="2010"/>
      <c r="DC701" s="2010"/>
      <c r="DD701" s="2010"/>
      <c r="DE701" s="2010"/>
    </row>
    <row r="702" spans="1:109" s="2014" customFormat="1" x14ac:dyDescent="0.2">
      <c r="A702" s="2013"/>
      <c r="B702" s="2013"/>
      <c r="C702" s="2013"/>
      <c r="D702" s="2013"/>
      <c r="AB702" s="2010"/>
      <c r="AU702" s="2010"/>
      <c r="AV702" s="2010"/>
      <c r="AW702" s="2010"/>
      <c r="AX702" s="2010"/>
      <c r="AY702" s="2010"/>
      <c r="AZ702" s="2010"/>
      <c r="BA702" s="2010"/>
      <c r="BB702" s="2010"/>
      <c r="BC702" s="2010"/>
      <c r="BD702" s="2010"/>
      <c r="BE702" s="2010"/>
      <c r="BF702" s="2010"/>
      <c r="BG702" s="2010"/>
      <c r="BH702" s="2010"/>
      <c r="BI702" s="2010"/>
      <c r="BJ702" s="2010"/>
      <c r="BK702" s="2010"/>
      <c r="BL702" s="2010"/>
      <c r="BM702" s="2010"/>
      <c r="BN702" s="2010"/>
      <c r="BO702" s="2010"/>
      <c r="BP702" s="2010"/>
      <c r="BQ702" s="2010"/>
      <c r="BR702" s="2010"/>
      <c r="BS702" s="2010"/>
      <c r="BT702" s="2010"/>
      <c r="BU702" s="2010"/>
      <c r="BV702" s="2010"/>
      <c r="BW702" s="2010"/>
      <c r="BX702" s="2010"/>
      <c r="BY702" s="2010"/>
      <c r="BZ702" s="2010"/>
      <c r="CA702" s="2010"/>
      <c r="CB702" s="2010"/>
      <c r="CC702" s="2010"/>
      <c r="CD702" s="2010"/>
      <c r="CE702" s="2010"/>
      <c r="CF702" s="2010"/>
      <c r="CG702" s="2010"/>
      <c r="CH702" s="2010"/>
      <c r="CI702" s="2010"/>
      <c r="CJ702" s="2010"/>
      <c r="CK702" s="2010"/>
      <c r="CL702" s="2010"/>
      <c r="CM702" s="2010"/>
      <c r="CN702" s="2010"/>
      <c r="CO702" s="2010"/>
      <c r="CP702" s="2010"/>
      <c r="CQ702" s="2010"/>
      <c r="CR702" s="2010"/>
      <c r="CS702" s="2010"/>
      <c r="CT702" s="2010"/>
      <c r="CU702" s="2010"/>
      <c r="CV702" s="2010"/>
      <c r="CW702" s="2010"/>
      <c r="CX702" s="2010"/>
      <c r="CY702" s="2010"/>
      <c r="CZ702" s="2010"/>
      <c r="DA702" s="2010"/>
      <c r="DB702" s="2010"/>
      <c r="DC702" s="2010"/>
      <c r="DD702" s="2010"/>
      <c r="DE702" s="2010"/>
    </row>
    <row r="703" spans="1:109" s="2014" customFormat="1" x14ac:dyDescent="0.2">
      <c r="A703" s="2013"/>
      <c r="B703" s="2013"/>
      <c r="C703" s="2013"/>
      <c r="D703" s="2013"/>
      <c r="AB703" s="2010"/>
      <c r="AU703" s="2010"/>
      <c r="AV703" s="2010"/>
      <c r="AW703" s="2010"/>
      <c r="AX703" s="2010"/>
      <c r="AY703" s="2010"/>
      <c r="AZ703" s="2010"/>
      <c r="BA703" s="2010"/>
      <c r="BB703" s="2010"/>
      <c r="BC703" s="2010"/>
      <c r="BD703" s="2010"/>
      <c r="BE703" s="2010"/>
      <c r="BF703" s="2010"/>
      <c r="BG703" s="2010"/>
      <c r="BH703" s="2010"/>
      <c r="BI703" s="2010"/>
      <c r="BJ703" s="2010"/>
      <c r="BK703" s="2010"/>
      <c r="BL703" s="2010"/>
      <c r="BM703" s="2010"/>
      <c r="BN703" s="2010"/>
      <c r="BO703" s="2010"/>
      <c r="BP703" s="2010"/>
      <c r="BQ703" s="2010"/>
      <c r="BR703" s="2010"/>
      <c r="BS703" s="2010"/>
      <c r="BT703" s="2010"/>
      <c r="BU703" s="2010"/>
      <c r="BV703" s="2010"/>
      <c r="BW703" s="2010"/>
      <c r="BX703" s="2010"/>
      <c r="BY703" s="2010"/>
      <c r="BZ703" s="2010"/>
      <c r="CA703" s="2010"/>
      <c r="CB703" s="2010"/>
      <c r="CC703" s="2010"/>
      <c r="CD703" s="2010"/>
      <c r="CE703" s="2010"/>
      <c r="CF703" s="2010"/>
      <c r="CG703" s="2010"/>
      <c r="CH703" s="2010"/>
      <c r="CI703" s="2010"/>
      <c r="CJ703" s="2010"/>
      <c r="CK703" s="2010"/>
      <c r="CL703" s="2010"/>
      <c r="CM703" s="2010"/>
      <c r="CN703" s="2010"/>
      <c r="CO703" s="2010"/>
      <c r="CP703" s="2010"/>
      <c r="CQ703" s="2010"/>
      <c r="CR703" s="2010"/>
      <c r="CS703" s="2010"/>
      <c r="CT703" s="2010"/>
      <c r="CU703" s="2010"/>
      <c r="CV703" s="2010"/>
      <c r="CW703" s="2010"/>
      <c r="CX703" s="2010"/>
      <c r="CY703" s="2010"/>
      <c r="CZ703" s="2010"/>
      <c r="DA703" s="2010"/>
      <c r="DB703" s="2010"/>
      <c r="DC703" s="2010"/>
      <c r="DD703" s="2010"/>
      <c r="DE703" s="2010"/>
    </row>
    <row r="704" spans="1:109" s="2014" customFormat="1" x14ac:dyDescent="0.2">
      <c r="A704" s="2013"/>
      <c r="B704" s="2013"/>
      <c r="C704" s="2013"/>
      <c r="D704" s="2013"/>
      <c r="AB704" s="2010"/>
      <c r="AU704" s="2010"/>
      <c r="AV704" s="2010"/>
      <c r="AW704" s="2010"/>
      <c r="AX704" s="2010"/>
      <c r="AY704" s="2010"/>
      <c r="AZ704" s="2010"/>
      <c r="BA704" s="2010"/>
      <c r="BB704" s="2010"/>
      <c r="BC704" s="2010"/>
      <c r="BD704" s="2010"/>
      <c r="BE704" s="2010"/>
      <c r="BF704" s="2010"/>
      <c r="BG704" s="2010"/>
      <c r="BH704" s="2010"/>
      <c r="BI704" s="2010"/>
      <c r="BJ704" s="2010"/>
      <c r="BK704" s="2010"/>
      <c r="BL704" s="2010"/>
      <c r="BM704" s="2010"/>
      <c r="BN704" s="2010"/>
      <c r="BO704" s="2010"/>
      <c r="BP704" s="2010"/>
      <c r="BQ704" s="2010"/>
      <c r="BR704" s="2010"/>
      <c r="BS704" s="2010"/>
      <c r="BT704" s="2010"/>
      <c r="BU704" s="2010"/>
      <c r="BV704" s="2010"/>
      <c r="BW704" s="2010"/>
      <c r="BX704" s="2010"/>
      <c r="BY704" s="2010"/>
      <c r="BZ704" s="2010"/>
      <c r="CA704" s="2010"/>
      <c r="CB704" s="2010"/>
      <c r="CC704" s="2010"/>
      <c r="CD704" s="2010"/>
      <c r="CE704" s="2010"/>
      <c r="CF704" s="2010"/>
      <c r="CG704" s="2010"/>
      <c r="CH704" s="2010"/>
      <c r="CI704" s="2010"/>
      <c r="CJ704" s="2010"/>
      <c r="CK704" s="2010"/>
      <c r="CL704" s="2010"/>
      <c r="CM704" s="2010"/>
      <c r="CN704" s="2010"/>
      <c r="CO704" s="2010"/>
      <c r="CP704" s="2010"/>
      <c r="CQ704" s="2010"/>
      <c r="CR704" s="2010"/>
      <c r="CS704" s="2010"/>
      <c r="CT704" s="2010"/>
      <c r="CU704" s="2010"/>
      <c r="CV704" s="2010"/>
      <c r="CW704" s="2010"/>
      <c r="CX704" s="2010"/>
      <c r="CY704" s="2010"/>
      <c r="CZ704" s="2010"/>
      <c r="DA704" s="2010"/>
      <c r="DB704" s="2010"/>
      <c r="DC704" s="2010"/>
      <c r="DD704" s="2010"/>
      <c r="DE704" s="2010"/>
    </row>
    <row r="705" spans="1:109" s="2014" customFormat="1" x14ac:dyDescent="0.2">
      <c r="A705" s="2013"/>
      <c r="B705" s="2013"/>
      <c r="C705" s="2013"/>
      <c r="D705" s="2013"/>
      <c r="AB705" s="2010"/>
      <c r="AU705" s="2010"/>
      <c r="AV705" s="2010"/>
      <c r="AW705" s="2010"/>
      <c r="AX705" s="2010"/>
      <c r="AY705" s="2010"/>
      <c r="AZ705" s="2010"/>
      <c r="BA705" s="2010"/>
      <c r="BB705" s="2010"/>
      <c r="BC705" s="2010"/>
      <c r="BD705" s="2010"/>
      <c r="BE705" s="2010"/>
      <c r="BF705" s="2010"/>
      <c r="BG705" s="2010"/>
      <c r="BH705" s="2010"/>
      <c r="BI705" s="2010"/>
      <c r="BJ705" s="2010"/>
      <c r="BK705" s="2010"/>
      <c r="BL705" s="2010"/>
      <c r="BM705" s="2010"/>
      <c r="BN705" s="2010"/>
      <c r="BO705" s="2010"/>
      <c r="BP705" s="2010"/>
      <c r="BQ705" s="2010"/>
      <c r="BR705" s="2010"/>
      <c r="BS705" s="2010"/>
      <c r="BT705" s="2010"/>
      <c r="BU705" s="2010"/>
      <c r="BV705" s="2010"/>
      <c r="BW705" s="2010"/>
      <c r="BX705" s="2010"/>
      <c r="BY705" s="2010"/>
      <c r="BZ705" s="2010"/>
      <c r="CA705" s="2010"/>
      <c r="CB705" s="2010"/>
      <c r="CC705" s="2010"/>
      <c r="CD705" s="2010"/>
      <c r="CE705" s="2010"/>
      <c r="CF705" s="2010"/>
      <c r="CG705" s="2010"/>
      <c r="CH705" s="2010"/>
      <c r="CI705" s="2010"/>
      <c r="CJ705" s="2010"/>
      <c r="CK705" s="2010"/>
      <c r="CL705" s="2010"/>
      <c r="CM705" s="2010"/>
      <c r="CN705" s="2010"/>
      <c r="CO705" s="2010"/>
      <c r="CP705" s="2010"/>
      <c r="CQ705" s="2010"/>
      <c r="CR705" s="2010"/>
      <c r="CS705" s="2010"/>
      <c r="CT705" s="2010"/>
      <c r="CU705" s="2010"/>
      <c r="CV705" s="2010"/>
      <c r="CW705" s="2010"/>
      <c r="CX705" s="2010"/>
      <c r="CY705" s="2010"/>
      <c r="CZ705" s="2010"/>
      <c r="DA705" s="2010"/>
      <c r="DB705" s="2010"/>
      <c r="DC705" s="2010"/>
      <c r="DD705" s="2010"/>
      <c r="DE705" s="2010"/>
    </row>
    <row r="706" spans="1:109" s="2014" customFormat="1" x14ac:dyDescent="0.2">
      <c r="A706" s="2013"/>
      <c r="B706" s="2013"/>
      <c r="C706" s="2013"/>
      <c r="D706" s="2013"/>
      <c r="AB706" s="2010"/>
      <c r="AU706" s="2010"/>
      <c r="AV706" s="2010"/>
      <c r="AW706" s="2010"/>
      <c r="AX706" s="2010"/>
      <c r="AY706" s="2010"/>
      <c r="AZ706" s="2010"/>
      <c r="BA706" s="2010"/>
      <c r="BB706" s="2010"/>
      <c r="BC706" s="2010"/>
      <c r="BD706" s="2010"/>
      <c r="BE706" s="2010"/>
      <c r="BF706" s="2010"/>
      <c r="BG706" s="2010"/>
      <c r="BH706" s="2010"/>
      <c r="BI706" s="2010"/>
      <c r="BJ706" s="2010"/>
      <c r="BK706" s="2010"/>
      <c r="BL706" s="2010"/>
      <c r="BM706" s="2010"/>
      <c r="BN706" s="2010"/>
      <c r="BO706" s="2010"/>
      <c r="BP706" s="2010"/>
      <c r="BQ706" s="2010"/>
      <c r="BR706" s="2010"/>
      <c r="BS706" s="2010"/>
      <c r="BT706" s="2010"/>
      <c r="BU706" s="2010"/>
      <c r="BV706" s="2010"/>
      <c r="BW706" s="2010"/>
      <c r="BX706" s="2010"/>
      <c r="BY706" s="2010"/>
      <c r="BZ706" s="2010"/>
      <c r="CA706" s="2010"/>
      <c r="CB706" s="2010"/>
      <c r="CC706" s="2010"/>
      <c r="CD706" s="2010"/>
      <c r="CE706" s="2010"/>
      <c r="CF706" s="2010"/>
      <c r="CG706" s="2010"/>
      <c r="CH706" s="2010"/>
      <c r="CI706" s="2010"/>
      <c r="CJ706" s="2010"/>
      <c r="CK706" s="2010"/>
      <c r="CL706" s="2010"/>
      <c r="CM706" s="2010"/>
      <c r="CN706" s="2010"/>
      <c r="CO706" s="2010"/>
      <c r="CP706" s="2010"/>
      <c r="CQ706" s="2010"/>
      <c r="CR706" s="2010"/>
      <c r="CS706" s="2010"/>
      <c r="CT706" s="2010"/>
      <c r="CU706" s="2010"/>
      <c r="CV706" s="2010"/>
      <c r="CW706" s="2010"/>
      <c r="CX706" s="2010"/>
      <c r="CY706" s="2010"/>
      <c r="CZ706" s="2010"/>
      <c r="DA706" s="2010"/>
      <c r="DB706" s="2010"/>
      <c r="DC706" s="2010"/>
      <c r="DD706" s="2010"/>
      <c r="DE706" s="2010"/>
    </row>
    <row r="707" spans="1:109" s="2014" customFormat="1" x14ac:dyDescent="0.2">
      <c r="A707" s="2013"/>
      <c r="B707" s="2013"/>
      <c r="C707" s="2013"/>
      <c r="D707" s="2013"/>
      <c r="AB707" s="2010"/>
      <c r="AU707" s="2010"/>
      <c r="AV707" s="2010"/>
      <c r="AW707" s="2010"/>
      <c r="AX707" s="2010"/>
      <c r="AY707" s="2010"/>
      <c r="AZ707" s="2010"/>
      <c r="BA707" s="2010"/>
      <c r="BB707" s="2010"/>
      <c r="BC707" s="2010"/>
      <c r="BD707" s="2010"/>
      <c r="BE707" s="2010"/>
      <c r="BF707" s="2010"/>
      <c r="BG707" s="2010"/>
      <c r="BH707" s="2010"/>
      <c r="BI707" s="2010"/>
      <c r="BJ707" s="2010"/>
      <c r="BK707" s="2010"/>
      <c r="BL707" s="2010"/>
      <c r="BM707" s="2010"/>
      <c r="BN707" s="2010"/>
      <c r="BO707" s="2010"/>
      <c r="BP707" s="2010"/>
      <c r="BQ707" s="2010"/>
      <c r="BR707" s="2010"/>
      <c r="BS707" s="2010"/>
      <c r="BT707" s="2010"/>
      <c r="BU707" s="2010"/>
      <c r="BV707" s="2010"/>
      <c r="BW707" s="2010"/>
      <c r="BX707" s="2010"/>
      <c r="BY707" s="2010"/>
      <c r="BZ707" s="2010"/>
      <c r="CA707" s="2010"/>
      <c r="CB707" s="2010"/>
      <c r="CC707" s="2010"/>
      <c r="CD707" s="2010"/>
      <c r="CE707" s="2010"/>
      <c r="CF707" s="2010"/>
      <c r="CG707" s="2010"/>
      <c r="CH707" s="2010"/>
      <c r="CI707" s="2010"/>
      <c r="CJ707" s="2010"/>
      <c r="CK707" s="2010"/>
      <c r="CL707" s="2010"/>
      <c r="CM707" s="2010"/>
      <c r="CN707" s="2010"/>
      <c r="CO707" s="2010"/>
      <c r="CP707" s="2010"/>
      <c r="CQ707" s="2010"/>
      <c r="CR707" s="2010"/>
      <c r="CS707" s="2010"/>
      <c r="CT707" s="2010"/>
      <c r="CU707" s="2010"/>
      <c r="CV707" s="2010"/>
      <c r="CW707" s="2010"/>
      <c r="CX707" s="2010"/>
      <c r="CY707" s="2010"/>
      <c r="CZ707" s="2010"/>
      <c r="DA707" s="2010"/>
      <c r="DB707" s="2010"/>
      <c r="DC707" s="2010"/>
      <c r="DD707" s="2010"/>
      <c r="DE707" s="2010"/>
    </row>
    <row r="708" spans="1:109" s="2014" customFormat="1" x14ac:dyDescent="0.2">
      <c r="A708" s="2013"/>
      <c r="B708" s="2013"/>
      <c r="C708" s="2013"/>
      <c r="D708" s="2013"/>
      <c r="AB708" s="2010"/>
      <c r="AU708" s="2010"/>
      <c r="AV708" s="2010"/>
      <c r="AW708" s="2010"/>
      <c r="AX708" s="2010"/>
      <c r="AY708" s="2010"/>
      <c r="AZ708" s="2010"/>
      <c r="BA708" s="2010"/>
      <c r="BB708" s="2010"/>
      <c r="BC708" s="2010"/>
      <c r="BD708" s="2010"/>
      <c r="BE708" s="2010"/>
      <c r="BF708" s="2010"/>
      <c r="BG708" s="2010"/>
      <c r="BH708" s="2010"/>
      <c r="BI708" s="2010"/>
      <c r="BJ708" s="2010"/>
      <c r="BK708" s="2010"/>
      <c r="BL708" s="2010"/>
      <c r="BM708" s="2010"/>
      <c r="BN708" s="2010"/>
      <c r="BO708" s="2010"/>
      <c r="BP708" s="2010"/>
      <c r="BQ708" s="2010"/>
      <c r="BR708" s="2010"/>
      <c r="BS708" s="2010"/>
      <c r="BT708" s="2010"/>
      <c r="BU708" s="2010"/>
      <c r="BV708" s="2010"/>
      <c r="BW708" s="2010"/>
      <c r="BX708" s="2010"/>
      <c r="BY708" s="2010"/>
      <c r="BZ708" s="2010"/>
      <c r="CA708" s="2010"/>
      <c r="CB708" s="2010"/>
      <c r="CC708" s="2010"/>
      <c r="CD708" s="2010"/>
      <c r="CE708" s="2010"/>
      <c r="CF708" s="2010"/>
      <c r="CG708" s="2010"/>
      <c r="CH708" s="2010"/>
      <c r="CI708" s="2010"/>
      <c r="CJ708" s="2010"/>
      <c r="CK708" s="2010"/>
      <c r="CL708" s="2010"/>
      <c r="CM708" s="2010"/>
      <c r="CN708" s="2010"/>
      <c r="CO708" s="2010"/>
      <c r="CP708" s="2010"/>
      <c r="CQ708" s="2010"/>
      <c r="CR708" s="2010"/>
      <c r="CS708" s="2010"/>
      <c r="CT708" s="2010"/>
      <c r="CU708" s="2010"/>
      <c r="CV708" s="2010"/>
      <c r="CW708" s="2010"/>
      <c r="CX708" s="2010"/>
      <c r="CY708" s="2010"/>
      <c r="CZ708" s="2010"/>
      <c r="DA708" s="2010"/>
      <c r="DB708" s="2010"/>
      <c r="DC708" s="2010"/>
      <c r="DD708" s="2010"/>
      <c r="DE708" s="2010"/>
    </row>
    <row r="709" spans="1:109" s="2014" customFormat="1" x14ac:dyDescent="0.2">
      <c r="A709" s="2013"/>
      <c r="B709" s="2013"/>
      <c r="C709" s="2013"/>
      <c r="D709" s="2013"/>
      <c r="AB709" s="2010"/>
      <c r="AU709" s="2010"/>
      <c r="AV709" s="2010"/>
      <c r="AW709" s="2010"/>
      <c r="AX709" s="2010"/>
      <c r="AY709" s="2010"/>
      <c r="AZ709" s="2010"/>
      <c r="BA709" s="2010"/>
      <c r="BB709" s="2010"/>
      <c r="BC709" s="2010"/>
      <c r="BD709" s="2010"/>
      <c r="BE709" s="2010"/>
      <c r="BF709" s="2010"/>
      <c r="BG709" s="2010"/>
      <c r="BH709" s="2010"/>
      <c r="BI709" s="2010"/>
      <c r="BJ709" s="2010"/>
      <c r="BK709" s="2010"/>
      <c r="BL709" s="2010"/>
      <c r="BM709" s="2010"/>
      <c r="BN709" s="2010"/>
      <c r="BO709" s="2010"/>
      <c r="BP709" s="2010"/>
      <c r="BQ709" s="2010"/>
      <c r="BR709" s="2010"/>
      <c r="BS709" s="2010"/>
      <c r="BT709" s="2010"/>
      <c r="BU709" s="2010"/>
      <c r="BV709" s="2010"/>
      <c r="BW709" s="2010"/>
      <c r="BX709" s="2010"/>
      <c r="BY709" s="2010"/>
      <c r="BZ709" s="2010"/>
      <c r="CA709" s="2010"/>
      <c r="CB709" s="2010"/>
      <c r="CC709" s="2010"/>
      <c r="CD709" s="2010"/>
      <c r="CE709" s="2010"/>
      <c r="CF709" s="2010"/>
      <c r="CG709" s="2010"/>
      <c r="CH709" s="2010"/>
      <c r="CI709" s="2010"/>
      <c r="CJ709" s="2010"/>
      <c r="CK709" s="2010"/>
      <c r="CL709" s="2010"/>
      <c r="CM709" s="2010"/>
      <c r="CN709" s="2010"/>
      <c r="CO709" s="2010"/>
      <c r="CP709" s="2010"/>
      <c r="CQ709" s="2010"/>
      <c r="CR709" s="2010"/>
      <c r="CS709" s="2010"/>
      <c r="CT709" s="2010"/>
      <c r="CU709" s="2010"/>
      <c r="CV709" s="2010"/>
      <c r="CW709" s="2010"/>
      <c r="CX709" s="2010"/>
      <c r="CY709" s="2010"/>
      <c r="CZ709" s="2010"/>
      <c r="DA709" s="2010"/>
      <c r="DB709" s="2010"/>
      <c r="DC709" s="2010"/>
      <c r="DD709" s="2010"/>
      <c r="DE709" s="2010"/>
    </row>
    <row r="710" spans="1:109" s="2014" customFormat="1" x14ac:dyDescent="0.2">
      <c r="A710" s="2013"/>
      <c r="B710" s="2013"/>
      <c r="C710" s="2013"/>
      <c r="D710" s="2013"/>
      <c r="AB710" s="2010"/>
      <c r="AU710" s="2010"/>
      <c r="AV710" s="2010"/>
      <c r="AW710" s="2010"/>
      <c r="AX710" s="2010"/>
      <c r="AY710" s="2010"/>
      <c r="AZ710" s="2010"/>
      <c r="BA710" s="2010"/>
      <c r="BB710" s="2010"/>
      <c r="BC710" s="2010"/>
      <c r="BD710" s="2010"/>
      <c r="BE710" s="2010"/>
      <c r="BF710" s="2010"/>
      <c r="BG710" s="2010"/>
      <c r="BH710" s="2010"/>
      <c r="BI710" s="2010"/>
      <c r="BJ710" s="2010"/>
      <c r="BK710" s="2010"/>
      <c r="BL710" s="2010"/>
      <c r="BM710" s="2010"/>
      <c r="BN710" s="2010"/>
      <c r="BO710" s="2010"/>
      <c r="BP710" s="2010"/>
      <c r="BQ710" s="2010"/>
      <c r="BR710" s="2010"/>
      <c r="BS710" s="2010"/>
      <c r="BT710" s="2010"/>
      <c r="BU710" s="2010"/>
      <c r="BV710" s="2010"/>
      <c r="BW710" s="2010"/>
      <c r="BX710" s="2010"/>
      <c r="BY710" s="2010"/>
      <c r="BZ710" s="2010"/>
      <c r="CA710" s="2010"/>
      <c r="CB710" s="2010"/>
      <c r="CC710" s="2010"/>
      <c r="CD710" s="2010"/>
      <c r="CE710" s="2010"/>
      <c r="CF710" s="2010"/>
      <c r="CG710" s="2010"/>
      <c r="CH710" s="2010"/>
      <c r="CI710" s="2010"/>
      <c r="CJ710" s="2010"/>
      <c r="CK710" s="2010"/>
      <c r="CL710" s="2010"/>
      <c r="CM710" s="2010"/>
      <c r="CN710" s="2010"/>
      <c r="CO710" s="2010"/>
      <c r="CP710" s="2010"/>
      <c r="CQ710" s="2010"/>
      <c r="CR710" s="2010"/>
      <c r="CS710" s="2010"/>
      <c r="CT710" s="2010"/>
      <c r="CU710" s="2010"/>
      <c r="CV710" s="2010"/>
      <c r="CW710" s="2010"/>
      <c r="CX710" s="2010"/>
      <c r="CY710" s="2010"/>
      <c r="CZ710" s="2010"/>
      <c r="DA710" s="2010"/>
      <c r="DB710" s="2010"/>
      <c r="DC710" s="2010"/>
      <c r="DD710" s="2010"/>
      <c r="DE710" s="2010"/>
    </row>
    <row r="711" spans="1:109" s="2014" customFormat="1" x14ac:dyDescent="0.2">
      <c r="A711" s="2013"/>
      <c r="B711" s="2013"/>
      <c r="C711" s="2013"/>
      <c r="D711" s="2013"/>
      <c r="AB711" s="2010"/>
      <c r="AU711" s="2010"/>
      <c r="AV711" s="2010"/>
      <c r="AW711" s="2010"/>
      <c r="AX711" s="2010"/>
      <c r="AY711" s="2010"/>
      <c r="AZ711" s="2010"/>
      <c r="BA711" s="2010"/>
      <c r="BB711" s="2010"/>
      <c r="BC711" s="2010"/>
      <c r="BD711" s="2010"/>
      <c r="BE711" s="2010"/>
      <c r="BF711" s="2010"/>
      <c r="BG711" s="2010"/>
      <c r="BH711" s="2010"/>
      <c r="BI711" s="2010"/>
      <c r="BJ711" s="2010"/>
      <c r="BK711" s="2010"/>
      <c r="BL711" s="2010"/>
      <c r="BM711" s="2010"/>
      <c r="BN711" s="2010"/>
      <c r="BO711" s="2010"/>
      <c r="BP711" s="2010"/>
      <c r="BQ711" s="2010"/>
      <c r="BR711" s="2010"/>
      <c r="BS711" s="2010"/>
      <c r="BT711" s="2010"/>
      <c r="BU711" s="2010"/>
      <c r="BV711" s="2010"/>
      <c r="BW711" s="2010"/>
      <c r="BX711" s="2010"/>
      <c r="BY711" s="2010"/>
      <c r="BZ711" s="2010"/>
      <c r="CA711" s="2010"/>
      <c r="CB711" s="2010"/>
      <c r="CC711" s="2010"/>
      <c r="CD711" s="2010"/>
      <c r="CE711" s="2010"/>
      <c r="CF711" s="2010"/>
      <c r="CG711" s="2010"/>
      <c r="CH711" s="2010"/>
      <c r="CI711" s="2010"/>
      <c r="CJ711" s="2010"/>
      <c r="CK711" s="2010"/>
      <c r="CL711" s="2010"/>
      <c r="CM711" s="2010"/>
      <c r="CN711" s="2010"/>
      <c r="CO711" s="2010"/>
      <c r="CP711" s="2010"/>
      <c r="CQ711" s="2010"/>
      <c r="CR711" s="2010"/>
      <c r="CS711" s="2010"/>
      <c r="CT711" s="2010"/>
      <c r="CU711" s="2010"/>
      <c r="CV711" s="2010"/>
      <c r="CW711" s="2010"/>
      <c r="CX711" s="2010"/>
      <c r="CY711" s="2010"/>
      <c r="CZ711" s="2010"/>
      <c r="DA711" s="2010"/>
      <c r="DB711" s="2010"/>
      <c r="DC711" s="2010"/>
      <c r="DD711" s="2010"/>
      <c r="DE711" s="2010"/>
    </row>
    <row r="712" spans="1:109" s="2014" customFormat="1" x14ac:dyDescent="0.2">
      <c r="A712" s="2013"/>
      <c r="B712" s="2013"/>
      <c r="C712" s="2013"/>
      <c r="D712" s="2013"/>
      <c r="AB712" s="2010"/>
      <c r="AU712" s="2010"/>
      <c r="AV712" s="2010"/>
      <c r="AW712" s="2010"/>
      <c r="AX712" s="2010"/>
      <c r="AY712" s="2010"/>
      <c r="AZ712" s="2010"/>
      <c r="BA712" s="2010"/>
      <c r="BB712" s="2010"/>
      <c r="BC712" s="2010"/>
      <c r="BD712" s="2010"/>
      <c r="BE712" s="2010"/>
      <c r="BF712" s="2010"/>
      <c r="BG712" s="2010"/>
      <c r="BH712" s="2010"/>
      <c r="BI712" s="2010"/>
      <c r="BJ712" s="2010"/>
      <c r="BK712" s="2010"/>
      <c r="BL712" s="2010"/>
      <c r="BM712" s="2010"/>
      <c r="BN712" s="2010"/>
      <c r="BO712" s="2010"/>
      <c r="BP712" s="2010"/>
      <c r="BQ712" s="2010"/>
      <c r="BR712" s="2010"/>
      <c r="BS712" s="2010"/>
      <c r="BT712" s="2010"/>
      <c r="BU712" s="2010"/>
      <c r="BV712" s="2010"/>
      <c r="BW712" s="2010"/>
      <c r="BX712" s="2010"/>
      <c r="BY712" s="2010"/>
      <c r="BZ712" s="2010"/>
      <c r="CA712" s="2010"/>
      <c r="CB712" s="2010"/>
      <c r="CC712" s="2010"/>
      <c r="CD712" s="2010"/>
      <c r="CE712" s="2010"/>
      <c r="CF712" s="2010"/>
      <c r="CG712" s="2010"/>
      <c r="CH712" s="2010"/>
      <c r="CI712" s="2010"/>
      <c r="CJ712" s="2010"/>
      <c r="CK712" s="2010"/>
      <c r="CL712" s="2010"/>
      <c r="CM712" s="2010"/>
      <c r="CN712" s="2010"/>
      <c r="CO712" s="2010"/>
      <c r="CP712" s="2010"/>
      <c r="CQ712" s="2010"/>
      <c r="CR712" s="2010"/>
      <c r="CS712" s="2010"/>
      <c r="CT712" s="2010"/>
      <c r="CU712" s="2010"/>
      <c r="CV712" s="2010"/>
      <c r="CW712" s="2010"/>
      <c r="CX712" s="2010"/>
      <c r="CY712" s="2010"/>
      <c r="CZ712" s="2010"/>
      <c r="DA712" s="2010"/>
      <c r="DB712" s="2010"/>
      <c r="DC712" s="2010"/>
      <c r="DD712" s="2010"/>
      <c r="DE712" s="2010"/>
    </row>
    <row r="713" spans="1:109" s="2014" customFormat="1" x14ac:dyDescent="0.2">
      <c r="A713" s="2013"/>
      <c r="B713" s="2013"/>
      <c r="C713" s="2013"/>
      <c r="D713" s="2013"/>
      <c r="AB713" s="2010"/>
      <c r="AU713" s="2010"/>
      <c r="AV713" s="2010"/>
      <c r="AW713" s="2010"/>
      <c r="AX713" s="2010"/>
      <c r="AY713" s="2010"/>
      <c r="AZ713" s="2010"/>
      <c r="BA713" s="2010"/>
      <c r="BB713" s="2010"/>
      <c r="BC713" s="2010"/>
      <c r="BD713" s="2010"/>
      <c r="BE713" s="2010"/>
      <c r="BF713" s="2010"/>
      <c r="BG713" s="2010"/>
      <c r="BH713" s="2010"/>
      <c r="BI713" s="2010"/>
      <c r="BJ713" s="2010"/>
      <c r="BK713" s="2010"/>
      <c r="BL713" s="2010"/>
      <c r="BM713" s="2010"/>
      <c r="BN713" s="2010"/>
      <c r="BO713" s="2010"/>
      <c r="BP713" s="2010"/>
      <c r="BQ713" s="2010"/>
      <c r="BR713" s="2010"/>
      <c r="BS713" s="2010"/>
      <c r="BT713" s="2010"/>
      <c r="BU713" s="2010"/>
      <c r="BV713" s="2010"/>
      <c r="BW713" s="2010"/>
      <c r="BX713" s="2010"/>
      <c r="BY713" s="2010"/>
      <c r="BZ713" s="2010"/>
      <c r="CA713" s="2010"/>
      <c r="CB713" s="2010"/>
      <c r="CC713" s="2010"/>
      <c r="CD713" s="2010"/>
      <c r="CE713" s="2010"/>
      <c r="CF713" s="2010"/>
      <c r="CG713" s="2010"/>
      <c r="CH713" s="2010"/>
      <c r="CI713" s="2010"/>
      <c r="CJ713" s="2010"/>
      <c r="CK713" s="2010"/>
      <c r="CL713" s="2010"/>
      <c r="CM713" s="2010"/>
      <c r="CN713" s="2010"/>
      <c r="CO713" s="2010"/>
      <c r="CP713" s="2010"/>
      <c r="CQ713" s="2010"/>
      <c r="CR713" s="2010"/>
      <c r="CS713" s="2010"/>
      <c r="CT713" s="2010"/>
      <c r="CU713" s="2010"/>
      <c r="CV713" s="2010"/>
      <c r="CW713" s="2010"/>
      <c r="CX713" s="2010"/>
      <c r="CY713" s="2010"/>
      <c r="CZ713" s="2010"/>
      <c r="DA713" s="2010"/>
      <c r="DB713" s="2010"/>
      <c r="DC713" s="2010"/>
      <c r="DD713" s="2010"/>
      <c r="DE713" s="2010"/>
    </row>
    <row r="714" spans="1:109" s="2014" customFormat="1" x14ac:dyDescent="0.2">
      <c r="A714" s="2013"/>
      <c r="B714" s="2013"/>
      <c r="C714" s="2013"/>
      <c r="D714" s="2013"/>
      <c r="AB714" s="2010"/>
      <c r="AU714" s="2010"/>
      <c r="AV714" s="2010"/>
      <c r="AW714" s="2010"/>
      <c r="AX714" s="2010"/>
      <c r="AY714" s="2010"/>
      <c r="AZ714" s="2010"/>
      <c r="BA714" s="2010"/>
      <c r="BB714" s="2010"/>
      <c r="BC714" s="2010"/>
      <c r="BD714" s="2010"/>
      <c r="BE714" s="2010"/>
      <c r="BF714" s="2010"/>
      <c r="BG714" s="2010"/>
      <c r="BH714" s="2010"/>
      <c r="BI714" s="2010"/>
      <c r="BJ714" s="2010"/>
      <c r="BK714" s="2010"/>
      <c r="BL714" s="2010"/>
      <c r="BM714" s="2010"/>
      <c r="BN714" s="2010"/>
      <c r="BO714" s="2010"/>
      <c r="BP714" s="2010"/>
      <c r="BQ714" s="2010"/>
      <c r="BR714" s="2010"/>
      <c r="BS714" s="2010"/>
      <c r="BT714" s="2010"/>
      <c r="BU714" s="2010"/>
      <c r="BV714" s="2010"/>
      <c r="BW714" s="2010"/>
      <c r="BX714" s="2010"/>
      <c r="BY714" s="2010"/>
      <c r="BZ714" s="2010"/>
      <c r="CA714" s="2010"/>
      <c r="CB714" s="2010"/>
      <c r="CC714" s="2010"/>
      <c r="CD714" s="2010"/>
      <c r="CE714" s="2010"/>
      <c r="CF714" s="2010"/>
      <c r="CG714" s="2010"/>
      <c r="CH714" s="2010"/>
      <c r="CI714" s="2010"/>
      <c r="CJ714" s="2010"/>
      <c r="CK714" s="2010"/>
      <c r="CL714" s="2010"/>
      <c r="CM714" s="2010"/>
      <c r="CN714" s="2010"/>
      <c r="CO714" s="2010"/>
      <c r="CP714" s="2010"/>
      <c r="CQ714" s="2010"/>
      <c r="CR714" s="2010"/>
      <c r="CS714" s="2010"/>
      <c r="CT714" s="2010"/>
      <c r="CU714" s="2010"/>
      <c r="CV714" s="2010"/>
      <c r="CW714" s="2010"/>
      <c r="CX714" s="2010"/>
      <c r="CY714" s="2010"/>
      <c r="CZ714" s="2010"/>
      <c r="DA714" s="2010"/>
      <c r="DB714" s="2010"/>
      <c r="DC714" s="2010"/>
      <c r="DD714" s="2010"/>
      <c r="DE714" s="2010"/>
    </row>
    <row r="715" spans="1:109" s="2014" customFormat="1" x14ac:dyDescent="0.2">
      <c r="A715" s="2013"/>
      <c r="B715" s="2013"/>
      <c r="C715" s="2013"/>
      <c r="D715" s="2013"/>
      <c r="AB715" s="2010"/>
      <c r="AU715" s="2010"/>
      <c r="AV715" s="2010"/>
      <c r="AW715" s="2010"/>
      <c r="AX715" s="2010"/>
      <c r="AY715" s="2010"/>
      <c r="AZ715" s="2010"/>
      <c r="BA715" s="2010"/>
      <c r="BB715" s="2010"/>
      <c r="BC715" s="2010"/>
      <c r="BD715" s="2010"/>
      <c r="BE715" s="2010"/>
      <c r="BF715" s="2010"/>
      <c r="BG715" s="2010"/>
      <c r="BH715" s="2010"/>
      <c r="BI715" s="2010"/>
      <c r="BJ715" s="2010"/>
      <c r="BK715" s="2010"/>
      <c r="BL715" s="2010"/>
      <c r="BM715" s="2010"/>
      <c r="BN715" s="2010"/>
      <c r="BO715" s="2010"/>
      <c r="BP715" s="2010"/>
      <c r="BQ715" s="2010"/>
      <c r="BR715" s="2010"/>
      <c r="BS715" s="2010"/>
      <c r="BT715" s="2010"/>
      <c r="BU715" s="2010"/>
      <c r="BV715" s="2010"/>
      <c r="BW715" s="2010"/>
      <c r="BX715" s="2010"/>
      <c r="BY715" s="2010"/>
      <c r="BZ715" s="2010"/>
      <c r="CA715" s="2010"/>
      <c r="CB715" s="2010"/>
      <c r="CC715" s="2010"/>
      <c r="CD715" s="2010"/>
      <c r="CE715" s="2010"/>
      <c r="CF715" s="2010"/>
      <c r="CG715" s="2010"/>
      <c r="CH715" s="2010"/>
      <c r="CI715" s="2010"/>
      <c r="CJ715" s="2010"/>
      <c r="CK715" s="2010"/>
      <c r="CL715" s="2010"/>
      <c r="CM715" s="2010"/>
      <c r="CN715" s="2010"/>
      <c r="CO715" s="2010"/>
      <c r="CP715" s="2010"/>
      <c r="CQ715" s="2010"/>
      <c r="CR715" s="2010"/>
      <c r="CS715" s="2010"/>
      <c r="CT715" s="2010"/>
      <c r="CU715" s="2010"/>
      <c r="CV715" s="2010"/>
      <c r="CW715" s="2010"/>
      <c r="CX715" s="2010"/>
      <c r="CY715" s="2010"/>
      <c r="CZ715" s="2010"/>
      <c r="DA715" s="2010"/>
      <c r="DB715" s="2010"/>
      <c r="DC715" s="2010"/>
      <c r="DD715" s="2010"/>
      <c r="DE715" s="2010"/>
    </row>
    <row r="716" spans="1:109" s="2014" customFormat="1" x14ac:dyDescent="0.2">
      <c r="A716" s="2013"/>
      <c r="B716" s="2013"/>
      <c r="C716" s="2013"/>
      <c r="D716" s="2013"/>
      <c r="AB716" s="2010"/>
      <c r="AU716" s="2010"/>
      <c r="AV716" s="2010"/>
      <c r="AW716" s="2010"/>
      <c r="AX716" s="2010"/>
      <c r="AY716" s="2010"/>
      <c r="AZ716" s="2010"/>
      <c r="BA716" s="2010"/>
      <c r="BB716" s="2010"/>
      <c r="BC716" s="2010"/>
      <c r="BD716" s="2010"/>
      <c r="BE716" s="2010"/>
      <c r="BF716" s="2010"/>
      <c r="BG716" s="2010"/>
      <c r="BH716" s="2010"/>
      <c r="BI716" s="2010"/>
      <c r="BJ716" s="2010"/>
      <c r="BK716" s="2010"/>
      <c r="BL716" s="2010"/>
      <c r="BM716" s="2010"/>
      <c r="BN716" s="2010"/>
      <c r="BO716" s="2010"/>
      <c r="BP716" s="2010"/>
      <c r="BQ716" s="2010"/>
      <c r="BR716" s="2010"/>
      <c r="BS716" s="2010"/>
      <c r="BT716" s="2010"/>
      <c r="BU716" s="2010"/>
      <c r="BV716" s="2010"/>
      <c r="BW716" s="2010"/>
      <c r="BX716" s="2010"/>
      <c r="BY716" s="2010"/>
      <c r="BZ716" s="2010"/>
      <c r="CA716" s="2010"/>
      <c r="CB716" s="2010"/>
      <c r="CC716" s="2010"/>
      <c r="CD716" s="2010"/>
      <c r="CE716" s="2010"/>
      <c r="CF716" s="2010"/>
      <c r="CG716" s="2010"/>
      <c r="CH716" s="2010"/>
      <c r="CI716" s="2010"/>
      <c r="CJ716" s="2010"/>
      <c r="CK716" s="2010"/>
      <c r="CL716" s="2010"/>
      <c r="CM716" s="2010"/>
      <c r="CN716" s="2010"/>
      <c r="CO716" s="2010"/>
      <c r="CP716" s="2010"/>
      <c r="CQ716" s="2010"/>
      <c r="CR716" s="2010"/>
      <c r="CS716" s="2010"/>
      <c r="CT716" s="2010"/>
      <c r="CU716" s="2010"/>
      <c r="CV716" s="2010"/>
      <c r="CW716" s="2010"/>
      <c r="CX716" s="2010"/>
      <c r="CY716" s="2010"/>
      <c r="CZ716" s="2010"/>
      <c r="DA716" s="2010"/>
      <c r="DB716" s="2010"/>
      <c r="DC716" s="2010"/>
      <c r="DD716" s="2010"/>
      <c r="DE716" s="2010"/>
    </row>
    <row r="717" spans="1:109" s="2014" customFormat="1" x14ac:dyDescent="0.2">
      <c r="A717" s="2013"/>
      <c r="B717" s="2013"/>
      <c r="C717" s="2013"/>
      <c r="D717" s="2013"/>
      <c r="AB717" s="2010"/>
      <c r="AU717" s="2010"/>
      <c r="AV717" s="2010"/>
      <c r="AW717" s="2010"/>
      <c r="AX717" s="2010"/>
      <c r="AY717" s="2010"/>
      <c r="AZ717" s="2010"/>
      <c r="BA717" s="2010"/>
      <c r="BB717" s="2010"/>
      <c r="BC717" s="2010"/>
      <c r="BD717" s="2010"/>
      <c r="BE717" s="2010"/>
      <c r="BF717" s="2010"/>
      <c r="BG717" s="2010"/>
      <c r="BH717" s="2010"/>
      <c r="BI717" s="2010"/>
      <c r="BJ717" s="2010"/>
      <c r="BK717" s="2010"/>
      <c r="BL717" s="2010"/>
      <c r="BM717" s="2010"/>
      <c r="BN717" s="2010"/>
      <c r="BO717" s="2010"/>
      <c r="BP717" s="2010"/>
      <c r="BQ717" s="2010"/>
      <c r="BR717" s="2010"/>
      <c r="BS717" s="2010"/>
      <c r="BT717" s="2010"/>
      <c r="BU717" s="2010"/>
      <c r="BV717" s="2010"/>
      <c r="BW717" s="2010"/>
      <c r="BX717" s="2010"/>
      <c r="BY717" s="2010"/>
      <c r="BZ717" s="2010"/>
      <c r="CA717" s="2010"/>
      <c r="CB717" s="2010"/>
      <c r="CC717" s="2010"/>
      <c r="CD717" s="2010"/>
      <c r="CE717" s="2010"/>
      <c r="CF717" s="2010"/>
      <c r="CG717" s="2010"/>
      <c r="CH717" s="2010"/>
      <c r="CI717" s="2010"/>
      <c r="CJ717" s="2010"/>
      <c r="CK717" s="2010"/>
      <c r="CL717" s="2010"/>
      <c r="CM717" s="2010"/>
      <c r="CN717" s="2010"/>
      <c r="CO717" s="2010"/>
      <c r="CP717" s="2010"/>
      <c r="CQ717" s="2010"/>
      <c r="CR717" s="2010"/>
      <c r="CS717" s="2010"/>
      <c r="CT717" s="2010"/>
      <c r="CU717" s="2010"/>
      <c r="CV717" s="2010"/>
      <c r="CW717" s="2010"/>
      <c r="CX717" s="2010"/>
      <c r="CY717" s="2010"/>
      <c r="CZ717" s="2010"/>
      <c r="DA717" s="2010"/>
      <c r="DB717" s="2010"/>
      <c r="DC717" s="2010"/>
      <c r="DD717" s="2010"/>
      <c r="DE717" s="2010"/>
    </row>
    <row r="718" spans="1:109" s="2014" customFormat="1" x14ac:dyDescent="0.2">
      <c r="A718" s="2013"/>
      <c r="B718" s="2013"/>
      <c r="C718" s="2013"/>
      <c r="D718" s="2013"/>
      <c r="AB718" s="2010"/>
      <c r="AU718" s="2010"/>
      <c r="AV718" s="2010"/>
      <c r="AW718" s="2010"/>
      <c r="AX718" s="2010"/>
      <c r="AY718" s="2010"/>
      <c r="AZ718" s="2010"/>
      <c r="BA718" s="2010"/>
      <c r="BB718" s="2010"/>
      <c r="BC718" s="2010"/>
      <c r="BD718" s="2010"/>
      <c r="BE718" s="2010"/>
      <c r="BF718" s="2010"/>
      <c r="BG718" s="2010"/>
      <c r="BH718" s="2010"/>
      <c r="BI718" s="2010"/>
      <c r="BJ718" s="2010"/>
      <c r="BK718" s="2010"/>
      <c r="BL718" s="2010"/>
      <c r="BM718" s="2010"/>
      <c r="BN718" s="2010"/>
      <c r="BO718" s="2010"/>
      <c r="BP718" s="2010"/>
      <c r="BQ718" s="2010"/>
      <c r="BR718" s="2010"/>
      <c r="BS718" s="2010"/>
      <c r="BT718" s="2010"/>
      <c r="BU718" s="2010"/>
      <c r="BV718" s="2010"/>
      <c r="BW718" s="2010"/>
      <c r="BX718" s="2010"/>
      <c r="BY718" s="2010"/>
      <c r="BZ718" s="2010"/>
      <c r="CA718" s="2010"/>
      <c r="CB718" s="2010"/>
      <c r="CC718" s="2010"/>
      <c r="CD718" s="2010"/>
      <c r="CE718" s="2010"/>
      <c r="CF718" s="2010"/>
      <c r="CG718" s="2010"/>
      <c r="CH718" s="2010"/>
      <c r="CI718" s="2010"/>
      <c r="CJ718" s="2010"/>
      <c r="CK718" s="2010"/>
      <c r="CL718" s="2010"/>
      <c r="CM718" s="2010"/>
      <c r="CN718" s="2010"/>
      <c r="CO718" s="2010"/>
      <c r="CP718" s="2010"/>
      <c r="CQ718" s="2010"/>
      <c r="CR718" s="2010"/>
      <c r="CS718" s="2010"/>
      <c r="CT718" s="2010"/>
      <c r="CU718" s="2010"/>
      <c r="CV718" s="2010"/>
      <c r="CW718" s="2010"/>
      <c r="CX718" s="2010"/>
      <c r="CY718" s="2010"/>
      <c r="CZ718" s="2010"/>
      <c r="DA718" s="2010"/>
      <c r="DB718" s="2010"/>
      <c r="DC718" s="2010"/>
      <c r="DD718" s="2010"/>
      <c r="DE718" s="2010"/>
    </row>
    <row r="719" spans="1:109" s="2014" customFormat="1" x14ac:dyDescent="0.2">
      <c r="A719" s="2013"/>
      <c r="B719" s="2013"/>
      <c r="C719" s="2013"/>
      <c r="D719" s="2013"/>
      <c r="AB719" s="2010"/>
      <c r="AU719" s="2010"/>
      <c r="AV719" s="2010"/>
      <c r="AW719" s="2010"/>
      <c r="AX719" s="2010"/>
      <c r="AY719" s="2010"/>
      <c r="AZ719" s="2010"/>
      <c r="BA719" s="2010"/>
      <c r="BB719" s="2010"/>
      <c r="BC719" s="2010"/>
      <c r="BD719" s="2010"/>
      <c r="BE719" s="2010"/>
      <c r="BF719" s="2010"/>
      <c r="BG719" s="2010"/>
      <c r="BH719" s="2010"/>
      <c r="BI719" s="2010"/>
      <c r="BJ719" s="2010"/>
      <c r="BK719" s="2010"/>
      <c r="BL719" s="2010"/>
      <c r="BM719" s="2010"/>
      <c r="BN719" s="2010"/>
      <c r="BO719" s="2010"/>
      <c r="BP719" s="2010"/>
      <c r="BQ719" s="2010"/>
      <c r="BR719" s="2010"/>
      <c r="BS719" s="2010"/>
      <c r="BT719" s="2010"/>
      <c r="BU719" s="2010"/>
      <c r="BV719" s="2010"/>
      <c r="BW719" s="2010"/>
      <c r="BX719" s="2010"/>
      <c r="BY719" s="2010"/>
      <c r="BZ719" s="2010"/>
      <c r="CA719" s="2010"/>
      <c r="CB719" s="2010"/>
      <c r="CC719" s="2010"/>
      <c r="CD719" s="2010"/>
      <c r="CE719" s="2010"/>
      <c r="CF719" s="2010"/>
      <c r="CG719" s="2010"/>
      <c r="CH719" s="2010"/>
      <c r="CI719" s="2010"/>
      <c r="CJ719" s="2010"/>
      <c r="CK719" s="2010"/>
      <c r="CL719" s="2010"/>
      <c r="CM719" s="2010"/>
      <c r="CN719" s="2010"/>
      <c r="CO719" s="2010"/>
      <c r="CP719" s="2010"/>
      <c r="CQ719" s="2010"/>
      <c r="CR719" s="2010"/>
      <c r="CS719" s="2010"/>
      <c r="CT719" s="2010"/>
      <c r="CU719" s="2010"/>
      <c r="CV719" s="2010"/>
      <c r="CW719" s="2010"/>
      <c r="CX719" s="2010"/>
      <c r="CY719" s="2010"/>
      <c r="CZ719" s="2010"/>
      <c r="DA719" s="2010"/>
      <c r="DB719" s="2010"/>
      <c r="DC719" s="2010"/>
      <c r="DD719" s="2010"/>
      <c r="DE719" s="2010"/>
    </row>
    <row r="720" spans="1:109" s="2014" customFormat="1" x14ac:dyDescent="0.2">
      <c r="A720" s="2013"/>
      <c r="B720" s="2013"/>
      <c r="C720" s="2013"/>
      <c r="D720" s="2013"/>
      <c r="AB720" s="2010"/>
      <c r="AU720" s="2010"/>
      <c r="AV720" s="2010"/>
      <c r="AW720" s="2010"/>
      <c r="AX720" s="2010"/>
      <c r="AY720" s="2010"/>
      <c r="AZ720" s="2010"/>
      <c r="BA720" s="2010"/>
      <c r="BB720" s="2010"/>
      <c r="BC720" s="2010"/>
      <c r="BD720" s="2010"/>
      <c r="BE720" s="2010"/>
      <c r="BF720" s="2010"/>
      <c r="BG720" s="2010"/>
      <c r="BH720" s="2010"/>
      <c r="BI720" s="2010"/>
      <c r="BJ720" s="2010"/>
      <c r="BK720" s="2010"/>
      <c r="BL720" s="2010"/>
      <c r="BM720" s="2010"/>
      <c r="BN720" s="2010"/>
      <c r="BO720" s="2010"/>
      <c r="BP720" s="2010"/>
      <c r="BQ720" s="2010"/>
      <c r="BR720" s="2010"/>
      <c r="BS720" s="2010"/>
      <c r="BT720" s="2010"/>
      <c r="BU720" s="2010"/>
      <c r="BV720" s="2010"/>
      <c r="BW720" s="2010"/>
      <c r="BX720" s="2010"/>
      <c r="BY720" s="2010"/>
      <c r="BZ720" s="2010"/>
      <c r="CA720" s="2010"/>
      <c r="CB720" s="2010"/>
      <c r="CC720" s="2010"/>
      <c r="CD720" s="2010"/>
      <c r="CE720" s="2010"/>
      <c r="CF720" s="2010"/>
      <c r="CG720" s="2010"/>
      <c r="CH720" s="2010"/>
      <c r="CI720" s="2010"/>
      <c r="CJ720" s="2010"/>
      <c r="CK720" s="2010"/>
      <c r="CL720" s="2010"/>
      <c r="CM720" s="2010"/>
      <c r="CN720" s="2010"/>
      <c r="CO720" s="2010"/>
      <c r="CP720" s="2010"/>
      <c r="CQ720" s="2010"/>
      <c r="CR720" s="2010"/>
      <c r="CS720" s="2010"/>
      <c r="CT720" s="2010"/>
      <c r="CU720" s="2010"/>
      <c r="CV720" s="2010"/>
      <c r="CW720" s="2010"/>
      <c r="CX720" s="2010"/>
      <c r="CY720" s="2010"/>
      <c r="CZ720" s="2010"/>
      <c r="DA720" s="2010"/>
      <c r="DB720" s="2010"/>
      <c r="DC720" s="2010"/>
      <c r="DD720" s="2010"/>
      <c r="DE720" s="2010"/>
    </row>
    <row r="721" spans="1:109" s="2014" customFormat="1" x14ac:dyDescent="0.2">
      <c r="A721" s="2013"/>
      <c r="B721" s="2013"/>
      <c r="C721" s="2013"/>
      <c r="D721" s="2013"/>
      <c r="AB721" s="2010"/>
      <c r="AU721" s="2010"/>
      <c r="AV721" s="2010"/>
      <c r="AW721" s="2010"/>
      <c r="AX721" s="2010"/>
      <c r="AY721" s="2010"/>
      <c r="AZ721" s="2010"/>
      <c r="BA721" s="2010"/>
      <c r="BB721" s="2010"/>
      <c r="BC721" s="2010"/>
      <c r="BD721" s="2010"/>
      <c r="BE721" s="2010"/>
      <c r="BF721" s="2010"/>
      <c r="BG721" s="2010"/>
      <c r="BH721" s="2010"/>
      <c r="BI721" s="2010"/>
      <c r="BJ721" s="2010"/>
      <c r="BK721" s="2010"/>
      <c r="BL721" s="2010"/>
      <c r="BM721" s="2010"/>
      <c r="BN721" s="2010"/>
      <c r="BO721" s="2010"/>
      <c r="BP721" s="2010"/>
      <c r="BQ721" s="2010"/>
      <c r="BR721" s="2010"/>
      <c r="BS721" s="2010"/>
      <c r="BT721" s="2010"/>
      <c r="BU721" s="2010"/>
      <c r="BV721" s="2010"/>
      <c r="BW721" s="2010"/>
      <c r="BX721" s="2010"/>
      <c r="BY721" s="2010"/>
      <c r="BZ721" s="2010"/>
      <c r="CA721" s="2010"/>
      <c r="CB721" s="2010"/>
      <c r="CC721" s="2010"/>
      <c r="CD721" s="2010"/>
      <c r="CE721" s="2010"/>
      <c r="CF721" s="2010"/>
      <c r="CG721" s="2010"/>
      <c r="CH721" s="2010"/>
      <c r="CI721" s="2010"/>
      <c r="CJ721" s="2010"/>
      <c r="CK721" s="2010"/>
      <c r="CL721" s="2010"/>
      <c r="CM721" s="2010"/>
      <c r="CN721" s="2010"/>
      <c r="CO721" s="2010"/>
      <c r="CP721" s="2010"/>
      <c r="CQ721" s="2010"/>
      <c r="CR721" s="2010"/>
      <c r="CS721" s="2010"/>
      <c r="CT721" s="2010"/>
      <c r="CU721" s="2010"/>
      <c r="CV721" s="2010"/>
      <c r="CW721" s="2010"/>
      <c r="CX721" s="2010"/>
      <c r="CY721" s="2010"/>
      <c r="CZ721" s="2010"/>
      <c r="DA721" s="2010"/>
      <c r="DB721" s="2010"/>
      <c r="DC721" s="2010"/>
      <c r="DD721" s="2010"/>
      <c r="DE721" s="2010"/>
    </row>
    <row r="722" spans="1:109" s="2014" customFormat="1" x14ac:dyDescent="0.2">
      <c r="A722" s="2013"/>
      <c r="B722" s="2013"/>
      <c r="C722" s="2013"/>
      <c r="D722" s="2013"/>
      <c r="AB722" s="2010"/>
      <c r="AU722" s="2010"/>
      <c r="AV722" s="2010"/>
      <c r="AW722" s="2010"/>
      <c r="AX722" s="2010"/>
      <c r="AY722" s="2010"/>
      <c r="AZ722" s="2010"/>
      <c r="BA722" s="2010"/>
      <c r="BB722" s="2010"/>
      <c r="BC722" s="2010"/>
      <c r="BD722" s="2010"/>
      <c r="BE722" s="2010"/>
      <c r="BF722" s="2010"/>
      <c r="BG722" s="2010"/>
      <c r="BH722" s="2010"/>
      <c r="BI722" s="2010"/>
      <c r="BJ722" s="2010"/>
      <c r="BK722" s="2010"/>
      <c r="BL722" s="2010"/>
      <c r="BM722" s="2010"/>
      <c r="BN722" s="2010"/>
      <c r="BO722" s="2010"/>
      <c r="BP722" s="2010"/>
      <c r="BQ722" s="2010"/>
      <c r="BR722" s="2010"/>
      <c r="BS722" s="2010"/>
      <c r="BT722" s="2010"/>
      <c r="BU722" s="2010"/>
      <c r="BV722" s="2010"/>
      <c r="BW722" s="2010"/>
      <c r="BX722" s="2010"/>
      <c r="BY722" s="2010"/>
      <c r="BZ722" s="2010"/>
      <c r="CA722" s="2010"/>
      <c r="CB722" s="2010"/>
      <c r="CC722" s="2010"/>
      <c r="CD722" s="2010"/>
      <c r="CE722" s="2010"/>
      <c r="CF722" s="2010"/>
      <c r="CG722" s="2010"/>
      <c r="CH722" s="2010"/>
      <c r="CI722" s="2010"/>
      <c r="CJ722" s="2010"/>
      <c r="CK722" s="2010"/>
      <c r="CL722" s="2010"/>
      <c r="CM722" s="2010"/>
      <c r="CN722" s="2010"/>
      <c r="CO722" s="2010"/>
      <c r="CP722" s="2010"/>
      <c r="CQ722" s="2010"/>
      <c r="CR722" s="2010"/>
      <c r="CS722" s="2010"/>
      <c r="CT722" s="2010"/>
      <c r="CU722" s="2010"/>
      <c r="CV722" s="2010"/>
      <c r="CW722" s="2010"/>
      <c r="CX722" s="2010"/>
      <c r="CY722" s="2010"/>
      <c r="CZ722" s="2010"/>
      <c r="DA722" s="2010"/>
      <c r="DB722" s="2010"/>
      <c r="DC722" s="2010"/>
      <c r="DD722" s="2010"/>
      <c r="DE722" s="2010"/>
    </row>
    <row r="723" spans="1:109" s="2014" customFormat="1" x14ac:dyDescent="0.2">
      <c r="A723" s="2013"/>
      <c r="B723" s="2013"/>
      <c r="C723" s="2013"/>
      <c r="D723" s="2013"/>
      <c r="AB723" s="2010"/>
      <c r="AU723" s="2010"/>
      <c r="AV723" s="2010"/>
      <c r="AW723" s="2010"/>
      <c r="AX723" s="2010"/>
      <c r="AY723" s="2010"/>
      <c r="AZ723" s="2010"/>
      <c r="BA723" s="2010"/>
      <c r="BB723" s="2010"/>
      <c r="BC723" s="2010"/>
      <c r="BD723" s="2010"/>
      <c r="BE723" s="2010"/>
      <c r="BF723" s="2010"/>
      <c r="BG723" s="2010"/>
      <c r="BH723" s="2010"/>
      <c r="BI723" s="2010"/>
      <c r="BJ723" s="2010"/>
      <c r="BK723" s="2010"/>
      <c r="BL723" s="2010"/>
      <c r="BM723" s="2010"/>
      <c r="BN723" s="2010"/>
      <c r="BO723" s="2010"/>
      <c r="BP723" s="2010"/>
      <c r="BQ723" s="2010"/>
      <c r="BR723" s="2010"/>
      <c r="BS723" s="2010"/>
      <c r="BT723" s="2010"/>
      <c r="BU723" s="2010"/>
      <c r="BV723" s="2010"/>
      <c r="BW723" s="2010"/>
      <c r="BX723" s="2010"/>
      <c r="BY723" s="2010"/>
      <c r="BZ723" s="2010"/>
      <c r="CA723" s="2010"/>
      <c r="CB723" s="2010"/>
      <c r="CC723" s="2010"/>
      <c r="CD723" s="2010"/>
      <c r="CE723" s="2010"/>
      <c r="CF723" s="2010"/>
      <c r="CG723" s="2010"/>
      <c r="CH723" s="2010"/>
      <c r="CI723" s="2010"/>
      <c r="CJ723" s="2010"/>
      <c r="CK723" s="2010"/>
      <c r="CL723" s="2010"/>
      <c r="CM723" s="2010"/>
      <c r="CN723" s="2010"/>
      <c r="CO723" s="2010"/>
      <c r="CP723" s="2010"/>
      <c r="CQ723" s="2010"/>
      <c r="CR723" s="2010"/>
      <c r="CS723" s="2010"/>
      <c r="CT723" s="2010"/>
      <c r="CU723" s="2010"/>
      <c r="CV723" s="2010"/>
      <c r="CW723" s="2010"/>
      <c r="CX723" s="2010"/>
      <c r="CY723" s="2010"/>
      <c r="CZ723" s="2010"/>
      <c r="DA723" s="2010"/>
      <c r="DB723" s="2010"/>
      <c r="DC723" s="2010"/>
      <c r="DD723" s="2010"/>
      <c r="DE723" s="2010"/>
    </row>
    <row r="724" spans="1:109" s="2014" customFormat="1" x14ac:dyDescent="0.2">
      <c r="A724" s="2013"/>
      <c r="B724" s="2013"/>
      <c r="C724" s="2013"/>
      <c r="D724" s="2013"/>
      <c r="AB724" s="2010"/>
      <c r="AU724" s="2010"/>
      <c r="AV724" s="2010"/>
      <c r="AW724" s="2010"/>
      <c r="AX724" s="2010"/>
      <c r="AY724" s="2010"/>
      <c r="AZ724" s="2010"/>
      <c r="BA724" s="2010"/>
      <c r="BB724" s="2010"/>
      <c r="BC724" s="2010"/>
      <c r="BD724" s="2010"/>
      <c r="BE724" s="2010"/>
      <c r="BF724" s="2010"/>
      <c r="BG724" s="2010"/>
      <c r="BH724" s="2010"/>
      <c r="BI724" s="2010"/>
      <c r="BJ724" s="2010"/>
      <c r="BK724" s="2010"/>
      <c r="BL724" s="2010"/>
      <c r="BM724" s="2010"/>
      <c r="BN724" s="2010"/>
      <c r="BO724" s="2010"/>
      <c r="BP724" s="2010"/>
      <c r="BQ724" s="2010"/>
      <c r="BR724" s="2010"/>
      <c r="BS724" s="2010"/>
      <c r="BT724" s="2010"/>
      <c r="BU724" s="2010"/>
      <c r="BV724" s="2010"/>
      <c r="BW724" s="2010"/>
      <c r="BX724" s="2010"/>
      <c r="BY724" s="2010"/>
      <c r="BZ724" s="2010"/>
      <c r="CA724" s="2010"/>
      <c r="CB724" s="2010"/>
      <c r="CC724" s="2010"/>
      <c r="CD724" s="2010"/>
      <c r="CE724" s="2010"/>
      <c r="CF724" s="2010"/>
      <c r="CG724" s="2010"/>
      <c r="CH724" s="2010"/>
      <c r="CI724" s="2010"/>
      <c r="CJ724" s="2010"/>
      <c r="CK724" s="2010"/>
      <c r="CL724" s="2010"/>
      <c r="CM724" s="2010"/>
      <c r="CN724" s="2010"/>
      <c r="CO724" s="2010"/>
      <c r="CP724" s="2010"/>
      <c r="CQ724" s="2010"/>
      <c r="CR724" s="2010"/>
      <c r="CS724" s="2010"/>
      <c r="CT724" s="2010"/>
      <c r="CU724" s="2010"/>
      <c r="CV724" s="2010"/>
      <c r="CW724" s="2010"/>
      <c r="CX724" s="2010"/>
      <c r="CY724" s="2010"/>
      <c r="CZ724" s="2010"/>
      <c r="DA724" s="2010"/>
      <c r="DB724" s="2010"/>
      <c r="DC724" s="2010"/>
      <c r="DD724" s="2010"/>
      <c r="DE724" s="2010"/>
    </row>
    <row r="725" spans="1:109" s="2014" customFormat="1" x14ac:dyDescent="0.2">
      <c r="A725" s="2013"/>
      <c r="B725" s="2013"/>
      <c r="C725" s="2013"/>
      <c r="D725" s="2013"/>
      <c r="AB725" s="2010"/>
      <c r="AU725" s="2010"/>
      <c r="AV725" s="2010"/>
      <c r="AW725" s="2010"/>
      <c r="AX725" s="2010"/>
      <c r="AY725" s="2010"/>
      <c r="AZ725" s="2010"/>
      <c r="BA725" s="2010"/>
      <c r="BB725" s="2010"/>
      <c r="BC725" s="2010"/>
      <c r="BD725" s="2010"/>
      <c r="BE725" s="2010"/>
      <c r="BF725" s="2010"/>
      <c r="BG725" s="2010"/>
      <c r="BH725" s="2010"/>
      <c r="BI725" s="2010"/>
      <c r="BJ725" s="2010"/>
      <c r="BK725" s="2010"/>
      <c r="BL725" s="2010"/>
      <c r="BM725" s="2010"/>
      <c r="BN725" s="2010"/>
      <c r="BO725" s="2010"/>
      <c r="BP725" s="2010"/>
      <c r="BQ725" s="2010"/>
      <c r="BR725" s="2010"/>
      <c r="BS725" s="2010"/>
      <c r="BT725" s="2010"/>
      <c r="BU725" s="2010"/>
      <c r="BV725" s="2010"/>
      <c r="BW725" s="2010"/>
      <c r="BX725" s="2010"/>
      <c r="BY725" s="2010"/>
      <c r="BZ725" s="2010"/>
      <c r="CA725" s="2010"/>
      <c r="CB725" s="2010"/>
      <c r="CC725" s="2010"/>
      <c r="CD725" s="2010"/>
      <c r="CE725" s="2010"/>
      <c r="CF725" s="2010"/>
      <c r="CG725" s="2010"/>
      <c r="CH725" s="2010"/>
      <c r="CI725" s="2010"/>
      <c r="CJ725" s="2010"/>
      <c r="CK725" s="2010"/>
      <c r="CL725" s="2010"/>
      <c r="CM725" s="2010"/>
      <c r="CN725" s="2010"/>
      <c r="CO725" s="2010"/>
      <c r="CP725" s="2010"/>
      <c r="CQ725" s="2010"/>
      <c r="CR725" s="2010"/>
      <c r="CS725" s="2010"/>
      <c r="CT725" s="2010"/>
      <c r="CU725" s="2010"/>
      <c r="CV725" s="2010"/>
      <c r="CW725" s="2010"/>
      <c r="CX725" s="2010"/>
      <c r="CY725" s="2010"/>
      <c r="CZ725" s="2010"/>
      <c r="DA725" s="2010"/>
      <c r="DB725" s="2010"/>
      <c r="DC725" s="2010"/>
      <c r="DD725" s="2010"/>
      <c r="DE725" s="2010"/>
    </row>
    <row r="726" spans="1:109" s="2014" customFormat="1" x14ac:dyDescent="0.2">
      <c r="A726" s="2013"/>
      <c r="B726" s="2013"/>
      <c r="C726" s="2013"/>
      <c r="D726" s="2013"/>
      <c r="AB726" s="2010"/>
      <c r="AU726" s="2010"/>
      <c r="AV726" s="2010"/>
      <c r="AW726" s="2010"/>
      <c r="AX726" s="2010"/>
      <c r="AY726" s="2010"/>
      <c r="AZ726" s="2010"/>
      <c r="BA726" s="2010"/>
      <c r="BB726" s="2010"/>
      <c r="BC726" s="2010"/>
      <c r="BD726" s="2010"/>
      <c r="BE726" s="2010"/>
      <c r="BF726" s="2010"/>
      <c r="BG726" s="2010"/>
      <c r="BH726" s="2010"/>
      <c r="BI726" s="2010"/>
      <c r="BJ726" s="2010"/>
      <c r="BK726" s="2010"/>
      <c r="BL726" s="2010"/>
      <c r="BM726" s="2010"/>
      <c r="BN726" s="2010"/>
      <c r="BO726" s="2010"/>
      <c r="BP726" s="2010"/>
      <c r="BQ726" s="2010"/>
      <c r="BR726" s="2010"/>
      <c r="BS726" s="2010"/>
      <c r="BT726" s="2010"/>
      <c r="BU726" s="2010"/>
      <c r="BV726" s="2010"/>
      <c r="BW726" s="2010"/>
      <c r="BX726" s="2010"/>
      <c r="BY726" s="2010"/>
      <c r="BZ726" s="2010"/>
      <c r="CA726" s="2010"/>
      <c r="CB726" s="2010"/>
      <c r="CC726" s="2010"/>
      <c r="CD726" s="2010"/>
      <c r="CE726" s="2010"/>
      <c r="CF726" s="2010"/>
      <c r="CG726" s="2010"/>
      <c r="CH726" s="2010"/>
      <c r="CI726" s="2010"/>
      <c r="CJ726" s="2010"/>
      <c r="CK726" s="2010"/>
      <c r="CL726" s="2010"/>
      <c r="CM726" s="2010"/>
      <c r="CN726" s="2010"/>
      <c r="CO726" s="2010"/>
      <c r="CP726" s="2010"/>
      <c r="CQ726" s="2010"/>
      <c r="CR726" s="2010"/>
      <c r="CS726" s="2010"/>
      <c r="CT726" s="2010"/>
      <c r="CU726" s="2010"/>
      <c r="CV726" s="2010"/>
      <c r="CW726" s="2010"/>
      <c r="CX726" s="2010"/>
      <c r="CY726" s="2010"/>
      <c r="CZ726" s="2010"/>
      <c r="DA726" s="2010"/>
      <c r="DB726" s="2010"/>
      <c r="DC726" s="2010"/>
      <c r="DD726" s="2010"/>
      <c r="DE726" s="2010"/>
    </row>
    <row r="727" spans="1:109" s="2014" customFormat="1" x14ac:dyDescent="0.2">
      <c r="A727" s="2013"/>
      <c r="B727" s="2013"/>
      <c r="C727" s="2013"/>
      <c r="D727" s="2013"/>
      <c r="AB727" s="2010"/>
      <c r="AU727" s="2010"/>
      <c r="AV727" s="2010"/>
      <c r="AW727" s="2010"/>
      <c r="AX727" s="2010"/>
      <c r="AY727" s="2010"/>
      <c r="AZ727" s="2010"/>
      <c r="BA727" s="2010"/>
      <c r="BB727" s="2010"/>
      <c r="BC727" s="2010"/>
      <c r="BD727" s="2010"/>
      <c r="BE727" s="2010"/>
      <c r="BF727" s="2010"/>
      <c r="BG727" s="2010"/>
      <c r="BH727" s="2010"/>
      <c r="BI727" s="2010"/>
      <c r="BJ727" s="2010"/>
      <c r="BK727" s="2010"/>
      <c r="BL727" s="2010"/>
      <c r="BM727" s="2010"/>
      <c r="BN727" s="2010"/>
      <c r="BO727" s="2010"/>
      <c r="BP727" s="2010"/>
      <c r="BQ727" s="2010"/>
      <c r="BR727" s="2010"/>
      <c r="BS727" s="2010"/>
      <c r="BT727" s="2010"/>
      <c r="BU727" s="2010"/>
      <c r="BV727" s="2010"/>
      <c r="BW727" s="2010"/>
      <c r="BX727" s="2010"/>
      <c r="BY727" s="2010"/>
      <c r="BZ727" s="2010"/>
      <c r="CA727" s="2010"/>
      <c r="CB727" s="2010"/>
      <c r="CC727" s="2010"/>
      <c r="CD727" s="2010"/>
      <c r="CE727" s="2010"/>
      <c r="CF727" s="2010"/>
      <c r="CG727" s="2010"/>
      <c r="CH727" s="2010"/>
      <c r="CI727" s="2010"/>
      <c r="CJ727" s="2010"/>
      <c r="CK727" s="2010"/>
      <c r="CL727" s="2010"/>
      <c r="CM727" s="2010"/>
      <c r="CN727" s="2010"/>
      <c r="CO727" s="2010"/>
      <c r="CP727" s="2010"/>
      <c r="CQ727" s="2010"/>
      <c r="CR727" s="2010"/>
      <c r="CS727" s="2010"/>
      <c r="CT727" s="2010"/>
      <c r="CU727" s="2010"/>
      <c r="CV727" s="2010"/>
      <c r="CW727" s="2010"/>
      <c r="CX727" s="2010"/>
      <c r="CY727" s="2010"/>
      <c r="CZ727" s="2010"/>
      <c r="DA727" s="2010"/>
      <c r="DB727" s="2010"/>
      <c r="DC727" s="2010"/>
      <c r="DD727" s="2010"/>
      <c r="DE727" s="2010"/>
    </row>
    <row r="728" spans="1:109" s="2014" customFormat="1" x14ac:dyDescent="0.2">
      <c r="A728" s="2013"/>
      <c r="B728" s="2013"/>
      <c r="C728" s="2013"/>
      <c r="D728" s="2013"/>
      <c r="AB728" s="2010"/>
      <c r="AU728" s="2010"/>
      <c r="AV728" s="2010"/>
      <c r="AW728" s="2010"/>
      <c r="AX728" s="2010"/>
      <c r="AY728" s="2010"/>
      <c r="AZ728" s="2010"/>
      <c r="BA728" s="2010"/>
      <c r="BB728" s="2010"/>
      <c r="BC728" s="2010"/>
      <c r="BD728" s="2010"/>
      <c r="BE728" s="2010"/>
      <c r="BF728" s="2010"/>
      <c r="BG728" s="2010"/>
      <c r="BH728" s="2010"/>
      <c r="BI728" s="2010"/>
      <c r="BJ728" s="2010"/>
      <c r="BK728" s="2010"/>
      <c r="BL728" s="2010"/>
      <c r="BM728" s="2010"/>
      <c r="BN728" s="2010"/>
      <c r="BO728" s="2010"/>
      <c r="BP728" s="2010"/>
      <c r="BQ728" s="2010"/>
      <c r="BR728" s="2010"/>
      <c r="BS728" s="2010"/>
      <c r="BT728" s="2010"/>
      <c r="BU728" s="2010"/>
      <c r="BV728" s="2010"/>
      <c r="BW728" s="2010"/>
      <c r="BX728" s="2010"/>
      <c r="BY728" s="2010"/>
      <c r="BZ728" s="2010"/>
      <c r="CA728" s="2010"/>
      <c r="CB728" s="2010"/>
      <c r="CC728" s="2010"/>
      <c r="CD728" s="2010"/>
      <c r="CE728" s="2010"/>
      <c r="CF728" s="2010"/>
      <c r="CG728" s="2010"/>
      <c r="CH728" s="2010"/>
      <c r="CI728" s="2010"/>
      <c r="CJ728" s="2010"/>
      <c r="CK728" s="2010"/>
      <c r="CL728" s="2010"/>
      <c r="CM728" s="2010"/>
      <c r="CN728" s="2010"/>
      <c r="CO728" s="2010"/>
      <c r="CP728" s="2010"/>
      <c r="CQ728" s="2010"/>
      <c r="CR728" s="2010"/>
      <c r="CS728" s="2010"/>
      <c r="CT728" s="2010"/>
      <c r="CU728" s="2010"/>
      <c r="CV728" s="2010"/>
      <c r="CW728" s="2010"/>
      <c r="CX728" s="2010"/>
      <c r="CY728" s="2010"/>
      <c r="CZ728" s="2010"/>
      <c r="DA728" s="2010"/>
      <c r="DB728" s="2010"/>
      <c r="DC728" s="2010"/>
      <c r="DD728" s="2010"/>
      <c r="DE728" s="2010"/>
    </row>
    <row r="729" spans="1:109" s="2014" customFormat="1" x14ac:dyDescent="0.2">
      <c r="A729" s="2013"/>
      <c r="B729" s="2013"/>
      <c r="C729" s="2013"/>
      <c r="D729" s="2013"/>
      <c r="AB729" s="2010"/>
      <c r="AU729" s="2010"/>
      <c r="AV729" s="2010"/>
      <c r="AW729" s="2010"/>
      <c r="AX729" s="2010"/>
      <c r="AY729" s="2010"/>
      <c r="AZ729" s="2010"/>
      <c r="BA729" s="2010"/>
      <c r="BB729" s="2010"/>
      <c r="BC729" s="2010"/>
      <c r="BD729" s="2010"/>
      <c r="BE729" s="2010"/>
      <c r="BF729" s="2010"/>
      <c r="BG729" s="2010"/>
      <c r="BH729" s="2010"/>
      <c r="BI729" s="2010"/>
      <c r="BJ729" s="2010"/>
      <c r="BK729" s="2010"/>
      <c r="BL729" s="2010"/>
      <c r="BM729" s="2010"/>
      <c r="BN729" s="2010"/>
      <c r="BO729" s="2010"/>
      <c r="BP729" s="2010"/>
      <c r="BQ729" s="2010"/>
      <c r="BR729" s="2010"/>
      <c r="BS729" s="2010"/>
      <c r="BT729" s="2010"/>
      <c r="BU729" s="2010"/>
      <c r="BV729" s="2010"/>
      <c r="BW729" s="2010"/>
      <c r="BX729" s="2010"/>
      <c r="BY729" s="2010"/>
      <c r="BZ729" s="2010"/>
      <c r="CA729" s="2010"/>
      <c r="CB729" s="2010"/>
      <c r="CC729" s="2010"/>
      <c r="CD729" s="2010"/>
      <c r="CE729" s="2010"/>
      <c r="CF729" s="2010"/>
      <c r="CG729" s="2010"/>
      <c r="CH729" s="2010"/>
      <c r="CI729" s="2010"/>
      <c r="CJ729" s="2010"/>
      <c r="CK729" s="2010"/>
      <c r="CL729" s="2010"/>
      <c r="CM729" s="2010"/>
      <c r="CN729" s="2010"/>
      <c r="CO729" s="2010"/>
      <c r="CP729" s="2010"/>
      <c r="CQ729" s="2010"/>
      <c r="CR729" s="2010"/>
      <c r="CS729" s="2010"/>
      <c r="CT729" s="2010"/>
      <c r="CU729" s="2010"/>
      <c r="CV729" s="2010"/>
      <c r="CW729" s="2010"/>
      <c r="CX729" s="2010"/>
      <c r="CY729" s="2010"/>
      <c r="CZ729" s="2010"/>
      <c r="DA729" s="2010"/>
      <c r="DB729" s="2010"/>
      <c r="DC729" s="2010"/>
      <c r="DD729" s="2010"/>
      <c r="DE729" s="2010"/>
    </row>
    <row r="730" spans="1:109" s="2014" customFormat="1" x14ac:dyDescent="0.2">
      <c r="A730" s="2013"/>
      <c r="B730" s="2013"/>
      <c r="C730" s="2013"/>
      <c r="D730" s="2013"/>
      <c r="AB730" s="2010"/>
      <c r="AU730" s="2010"/>
      <c r="AV730" s="2010"/>
      <c r="AW730" s="2010"/>
      <c r="AX730" s="2010"/>
      <c r="AY730" s="2010"/>
      <c r="AZ730" s="2010"/>
      <c r="BA730" s="2010"/>
      <c r="BB730" s="2010"/>
      <c r="BC730" s="2010"/>
      <c r="BD730" s="2010"/>
      <c r="BE730" s="2010"/>
      <c r="BF730" s="2010"/>
      <c r="BG730" s="2010"/>
      <c r="BH730" s="2010"/>
      <c r="BI730" s="2010"/>
      <c r="BJ730" s="2010"/>
      <c r="BK730" s="2010"/>
      <c r="BL730" s="2010"/>
      <c r="BM730" s="2010"/>
      <c r="BN730" s="2010"/>
      <c r="BO730" s="2010"/>
      <c r="BP730" s="2010"/>
      <c r="BQ730" s="2010"/>
      <c r="BR730" s="2010"/>
      <c r="BS730" s="2010"/>
      <c r="BT730" s="2010"/>
      <c r="BU730" s="2010"/>
      <c r="BV730" s="2010"/>
      <c r="BW730" s="2010"/>
      <c r="BX730" s="2010"/>
      <c r="BY730" s="2010"/>
      <c r="BZ730" s="2010"/>
      <c r="CA730" s="2010"/>
      <c r="CB730" s="2010"/>
      <c r="CC730" s="2010"/>
      <c r="CD730" s="2010"/>
      <c r="CE730" s="2010"/>
      <c r="CF730" s="2010"/>
      <c r="CG730" s="2010"/>
      <c r="CH730" s="2010"/>
      <c r="CI730" s="2010"/>
      <c r="CJ730" s="2010"/>
      <c r="CK730" s="2010"/>
      <c r="CL730" s="2010"/>
      <c r="CM730" s="2010"/>
      <c r="CN730" s="2010"/>
      <c r="CO730" s="2010"/>
      <c r="CP730" s="2010"/>
      <c r="CQ730" s="2010"/>
      <c r="CR730" s="2010"/>
      <c r="CS730" s="2010"/>
      <c r="CT730" s="2010"/>
      <c r="CU730" s="2010"/>
      <c r="CV730" s="2010"/>
      <c r="CW730" s="2010"/>
      <c r="CX730" s="2010"/>
      <c r="CY730" s="2010"/>
      <c r="CZ730" s="2010"/>
      <c r="DA730" s="2010"/>
      <c r="DB730" s="2010"/>
      <c r="DC730" s="2010"/>
      <c r="DD730" s="2010"/>
      <c r="DE730" s="2010"/>
    </row>
    <row r="731" spans="1:109" s="2014" customFormat="1" x14ac:dyDescent="0.2">
      <c r="A731" s="2013"/>
      <c r="B731" s="2013"/>
      <c r="C731" s="2013"/>
      <c r="D731" s="2013"/>
      <c r="AB731" s="2010"/>
      <c r="AU731" s="2010"/>
      <c r="AV731" s="2010"/>
      <c r="AW731" s="2010"/>
      <c r="AX731" s="2010"/>
      <c r="AY731" s="2010"/>
      <c r="AZ731" s="2010"/>
      <c r="BA731" s="2010"/>
      <c r="BB731" s="2010"/>
      <c r="BC731" s="2010"/>
      <c r="BD731" s="2010"/>
      <c r="BE731" s="2010"/>
      <c r="BF731" s="2010"/>
      <c r="BG731" s="2010"/>
      <c r="BH731" s="2010"/>
      <c r="BI731" s="2010"/>
      <c r="BJ731" s="2010"/>
      <c r="BK731" s="2010"/>
      <c r="BL731" s="2010"/>
      <c r="BM731" s="2010"/>
      <c r="BN731" s="2010"/>
      <c r="BO731" s="2010"/>
      <c r="BP731" s="2010"/>
      <c r="BQ731" s="2010"/>
      <c r="BR731" s="2010"/>
      <c r="BS731" s="2010"/>
      <c r="BT731" s="2010"/>
      <c r="BU731" s="2010"/>
      <c r="BV731" s="2010"/>
      <c r="BW731" s="2010"/>
      <c r="BX731" s="2010"/>
      <c r="BY731" s="2010"/>
      <c r="BZ731" s="2010"/>
      <c r="CA731" s="2010"/>
      <c r="CB731" s="2010"/>
      <c r="CC731" s="2010"/>
      <c r="CD731" s="2010"/>
      <c r="CE731" s="2010"/>
      <c r="CF731" s="2010"/>
      <c r="CG731" s="2010"/>
      <c r="CH731" s="2010"/>
      <c r="CI731" s="2010"/>
      <c r="CJ731" s="2010"/>
      <c r="CK731" s="2010"/>
      <c r="CL731" s="2010"/>
      <c r="CM731" s="2010"/>
      <c r="CN731" s="2010"/>
      <c r="CO731" s="2010"/>
      <c r="CP731" s="2010"/>
      <c r="CQ731" s="2010"/>
      <c r="CR731" s="2010"/>
      <c r="CS731" s="2010"/>
      <c r="CT731" s="2010"/>
      <c r="CU731" s="2010"/>
      <c r="CV731" s="2010"/>
      <c r="CW731" s="2010"/>
      <c r="CX731" s="2010"/>
      <c r="CY731" s="2010"/>
      <c r="CZ731" s="2010"/>
      <c r="DA731" s="2010"/>
      <c r="DB731" s="2010"/>
      <c r="DC731" s="2010"/>
      <c r="DD731" s="2010"/>
      <c r="DE731" s="2010"/>
    </row>
    <row r="732" spans="1:109" s="2014" customFormat="1" x14ac:dyDescent="0.2">
      <c r="A732" s="2013"/>
      <c r="B732" s="2013"/>
      <c r="C732" s="2013"/>
      <c r="D732" s="2013"/>
      <c r="AB732" s="2010"/>
      <c r="AU732" s="2010"/>
      <c r="AV732" s="2010"/>
      <c r="AW732" s="2010"/>
      <c r="AX732" s="2010"/>
      <c r="AY732" s="2010"/>
      <c r="AZ732" s="2010"/>
      <c r="BA732" s="2010"/>
      <c r="BB732" s="2010"/>
      <c r="BC732" s="2010"/>
      <c r="BD732" s="2010"/>
      <c r="BE732" s="2010"/>
      <c r="BF732" s="2010"/>
      <c r="BG732" s="2010"/>
      <c r="BH732" s="2010"/>
      <c r="BI732" s="2010"/>
      <c r="BJ732" s="2010"/>
      <c r="BK732" s="2010"/>
      <c r="BL732" s="2010"/>
      <c r="BM732" s="2010"/>
      <c r="BN732" s="2010"/>
      <c r="BO732" s="2010"/>
      <c r="BP732" s="2010"/>
      <c r="BQ732" s="2010"/>
      <c r="BR732" s="2010"/>
      <c r="BS732" s="2010"/>
      <c r="BT732" s="2010"/>
      <c r="BU732" s="2010"/>
      <c r="BV732" s="2010"/>
      <c r="BW732" s="2010"/>
      <c r="BX732" s="2010"/>
      <c r="BY732" s="2010"/>
      <c r="BZ732" s="2010"/>
      <c r="CA732" s="2010"/>
      <c r="CB732" s="2010"/>
      <c r="CC732" s="2010"/>
      <c r="CD732" s="2010"/>
      <c r="CE732" s="2010"/>
      <c r="CF732" s="2010"/>
      <c r="CG732" s="2010"/>
      <c r="CH732" s="2010"/>
      <c r="CI732" s="2010"/>
      <c r="CJ732" s="2010"/>
      <c r="CK732" s="2010"/>
      <c r="CL732" s="2010"/>
      <c r="CM732" s="2010"/>
      <c r="CN732" s="2010"/>
      <c r="CO732" s="2010"/>
      <c r="CP732" s="2010"/>
      <c r="CQ732" s="2010"/>
      <c r="CR732" s="2010"/>
      <c r="CS732" s="2010"/>
      <c r="CT732" s="2010"/>
      <c r="CU732" s="2010"/>
      <c r="CV732" s="2010"/>
      <c r="CW732" s="2010"/>
      <c r="CX732" s="2010"/>
      <c r="CY732" s="2010"/>
      <c r="CZ732" s="2010"/>
      <c r="DA732" s="2010"/>
      <c r="DB732" s="2010"/>
      <c r="DC732" s="2010"/>
      <c r="DD732" s="2010"/>
      <c r="DE732" s="2010"/>
    </row>
    <row r="733" spans="1:109" s="2014" customFormat="1" x14ac:dyDescent="0.2">
      <c r="A733" s="2013"/>
      <c r="B733" s="2013"/>
      <c r="C733" s="2013"/>
      <c r="D733" s="2013"/>
      <c r="AB733" s="2010"/>
      <c r="AU733" s="2010"/>
      <c r="AV733" s="2010"/>
      <c r="AW733" s="2010"/>
      <c r="AX733" s="2010"/>
      <c r="AY733" s="2010"/>
      <c r="AZ733" s="2010"/>
      <c r="BA733" s="2010"/>
      <c r="BB733" s="2010"/>
      <c r="BC733" s="2010"/>
      <c r="BD733" s="2010"/>
      <c r="BE733" s="2010"/>
      <c r="BF733" s="2010"/>
      <c r="BG733" s="2010"/>
      <c r="BH733" s="2010"/>
      <c r="BI733" s="2010"/>
      <c r="BJ733" s="2010"/>
      <c r="BK733" s="2010"/>
      <c r="BL733" s="2010"/>
      <c r="BM733" s="2010"/>
      <c r="BN733" s="2010"/>
      <c r="BO733" s="2010"/>
      <c r="BP733" s="2010"/>
      <c r="BQ733" s="2010"/>
      <c r="BR733" s="2010"/>
      <c r="BS733" s="2010"/>
      <c r="BT733" s="2010"/>
      <c r="BU733" s="2010"/>
      <c r="BV733" s="2010"/>
      <c r="BW733" s="2010"/>
      <c r="BX733" s="2010"/>
      <c r="BY733" s="2010"/>
      <c r="BZ733" s="2010"/>
      <c r="CA733" s="2010"/>
      <c r="CB733" s="2010"/>
      <c r="CC733" s="2010"/>
      <c r="CD733" s="2010"/>
      <c r="CE733" s="2010"/>
      <c r="CF733" s="2010"/>
      <c r="CG733" s="2010"/>
      <c r="CH733" s="2010"/>
      <c r="CI733" s="2010"/>
      <c r="CJ733" s="2010"/>
      <c r="CK733" s="2010"/>
      <c r="CL733" s="2010"/>
      <c r="CM733" s="2010"/>
      <c r="CN733" s="2010"/>
      <c r="CO733" s="2010"/>
      <c r="CP733" s="2010"/>
      <c r="CQ733" s="2010"/>
      <c r="CR733" s="2010"/>
      <c r="CS733" s="2010"/>
      <c r="CT733" s="2010"/>
      <c r="CU733" s="2010"/>
      <c r="CV733" s="2010"/>
      <c r="CW733" s="2010"/>
      <c r="CX733" s="2010"/>
      <c r="CY733" s="2010"/>
      <c r="CZ733" s="2010"/>
      <c r="DA733" s="2010"/>
      <c r="DB733" s="2010"/>
      <c r="DC733" s="2010"/>
      <c r="DD733" s="2010"/>
      <c r="DE733" s="2010"/>
    </row>
    <row r="734" spans="1:109" s="2014" customFormat="1" x14ac:dyDescent="0.2">
      <c r="A734" s="2013"/>
      <c r="B734" s="2013"/>
      <c r="C734" s="2013"/>
      <c r="D734" s="2013"/>
      <c r="AB734" s="2010"/>
      <c r="AU734" s="2010"/>
      <c r="AV734" s="2010"/>
      <c r="AW734" s="2010"/>
      <c r="AX734" s="2010"/>
      <c r="AY734" s="2010"/>
      <c r="AZ734" s="2010"/>
      <c r="BA734" s="2010"/>
      <c r="BB734" s="2010"/>
      <c r="BC734" s="2010"/>
      <c r="BD734" s="2010"/>
      <c r="BE734" s="2010"/>
      <c r="BF734" s="2010"/>
      <c r="BG734" s="2010"/>
      <c r="BH734" s="2010"/>
      <c r="BI734" s="2010"/>
      <c r="BJ734" s="2010"/>
      <c r="BK734" s="2010"/>
      <c r="BL734" s="2010"/>
      <c r="BM734" s="2010"/>
      <c r="BN734" s="2010"/>
      <c r="BO734" s="2010"/>
      <c r="BP734" s="2010"/>
      <c r="BQ734" s="2010"/>
      <c r="BR734" s="2010"/>
      <c r="BS734" s="2010"/>
      <c r="BT734" s="2010"/>
      <c r="BU734" s="2010"/>
      <c r="BV734" s="2010"/>
      <c r="BW734" s="2010"/>
      <c r="BX734" s="2010"/>
      <c r="BY734" s="2010"/>
      <c r="BZ734" s="2010"/>
      <c r="CA734" s="2010"/>
      <c r="CB734" s="2010"/>
      <c r="CC734" s="2010"/>
      <c r="CD734" s="2010"/>
      <c r="CE734" s="2010"/>
      <c r="CF734" s="2010"/>
      <c r="CG734" s="2010"/>
      <c r="CH734" s="2010"/>
      <c r="CI734" s="2010"/>
      <c r="CJ734" s="2010"/>
      <c r="CK734" s="2010"/>
      <c r="CL734" s="2010"/>
      <c r="CM734" s="2010"/>
      <c r="CN734" s="2010"/>
      <c r="CO734" s="2010"/>
      <c r="CP734" s="2010"/>
      <c r="CQ734" s="2010"/>
      <c r="CR734" s="2010"/>
      <c r="CS734" s="2010"/>
      <c r="CT734" s="2010"/>
      <c r="CU734" s="2010"/>
      <c r="CV734" s="2010"/>
      <c r="CW734" s="2010"/>
      <c r="CX734" s="2010"/>
      <c r="CY734" s="2010"/>
      <c r="CZ734" s="2010"/>
      <c r="DA734" s="2010"/>
      <c r="DB734" s="2010"/>
      <c r="DC734" s="2010"/>
      <c r="DD734" s="2010"/>
      <c r="DE734" s="2010"/>
    </row>
    <row r="735" spans="1:109" s="2014" customFormat="1" x14ac:dyDescent="0.2">
      <c r="A735" s="2013"/>
      <c r="B735" s="2013"/>
      <c r="C735" s="2013"/>
      <c r="D735" s="2013"/>
      <c r="AB735" s="2010"/>
      <c r="AU735" s="2010"/>
      <c r="AV735" s="2010"/>
      <c r="AW735" s="2010"/>
      <c r="AX735" s="2010"/>
      <c r="AY735" s="2010"/>
      <c r="AZ735" s="2010"/>
      <c r="BA735" s="2010"/>
      <c r="BB735" s="2010"/>
      <c r="BC735" s="2010"/>
      <c r="BD735" s="2010"/>
      <c r="BE735" s="2010"/>
      <c r="BF735" s="2010"/>
      <c r="BG735" s="2010"/>
      <c r="BH735" s="2010"/>
      <c r="BI735" s="2010"/>
      <c r="BJ735" s="2010"/>
      <c r="BK735" s="2010"/>
      <c r="BL735" s="2010"/>
      <c r="BM735" s="2010"/>
      <c r="BN735" s="2010"/>
      <c r="BO735" s="2010"/>
      <c r="BP735" s="2010"/>
      <c r="BQ735" s="2010"/>
      <c r="BR735" s="2010"/>
      <c r="BS735" s="2010"/>
      <c r="BT735" s="2010"/>
      <c r="BU735" s="2010"/>
      <c r="BV735" s="2010"/>
      <c r="BW735" s="2010"/>
      <c r="BX735" s="2010"/>
      <c r="BY735" s="2010"/>
      <c r="BZ735" s="2010"/>
      <c r="CA735" s="2010"/>
      <c r="CB735" s="2010"/>
      <c r="CC735" s="2010"/>
      <c r="CD735" s="2010"/>
      <c r="CE735" s="2010"/>
      <c r="CF735" s="2010"/>
      <c r="CG735" s="2010"/>
      <c r="CH735" s="2010"/>
      <c r="CI735" s="2010"/>
      <c r="CJ735" s="2010"/>
      <c r="CK735" s="2010"/>
      <c r="CL735" s="2010"/>
      <c r="CM735" s="2010"/>
      <c r="CN735" s="2010"/>
      <c r="CO735" s="2010"/>
      <c r="CP735" s="2010"/>
      <c r="CQ735" s="2010"/>
      <c r="CR735" s="2010"/>
      <c r="CS735" s="2010"/>
      <c r="CT735" s="2010"/>
      <c r="CU735" s="2010"/>
      <c r="CV735" s="2010"/>
      <c r="CW735" s="2010"/>
      <c r="CX735" s="2010"/>
      <c r="CY735" s="2010"/>
      <c r="CZ735" s="2010"/>
      <c r="DA735" s="2010"/>
      <c r="DB735" s="2010"/>
      <c r="DC735" s="2010"/>
      <c r="DD735" s="2010"/>
      <c r="DE735" s="2010"/>
    </row>
    <row r="736" spans="1:109" s="2014" customFormat="1" x14ac:dyDescent="0.2">
      <c r="A736" s="2013"/>
      <c r="B736" s="2013"/>
      <c r="C736" s="2013"/>
      <c r="D736" s="2013"/>
      <c r="AB736" s="2010"/>
      <c r="AU736" s="2010"/>
      <c r="AV736" s="2010"/>
      <c r="AW736" s="2010"/>
      <c r="AX736" s="2010"/>
      <c r="AY736" s="2010"/>
      <c r="AZ736" s="2010"/>
      <c r="BA736" s="2010"/>
      <c r="BB736" s="2010"/>
      <c r="BC736" s="2010"/>
      <c r="BD736" s="2010"/>
      <c r="BE736" s="2010"/>
      <c r="BF736" s="2010"/>
      <c r="BG736" s="2010"/>
      <c r="BH736" s="2010"/>
      <c r="BI736" s="2010"/>
      <c r="BJ736" s="2010"/>
      <c r="BK736" s="2010"/>
      <c r="BL736" s="2010"/>
      <c r="BM736" s="2010"/>
      <c r="BN736" s="2010"/>
      <c r="BO736" s="2010"/>
      <c r="BP736" s="2010"/>
      <c r="BQ736" s="2010"/>
      <c r="BR736" s="2010"/>
      <c r="BS736" s="2010"/>
      <c r="BT736" s="2010"/>
      <c r="BU736" s="2010"/>
      <c r="BV736" s="2010"/>
      <c r="BW736" s="2010"/>
      <c r="BX736" s="2010"/>
      <c r="BY736" s="2010"/>
      <c r="BZ736" s="2010"/>
      <c r="CA736" s="2010"/>
      <c r="CB736" s="2010"/>
      <c r="CC736" s="2010"/>
      <c r="CD736" s="2010"/>
      <c r="CE736" s="2010"/>
      <c r="CF736" s="2010"/>
      <c r="CG736" s="2010"/>
      <c r="CH736" s="2010"/>
      <c r="CI736" s="2010"/>
      <c r="CJ736" s="2010"/>
      <c r="CK736" s="2010"/>
      <c r="CL736" s="2010"/>
      <c r="CM736" s="2010"/>
      <c r="CN736" s="2010"/>
      <c r="CO736" s="2010"/>
      <c r="CP736" s="2010"/>
      <c r="CQ736" s="2010"/>
      <c r="CR736" s="2010"/>
      <c r="CS736" s="2010"/>
      <c r="CT736" s="2010"/>
      <c r="CU736" s="2010"/>
      <c r="CV736" s="2010"/>
      <c r="CW736" s="2010"/>
      <c r="CX736" s="2010"/>
      <c r="CY736" s="2010"/>
      <c r="CZ736" s="2010"/>
      <c r="DA736" s="2010"/>
      <c r="DB736" s="2010"/>
      <c r="DC736" s="2010"/>
      <c r="DD736" s="2010"/>
      <c r="DE736" s="2010"/>
    </row>
    <row r="737" spans="1:109" s="2014" customFormat="1" x14ac:dyDescent="0.2">
      <c r="A737" s="2013"/>
      <c r="B737" s="2013"/>
      <c r="C737" s="2013"/>
      <c r="D737" s="2013"/>
      <c r="AB737" s="2010"/>
      <c r="AU737" s="2010"/>
      <c r="AV737" s="2010"/>
      <c r="AW737" s="2010"/>
      <c r="AX737" s="2010"/>
      <c r="AY737" s="2010"/>
      <c r="AZ737" s="2010"/>
      <c r="BA737" s="2010"/>
      <c r="BB737" s="2010"/>
      <c r="BC737" s="2010"/>
      <c r="BD737" s="2010"/>
      <c r="BE737" s="2010"/>
      <c r="BF737" s="2010"/>
      <c r="BG737" s="2010"/>
      <c r="BH737" s="2010"/>
      <c r="BI737" s="2010"/>
      <c r="BJ737" s="2010"/>
      <c r="BK737" s="2010"/>
      <c r="BL737" s="2010"/>
      <c r="BM737" s="2010"/>
      <c r="BN737" s="2010"/>
      <c r="BO737" s="2010"/>
      <c r="BP737" s="2010"/>
      <c r="BQ737" s="2010"/>
      <c r="BR737" s="2010"/>
      <c r="BS737" s="2010"/>
      <c r="BT737" s="2010"/>
      <c r="BU737" s="2010"/>
      <c r="BV737" s="2010"/>
      <c r="BW737" s="2010"/>
      <c r="BX737" s="2010"/>
      <c r="BY737" s="2010"/>
      <c r="BZ737" s="2010"/>
      <c r="CA737" s="2010"/>
      <c r="CB737" s="2010"/>
      <c r="CC737" s="2010"/>
      <c r="CD737" s="2010"/>
      <c r="CE737" s="2010"/>
      <c r="CF737" s="2010"/>
      <c r="CG737" s="2010"/>
      <c r="CH737" s="2010"/>
      <c r="CI737" s="2010"/>
      <c r="CJ737" s="2010"/>
      <c r="CK737" s="2010"/>
      <c r="CL737" s="2010"/>
      <c r="CM737" s="2010"/>
      <c r="CN737" s="2010"/>
      <c r="CO737" s="2010"/>
      <c r="CP737" s="2010"/>
      <c r="CQ737" s="2010"/>
      <c r="CR737" s="2010"/>
      <c r="CS737" s="2010"/>
      <c r="CT737" s="2010"/>
      <c r="CU737" s="2010"/>
      <c r="CV737" s="2010"/>
      <c r="CW737" s="2010"/>
      <c r="CX737" s="2010"/>
      <c r="CY737" s="2010"/>
      <c r="CZ737" s="2010"/>
      <c r="DA737" s="2010"/>
      <c r="DB737" s="2010"/>
      <c r="DC737" s="2010"/>
      <c r="DD737" s="2010"/>
      <c r="DE737" s="2010"/>
    </row>
    <row r="738" spans="1:109" s="2014" customFormat="1" x14ac:dyDescent="0.2">
      <c r="A738" s="2013"/>
      <c r="B738" s="2013"/>
      <c r="C738" s="2013"/>
      <c r="D738" s="2013"/>
      <c r="AB738" s="2010"/>
      <c r="AU738" s="2010"/>
      <c r="AV738" s="2010"/>
      <c r="AW738" s="2010"/>
      <c r="AX738" s="2010"/>
      <c r="AY738" s="2010"/>
      <c r="AZ738" s="2010"/>
      <c r="BA738" s="2010"/>
      <c r="BB738" s="2010"/>
      <c r="BC738" s="2010"/>
      <c r="BD738" s="2010"/>
      <c r="BE738" s="2010"/>
      <c r="BF738" s="2010"/>
      <c r="BG738" s="2010"/>
      <c r="BH738" s="2010"/>
      <c r="BI738" s="2010"/>
      <c r="BJ738" s="2010"/>
      <c r="BK738" s="2010"/>
      <c r="BL738" s="2010"/>
      <c r="BM738" s="2010"/>
      <c r="BN738" s="2010"/>
      <c r="BO738" s="2010"/>
      <c r="BP738" s="2010"/>
      <c r="BQ738" s="2010"/>
      <c r="BR738" s="2010"/>
      <c r="BS738" s="2010"/>
      <c r="BT738" s="2010"/>
      <c r="BU738" s="2010"/>
      <c r="BV738" s="2010"/>
      <c r="BW738" s="2010"/>
      <c r="BX738" s="2010"/>
      <c r="BY738" s="2010"/>
      <c r="BZ738" s="2010"/>
      <c r="CA738" s="2010"/>
      <c r="CB738" s="2010"/>
      <c r="CC738" s="2010"/>
      <c r="CD738" s="2010"/>
      <c r="CE738" s="2010"/>
      <c r="CF738" s="2010"/>
      <c r="CG738" s="2010"/>
      <c r="CH738" s="2010"/>
      <c r="CI738" s="2010"/>
      <c r="CJ738" s="2010"/>
      <c r="CK738" s="2010"/>
      <c r="CL738" s="2010"/>
      <c r="CM738" s="2010"/>
      <c r="CN738" s="2010"/>
      <c r="CO738" s="2010"/>
      <c r="CP738" s="2010"/>
      <c r="CQ738" s="2010"/>
      <c r="CR738" s="2010"/>
      <c r="CS738" s="2010"/>
      <c r="CT738" s="2010"/>
      <c r="CU738" s="2010"/>
      <c r="CV738" s="2010"/>
      <c r="CW738" s="2010"/>
      <c r="CX738" s="2010"/>
      <c r="CY738" s="2010"/>
      <c r="CZ738" s="2010"/>
      <c r="DA738" s="2010"/>
      <c r="DB738" s="2010"/>
      <c r="DC738" s="2010"/>
      <c r="DD738" s="2010"/>
      <c r="DE738" s="2010"/>
    </row>
    <row r="739" spans="1:109" s="2014" customFormat="1" x14ac:dyDescent="0.2">
      <c r="A739" s="2013"/>
      <c r="B739" s="2013"/>
      <c r="C739" s="2013"/>
      <c r="D739" s="2013"/>
      <c r="AB739" s="2010"/>
      <c r="AU739" s="2010"/>
      <c r="AV739" s="2010"/>
      <c r="AW739" s="2010"/>
      <c r="AX739" s="2010"/>
      <c r="AY739" s="2010"/>
      <c r="AZ739" s="2010"/>
      <c r="BA739" s="2010"/>
      <c r="BB739" s="2010"/>
      <c r="BC739" s="2010"/>
      <c r="BD739" s="2010"/>
      <c r="BE739" s="2010"/>
      <c r="BF739" s="2010"/>
      <c r="BG739" s="2010"/>
      <c r="BH739" s="2010"/>
      <c r="BI739" s="2010"/>
      <c r="BJ739" s="2010"/>
      <c r="BK739" s="2010"/>
      <c r="BL739" s="2010"/>
      <c r="BM739" s="2010"/>
      <c r="BN739" s="2010"/>
      <c r="BO739" s="2010"/>
      <c r="BP739" s="2010"/>
      <c r="BQ739" s="2010"/>
      <c r="BR739" s="2010"/>
      <c r="BS739" s="2010"/>
      <c r="BT739" s="2010"/>
      <c r="BU739" s="2010"/>
      <c r="BV739" s="2010"/>
      <c r="BW739" s="2010"/>
      <c r="BX739" s="2010"/>
      <c r="BY739" s="2010"/>
      <c r="BZ739" s="2010"/>
      <c r="CA739" s="2010"/>
      <c r="CB739" s="2010"/>
      <c r="CC739" s="2010"/>
      <c r="CD739" s="2010"/>
      <c r="CE739" s="2010"/>
      <c r="CF739" s="2010"/>
      <c r="CG739" s="2010"/>
      <c r="CH739" s="2010"/>
      <c r="CI739" s="2010"/>
      <c r="CJ739" s="2010"/>
      <c r="CK739" s="2010"/>
      <c r="CL739" s="2010"/>
      <c r="CM739" s="2010"/>
      <c r="CN739" s="2010"/>
      <c r="CO739" s="2010"/>
      <c r="CP739" s="2010"/>
      <c r="CQ739" s="2010"/>
      <c r="CR739" s="2010"/>
      <c r="CS739" s="2010"/>
      <c r="CT739" s="2010"/>
      <c r="CU739" s="2010"/>
      <c r="CV739" s="2010"/>
      <c r="CW739" s="2010"/>
      <c r="CX739" s="2010"/>
      <c r="CY739" s="2010"/>
      <c r="CZ739" s="2010"/>
      <c r="DA739" s="2010"/>
      <c r="DB739" s="2010"/>
      <c r="DC739" s="2010"/>
      <c r="DD739" s="2010"/>
      <c r="DE739" s="2010"/>
    </row>
    <row r="740" spans="1:109" s="2014" customFormat="1" x14ac:dyDescent="0.2">
      <c r="A740" s="2013"/>
      <c r="B740" s="2013"/>
      <c r="C740" s="2013"/>
      <c r="D740" s="2013"/>
      <c r="AB740" s="2010"/>
      <c r="AU740" s="2010"/>
      <c r="AV740" s="2010"/>
      <c r="AW740" s="2010"/>
      <c r="AX740" s="2010"/>
      <c r="AY740" s="2010"/>
      <c r="AZ740" s="2010"/>
      <c r="BA740" s="2010"/>
      <c r="BB740" s="2010"/>
      <c r="BC740" s="2010"/>
      <c r="BD740" s="2010"/>
      <c r="BE740" s="2010"/>
      <c r="BF740" s="2010"/>
      <c r="BG740" s="2010"/>
      <c r="BH740" s="2010"/>
      <c r="BI740" s="2010"/>
      <c r="BJ740" s="2010"/>
      <c r="BK740" s="2010"/>
      <c r="BL740" s="2010"/>
      <c r="BM740" s="2010"/>
      <c r="BN740" s="2010"/>
      <c r="BO740" s="2010"/>
      <c r="BP740" s="2010"/>
      <c r="BQ740" s="2010"/>
      <c r="BR740" s="2010"/>
      <c r="BS740" s="2010"/>
      <c r="BT740" s="2010"/>
      <c r="BU740" s="2010"/>
      <c r="BV740" s="2010"/>
      <c r="BW740" s="2010"/>
      <c r="BX740" s="2010"/>
      <c r="BY740" s="2010"/>
      <c r="BZ740" s="2010"/>
      <c r="CA740" s="2010"/>
      <c r="CB740" s="2010"/>
      <c r="CC740" s="2010"/>
      <c r="CD740" s="2010"/>
      <c r="CE740" s="2010"/>
      <c r="CF740" s="2010"/>
      <c r="CG740" s="2010"/>
      <c r="CH740" s="2010"/>
      <c r="CI740" s="2010"/>
      <c r="CJ740" s="2010"/>
      <c r="CK740" s="2010"/>
      <c r="CL740" s="2010"/>
      <c r="CM740" s="2010"/>
      <c r="CN740" s="2010"/>
      <c r="CO740" s="2010"/>
      <c r="CP740" s="2010"/>
      <c r="CQ740" s="2010"/>
      <c r="CR740" s="2010"/>
      <c r="CS740" s="2010"/>
      <c r="CT740" s="2010"/>
      <c r="CU740" s="2010"/>
      <c r="CV740" s="2010"/>
      <c r="CW740" s="2010"/>
      <c r="CX740" s="2010"/>
      <c r="CY740" s="2010"/>
      <c r="CZ740" s="2010"/>
      <c r="DA740" s="2010"/>
      <c r="DB740" s="2010"/>
      <c r="DC740" s="2010"/>
      <c r="DD740" s="2010"/>
      <c r="DE740" s="2010"/>
    </row>
    <row r="741" spans="1:109" s="2014" customFormat="1" x14ac:dyDescent="0.2">
      <c r="A741" s="2013"/>
      <c r="B741" s="2013"/>
      <c r="C741" s="2013"/>
      <c r="D741" s="2013"/>
      <c r="AB741" s="2010"/>
      <c r="AU741" s="2010"/>
      <c r="AV741" s="2010"/>
      <c r="AW741" s="2010"/>
      <c r="AX741" s="2010"/>
      <c r="AY741" s="2010"/>
      <c r="AZ741" s="2010"/>
      <c r="BA741" s="2010"/>
      <c r="BB741" s="2010"/>
      <c r="BC741" s="2010"/>
      <c r="BD741" s="2010"/>
      <c r="BE741" s="2010"/>
      <c r="BF741" s="2010"/>
      <c r="BG741" s="2010"/>
      <c r="BH741" s="2010"/>
      <c r="BI741" s="2010"/>
      <c r="BJ741" s="2010"/>
      <c r="BK741" s="2010"/>
      <c r="BL741" s="2010"/>
      <c r="BM741" s="2010"/>
      <c r="BN741" s="2010"/>
      <c r="BO741" s="2010"/>
      <c r="BP741" s="2010"/>
      <c r="BQ741" s="2010"/>
      <c r="BR741" s="2010"/>
      <c r="BS741" s="2010"/>
      <c r="BT741" s="2010"/>
      <c r="BU741" s="2010"/>
      <c r="BV741" s="2010"/>
      <c r="BW741" s="2010"/>
      <c r="BX741" s="2010"/>
      <c r="BY741" s="2010"/>
      <c r="BZ741" s="2010"/>
      <c r="CA741" s="2010"/>
      <c r="CB741" s="2010"/>
      <c r="CC741" s="2010"/>
      <c r="CD741" s="2010"/>
      <c r="CE741" s="2010"/>
      <c r="CF741" s="2010"/>
      <c r="CG741" s="2010"/>
      <c r="CH741" s="2010"/>
      <c r="CI741" s="2010"/>
      <c r="CJ741" s="2010"/>
      <c r="CK741" s="2010"/>
      <c r="CL741" s="2010"/>
      <c r="CM741" s="2010"/>
      <c r="CN741" s="2010"/>
      <c r="CO741" s="2010"/>
      <c r="CP741" s="2010"/>
      <c r="CQ741" s="2010"/>
      <c r="CR741" s="2010"/>
      <c r="CS741" s="2010"/>
      <c r="CT741" s="2010"/>
      <c r="CU741" s="2010"/>
      <c r="CV741" s="2010"/>
      <c r="CW741" s="2010"/>
      <c r="CX741" s="2010"/>
      <c r="CY741" s="2010"/>
      <c r="CZ741" s="2010"/>
      <c r="DA741" s="2010"/>
      <c r="DB741" s="2010"/>
      <c r="DC741" s="2010"/>
      <c r="DD741" s="2010"/>
      <c r="DE741" s="2010"/>
    </row>
    <row r="742" spans="1:109" s="2014" customFormat="1" x14ac:dyDescent="0.2">
      <c r="A742" s="2013"/>
      <c r="B742" s="2013"/>
      <c r="C742" s="2013"/>
      <c r="D742" s="2013"/>
      <c r="AB742" s="2010"/>
      <c r="AU742" s="2010"/>
      <c r="AV742" s="2010"/>
      <c r="AW742" s="2010"/>
      <c r="AX742" s="2010"/>
      <c r="AY742" s="2010"/>
      <c r="AZ742" s="2010"/>
      <c r="BA742" s="2010"/>
      <c r="BB742" s="2010"/>
      <c r="BC742" s="2010"/>
      <c r="BD742" s="2010"/>
      <c r="BE742" s="2010"/>
      <c r="BF742" s="2010"/>
      <c r="BG742" s="2010"/>
      <c r="BH742" s="2010"/>
      <c r="BI742" s="2010"/>
      <c r="BJ742" s="2010"/>
      <c r="BK742" s="2010"/>
      <c r="BL742" s="2010"/>
      <c r="BM742" s="2010"/>
      <c r="BN742" s="2010"/>
      <c r="BO742" s="2010"/>
      <c r="BP742" s="2010"/>
      <c r="BQ742" s="2010"/>
      <c r="BR742" s="2010"/>
      <c r="BS742" s="2010"/>
      <c r="BT742" s="2010"/>
      <c r="BU742" s="2010"/>
      <c r="BV742" s="2010"/>
      <c r="BW742" s="2010"/>
      <c r="BX742" s="2010"/>
      <c r="BY742" s="2010"/>
      <c r="BZ742" s="2010"/>
      <c r="CA742" s="2010"/>
      <c r="CB742" s="2010"/>
      <c r="CC742" s="2010"/>
      <c r="CD742" s="2010"/>
      <c r="CE742" s="2010"/>
      <c r="CF742" s="2010"/>
      <c r="CG742" s="2010"/>
      <c r="CH742" s="2010"/>
      <c r="CI742" s="2010"/>
      <c r="CJ742" s="2010"/>
      <c r="CK742" s="2010"/>
      <c r="CL742" s="2010"/>
      <c r="CM742" s="2010"/>
      <c r="CN742" s="2010"/>
      <c r="CO742" s="2010"/>
      <c r="CP742" s="2010"/>
      <c r="CQ742" s="2010"/>
      <c r="CR742" s="2010"/>
      <c r="CS742" s="2010"/>
      <c r="CT742" s="2010"/>
      <c r="CU742" s="2010"/>
      <c r="CV742" s="2010"/>
      <c r="CW742" s="2010"/>
      <c r="CX742" s="2010"/>
      <c r="CY742" s="2010"/>
      <c r="CZ742" s="2010"/>
      <c r="DA742" s="2010"/>
      <c r="DB742" s="2010"/>
      <c r="DC742" s="2010"/>
      <c r="DD742" s="2010"/>
      <c r="DE742" s="2010"/>
    </row>
    <row r="743" spans="1:109" s="2014" customFormat="1" x14ac:dyDescent="0.2">
      <c r="A743" s="2013"/>
      <c r="B743" s="2013"/>
      <c r="C743" s="2013"/>
      <c r="D743" s="2013"/>
      <c r="AB743" s="2010"/>
      <c r="AU743" s="2010"/>
      <c r="AV743" s="2010"/>
      <c r="AW743" s="2010"/>
      <c r="AX743" s="2010"/>
      <c r="AY743" s="2010"/>
      <c r="AZ743" s="2010"/>
      <c r="BA743" s="2010"/>
      <c r="BB743" s="2010"/>
      <c r="BC743" s="2010"/>
      <c r="BD743" s="2010"/>
      <c r="BE743" s="2010"/>
      <c r="BF743" s="2010"/>
      <c r="BG743" s="2010"/>
      <c r="BH743" s="2010"/>
      <c r="BI743" s="2010"/>
      <c r="BJ743" s="2010"/>
      <c r="BK743" s="2010"/>
      <c r="BL743" s="2010"/>
      <c r="BM743" s="2010"/>
      <c r="BN743" s="2010"/>
      <c r="BO743" s="2010"/>
      <c r="BP743" s="2010"/>
      <c r="BQ743" s="2010"/>
      <c r="BR743" s="2010"/>
      <c r="BS743" s="2010"/>
      <c r="BT743" s="2010"/>
      <c r="BU743" s="2010"/>
      <c r="BV743" s="2010"/>
      <c r="BW743" s="2010"/>
      <c r="BX743" s="2010"/>
      <c r="BY743" s="2010"/>
      <c r="BZ743" s="2010"/>
      <c r="CA743" s="2010"/>
      <c r="CB743" s="2010"/>
      <c r="CC743" s="2010"/>
      <c r="CD743" s="2010"/>
      <c r="CE743" s="2010"/>
      <c r="CF743" s="2010"/>
      <c r="CG743" s="2010"/>
      <c r="CH743" s="2010"/>
      <c r="CI743" s="2010"/>
      <c r="CJ743" s="2010"/>
      <c r="CK743" s="2010"/>
      <c r="CL743" s="2010"/>
      <c r="CM743" s="2010"/>
      <c r="CN743" s="2010"/>
      <c r="CO743" s="2010"/>
      <c r="CP743" s="2010"/>
      <c r="CQ743" s="2010"/>
      <c r="CR743" s="2010"/>
      <c r="CS743" s="2010"/>
      <c r="CT743" s="2010"/>
      <c r="CU743" s="2010"/>
      <c r="CV743" s="2010"/>
      <c r="CW743" s="2010"/>
      <c r="CX743" s="2010"/>
      <c r="CY743" s="2010"/>
      <c r="CZ743" s="2010"/>
      <c r="DA743" s="2010"/>
      <c r="DB743" s="2010"/>
      <c r="DC743" s="2010"/>
      <c r="DD743" s="2010"/>
      <c r="DE743" s="2010"/>
    </row>
    <row r="744" spans="1:109" s="2014" customFormat="1" x14ac:dyDescent="0.2">
      <c r="A744" s="2013"/>
      <c r="B744" s="2013"/>
      <c r="C744" s="2013"/>
      <c r="D744" s="2013"/>
      <c r="AB744" s="2010"/>
      <c r="AU744" s="2010"/>
      <c r="AV744" s="2010"/>
      <c r="AW744" s="2010"/>
      <c r="AX744" s="2010"/>
      <c r="AY744" s="2010"/>
      <c r="AZ744" s="2010"/>
      <c r="BA744" s="2010"/>
      <c r="BB744" s="2010"/>
      <c r="BC744" s="2010"/>
      <c r="BD744" s="2010"/>
      <c r="BE744" s="2010"/>
      <c r="BF744" s="2010"/>
      <c r="BG744" s="2010"/>
      <c r="BH744" s="2010"/>
      <c r="BI744" s="2010"/>
      <c r="BJ744" s="2010"/>
      <c r="BK744" s="2010"/>
      <c r="BL744" s="2010"/>
      <c r="BM744" s="2010"/>
      <c r="BN744" s="2010"/>
      <c r="BO744" s="2010"/>
      <c r="BP744" s="2010"/>
      <c r="BQ744" s="2010"/>
      <c r="BR744" s="2010"/>
      <c r="BS744" s="2010"/>
      <c r="BT744" s="2010"/>
      <c r="BU744" s="2010"/>
      <c r="BV744" s="2010"/>
      <c r="BW744" s="2010"/>
      <c r="BX744" s="2010"/>
      <c r="BY744" s="2010"/>
      <c r="BZ744" s="2010"/>
      <c r="CA744" s="2010"/>
      <c r="CB744" s="2010"/>
      <c r="CC744" s="2010"/>
      <c r="CD744" s="2010"/>
      <c r="CE744" s="2010"/>
      <c r="CF744" s="2010"/>
      <c r="CG744" s="2010"/>
      <c r="CH744" s="2010"/>
      <c r="CI744" s="2010"/>
      <c r="CJ744" s="2010"/>
      <c r="CK744" s="2010"/>
      <c r="CL744" s="2010"/>
      <c r="CM744" s="2010"/>
      <c r="CN744" s="2010"/>
      <c r="CO744" s="2010"/>
      <c r="CP744" s="2010"/>
      <c r="CQ744" s="2010"/>
      <c r="CR744" s="2010"/>
      <c r="CS744" s="2010"/>
      <c r="CT744" s="2010"/>
      <c r="CU744" s="2010"/>
      <c r="CV744" s="2010"/>
      <c r="CW744" s="2010"/>
      <c r="CX744" s="2010"/>
      <c r="CY744" s="2010"/>
      <c r="CZ744" s="2010"/>
      <c r="DA744" s="2010"/>
      <c r="DB744" s="2010"/>
      <c r="DC744" s="2010"/>
      <c r="DD744" s="2010"/>
      <c r="DE744" s="2010"/>
    </row>
    <row r="745" spans="1:109" s="2014" customFormat="1" x14ac:dyDescent="0.2">
      <c r="A745" s="2013"/>
      <c r="B745" s="2013"/>
      <c r="C745" s="2013"/>
      <c r="D745" s="2013"/>
      <c r="AB745" s="2010"/>
      <c r="AU745" s="2010"/>
      <c r="AV745" s="2010"/>
      <c r="AW745" s="2010"/>
      <c r="AX745" s="2010"/>
      <c r="AY745" s="2010"/>
      <c r="AZ745" s="2010"/>
      <c r="BA745" s="2010"/>
      <c r="BB745" s="2010"/>
      <c r="BC745" s="2010"/>
      <c r="BD745" s="2010"/>
      <c r="BE745" s="2010"/>
      <c r="BF745" s="2010"/>
      <c r="BG745" s="2010"/>
      <c r="BH745" s="2010"/>
      <c r="BI745" s="2010"/>
      <c r="BJ745" s="2010"/>
      <c r="BK745" s="2010"/>
      <c r="BL745" s="2010"/>
      <c r="BM745" s="2010"/>
      <c r="BN745" s="2010"/>
      <c r="BO745" s="2010"/>
      <c r="BP745" s="2010"/>
      <c r="BQ745" s="2010"/>
      <c r="BR745" s="2010"/>
      <c r="BS745" s="2010"/>
      <c r="BT745" s="2010"/>
      <c r="BU745" s="2010"/>
      <c r="BV745" s="2010"/>
      <c r="BW745" s="2010"/>
      <c r="BX745" s="2010"/>
      <c r="BY745" s="2010"/>
      <c r="BZ745" s="2010"/>
      <c r="CA745" s="2010"/>
      <c r="CB745" s="2010"/>
      <c r="CC745" s="2010"/>
      <c r="CD745" s="2010"/>
      <c r="CE745" s="2010"/>
      <c r="CF745" s="2010"/>
      <c r="CG745" s="2010"/>
      <c r="CH745" s="2010"/>
      <c r="CI745" s="2010"/>
      <c r="CJ745" s="2010"/>
      <c r="CK745" s="2010"/>
      <c r="CL745" s="2010"/>
      <c r="CM745" s="2010"/>
      <c r="CN745" s="2010"/>
      <c r="CO745" s="2010"/>
      <c r="CP745" s="2010"/>
      <c r="CQ745" s="2010"/>
      <c r="CR745" s="2010"/>
      <c r="CS745" s="2010"/>
      <c r="CT745" s="2010"/>
      <c r="CU745" s="2010"/>
      <c r="CV745" s="2010"/>
      <c r="CW745" s="2010"/>
      <c r="CX745" s="2010"/>
      <c r="CY745" s="2010"/>
      <c r="CZ745" s="2010"/>
      <c r="DA745" s="2010"/>
      <c r="DB745" s="2010"/>
      <c r="DC745" s="2010"/>
      <c r="DD745" s="2010"/>
      <c r="DE745" s="2010"/>
    </row>
    <row r="746" spans="1:109" s="2014" customFormat="1" x14ac:dyDescent="0.2">
      <c r="A746" s="2013"/>
      <c r="B746" s="2013"/>
      <c r="C746" s="2013"/>
      <c r="D746" s="2013"/>
      <c r="AB746" s="2010"/>
      <c r="AU746" s="2010"/>
      <c r="AV746" s="2010"/>
      <c r="AW746" s="2010"/>
      <c r="AX746" s="2010"/>
      <c r="AY746" s="2010"/>
      <c r="AZ746" s="2010"/>
      <c r="BA746" s="2010"/>
      <c r="BB746" s="2010"/>
      <c r="BC746" s="2010"/>
      <c r="BD746" s="2010"/>
      <c r="BE746" s="2010"/>
      <c r="BF746" s="2010"/>
      <c r="BG746" s="2010"/>
      <c r="BH746" s="2010"/>
      <c r="BI746" s="2010"/>
      <c r="BJ746" s="2010"/>
      <c r="BK746" s="2010"/>
      <c r="BL746" s="2010"/>
      <c r="BM746" s="2010"/>
      <c r="BN746" s="2010"/>
      <c r="BO746" s="2010"/>
      <c r="BP746" s="2010"/>
      <c r="BQ746" s="2010"/>
      <c r="BR746" s="2010"/>
      <c r="BS746" s="2010"/>
      <c r="BT746" s="2010"/>
      <c r="BU746" s="2010"/>
      <c r="BV746" s="2010"/>
      <c r="BW746" s="2010"/>
      <c r="BX746" s="2010"/>
      <c r="BY746" s="2010"/>
      <c r="BZ746" s="2010"/>
      <c r="CA746" s="2010"/>
      <c r="CB746" s="2010"/>
      <c r="CC746" s="2010"/>
      <c r="CD746" s="2010"/>
      <c r="CE746" s="2010"/>
      <c r="CF746" s="2010"/>
      <c r="CG746" s="2010"/>
      <c r="CH746" s="2010"/>
      <c r="CI746" s="2010"/>
      <c r="CJ746" s="2010"/>
      <c r="CK746" s="2010"/>
      <c r="CL746" s="2010"/>
      <c r="CM746" s="2010"/>
      <c r="CN746" s="2010"/>
      <c r="CO746" s="2010"/>
      <c r="CP746" s="2010"/>
      <c r="CQ746" s="2010"/>
      <c r="CR746" s="2010"/>
      <c r="CS746" s="2010"/>
      <c r="CT746" s="2010"/>
      <c r="CU746" s="2010"/>
      <c r="CV746" s="2010"/>
      <c r="CW746" s="2010"/>
      <c r="CX746" s="2010"/>
      <c r="CY746" s="2010"/>
      <c r="CZ746" s="2010"/>
      <c r="DA746" s="2010"/>
      <c r="DB746" s="2010"/>
      <c r="DC746" s="2010"/>
      <c r="DD746" s="2010"/>
      <c r="DE746" s="2010"/>
    </row>
    <row r="747" spans="1:109" s="2014" customFormat="1" x14ac:dyDescent="0.2">
      <c r="A747" s="2013"/>
      <c r="B747" s="2013"/>
      <c r="C747" s="2013"/>
      <c r="D747" s="2013"/>
      <c r="AB747" s="2010"/>
      <c r="AU747" s="2010"/>
      <c r="AV747" s="2010"/>
      <c r="AW747" s="2010"/>
      <c r="AX747" s="2010"/>
      <c r="AY747" s="2010"/>
      <c r="AZ747" s="2010"/>
      <c r="BA747" s="2010"/>
      <c r="BB747" s="2010"/>
      <c r="BC747" s="2010"/>
      <c r="BD747" s="2010"/>
      <c r="BE747" s="2010"/>
      <c r="BF747" s="2010"/>
      <c r="BG747" s="2010"/>
      <c r="BH747" s="2010"/>
      <c r="BI747" s="2010"/>
      <c r="BJ747" s="2010"/>
      <c r="BK747" s="2010"/>
      <c r="BL747" s="2010"/>
      <c r="BM747" s="2010"/>
      <c r="BN747" s="2010"/>
      <c r="BO747" s="2010"/>
      <c r="BP747" s="2010"/>
      <c r="BQ747" s="2010"/>
      <c r="BR747" s="2010"/>
      <c r="BS747" s="2010"/>
      <c r="BT747" s="2010"/>
      <c r="BU747" s="2010"/>
      <c r="BV747" s="2010"/>
      <c r="BW747" s="2010"/>
      <c r="BX747" s="2010"/>
      <c r="BY747" s="2010"/>
      <c r="BZ747" s="2010"/>
      <c r="CA747" s="2010"/>
      <c r="CB747" s="2010"/>
      <c r="CC747" s="2010"/>
      <c r="CD747" s="2010"/>
      <c r="CE747" s="2010"/>
      <c r="CF747" s="2010"/>
      <c r="CG747" s="2010"/>
      <c r="CH747" s="2010"/>
      <c r="CI747" s="2010"/>
      <c r="CJ747" s="2010"/>
      <c r="CK747" s="2010"/>
      <c r="CL747" s="2010"/>
      <c r="CM747" s="2010"/>
      <c r="CN747" s="2010"/>
      <c r="CO747" s="2010"/>
      <c r="CP747" s="2010"/>
      <c r="CQ747" s="2010"/>
      <c r="CR747" s="2010"/>
      <c r="CS747" s="2010"/>
      <c r="CT747" s="2010"/>
      <c r="CU747" s="2010"/>
      <c r="CV747" s="2010"/>
      <c r="CW747" s="2010"/>
      <c r="CX747" s="2010"/>
      <c r="CY747" s="2010"/>
      <c r="CZ747" s="2010"/>
      <c r="DA747" s="2010"/>
      <c r="DB747" s="2010"/>
      <c r="DC747" s="2010"/>
      <c r="DD747" s="2010"/>
      <c r="DE747" s="2010"/>
    </row>
    <row r="748" spans="1:109" s="2014" customFormat="1" x14ac:dyDescent="0.2">
      <c r="A748" s="2013"/>
      <c r="B748" s="2013"/>
      <c r="C748" s="2013"/>
      <c r="D748" s="2013"/>
      <c r="AB748" s="2010"/>
      <c r="AU748" s="2010"/>
      <c r="AV748" s="2010"/>
      <c r="AW748" s="2010"/>
      <c r="AX748" s="2010"/>
      <c r="AY748" s="2010"/>
      <c r="AZ748" s="2010"/>
      <c r="BA748" s="2010"/>
      <c r="BB748" s="2010"/>
      <c r="BC748" s="2010"/>
      <c r="BD748" s="2010"/>
      <c r="BE748" s="2010"/>
      <c r="BF748" s="2010"/>
      <c r="BG748" s="2010"/>
      <c r="BH748" s="2010"/>
      <c r="BI748" s="2010"/>
      <c r="BJ748" s="2010"/>
      <c r="BK748" s="2010"/>
      <c r="BL748" s="2010"/>
      <c r="BM748" s="2010"/>
      <c r="BN748" s="2010"/>
      <c r="BO748" s="2010"/>
      <c r="BP748" s="2010"/>
      <c r="BQ748" s="2010"/>
      <c r="BR748" s="2010"/>
      <c r="BS748" s="2010"/>
      <c r="BT748" s="2010"/>
      <c r="BU748" s="2010"/>
      <c r="BV748" s="2010"/>
      <c r="BW748" s="2010"/>
      <c r="BX748" s="2010"/>
      <c r="BY748" s="2010"/>
      <c r="BZ748" s="2010"/>
      <c r="CA748" s="2010"/>
      <c r="CB748" s="2010"/>
      <c r="CC748" s="2010"/>
      <c r="CD748" s="2010"/>
      <c r="CE748" s="2010"/>
      <c r="CF748" s="2010"/>
      <c r="CG748" s="2010"/>
      <c r="CH748" s="2010"/>
      <c r="CI748" s="2010"/>
      <c r="CJ748" s="2010"/>
      <c r="CK748" s="2010"/>
      <c r="CL748" s="2010"/>
      <c r="CM748" s="2010"/>
      <c r="CN748" s="2010"/>
      <c r="CO748" s="2010"/>
      <c r="CP748" s="2010"/>
      <c r="CQ748" s="2010"/>
      <c r="CR748" s="2010"/>
      <c r="CS748" s="2010"/>
      <c r="CT748" s="2010"/>
      <c r="CU748" s="2010"/>
      <c r="CV748" s="2010"/>
      <c r="CW748" s="2010"/>
      <c r="CX748" s="2010"/>
      <c r="CY748" s="2010"/>
      <c r="CZ748" s="2010"/>
      <c r="DA748" s="2010"/>
      <c r="DB748" s="2010"/>
      <c r="DC748" s="2010"/>
      <c r="DD748" s="2010"/>
      <c r="DE748" s="2010"/>
    </row>
    <row r="749" spans="1:109" s="2014" customFormat="1" x14ac:dyDescent="0.2">
      <c r="A749" s="2013"/>
      <c r="B749" s="2013"/>
      <c r="C749" s="2013"/>
      <c r="D749" s="2013"/>
      <c r="AB749" s="2010"/>
      <c r="AU749" s="2010"/>
      <c r="AV749" s="2010"/>
      <c r="AW749" s="2010"/>
      <c r="AX749" s="2010"/>
      <c r="AY749" s="2010"/>
      <c r="AZ749" s="2010"/>
      <c r="BA749" s="2010"/>
      <c r="BB749" s="2010"/>
      <c r="BC749" s="2010"/>
      <c r="BD749" s="2010"/>
      <c r="BE749" s="2010"/>
      <c r="BF749" s="2010"/>
      <c r="BG749" s="2010"/>
      <c r="BH749" s="2010"/>
      <c r="BI749" s="2010"/>
      <c r="BJ749" s="2010"/>
      <c r="BK749" s="2010"/>
      <c r="BL749" s="2010"/>
      <c r="BM749" s="2010"/>
      <c r="BN749" s="2010"/>
      <c r="BO749" s="2010"/>
      <c r="BP749" s="2010"/>
      <c r="BQ749" s="2010"/>
      <c r="BR749" s="2010"/>
      <c r="BS749" s="2010"/>
      <c r="BT749" s="2010"/>
      <c r="BU749" s="2010"/>
      <c r="BV749" s="2010"/>
      <c r="BW749" s="2010"/>
      <c r="BX749" s="2010"/>
      <c r="BY749" s="2010"/>
      <c r="BZ749" s="2010"/>
      <c r="CA749" s="2010"/>
      <c r="CB749" s="2010"/>
      <c r="CC749" s="2010"/>
      <c r="CD749" s="2010"/>
      <c r="CE749" s="2010"/>
      <c r="CF749" s="2010"/>
      <c r="CG749" s="2010"/>
      <c r="CH749" s="2010"/>
      <c r="CI749" s="2010"/>
      <c r="CJ749" s="2010"/>
      <c r="CK749" s="2010"/>
      <c r="CL749" s="2010"/>
      <c r="CM749" s="2010"/>
      <c r="CN749" s="2010"/>
      <c r="CO749" s="2010"/>
      <c r="CP749" s="2010"/>
      <c r="CQ749" s="2010"/>
      <c r="CR749" s="2010"/>
      <c r="CS749" s="2010"/>
      <c r="CT749" s="2010"/>
      <c r="CU749" s="2010"/>
      <c r="CV749" s="2010"/>
      <c r="CW749" s="2010"/>
      <c r="CX749" s="2010"/>
      <c r="CY749" s="2010"/>
      <c r="CZ749" s="2010"/>
      <c r="DA749" s="2010"/>
      <c r="DB749" s="2010"/>
      <c r="DC749" s="2010"/>
      <c r="DD749" s="2010"/>
      <c r="DE749" s="2010"/>
    </row>
    <row r="750" spans="1:109" s="2014" customFormat="1" x14ac:dyDescent="0.2">
      <c r="A750" s="2013"/>
      <c r="B750" s="2013"/>
      <c r="C750" s="2013"/>
      <c r="D750" s="2013"/>
      <c r="AB750" s="2010"/>
      <c r="AU750" s="2010"/>
      <c r="AV750" s="2010"/>
      <c r="AW750" s="2010"/>
      <c r="AX750" s="2010"/>
      <c r="AY750" s="2010"/>
      <c r="AZ750" s="2010"/>
      <c r="BA750" s="2010"/>
      <c r="BB750" s="2010"/>
      <c r="BC750" s="2010"/>
      <c r="BD750" s="2010"/>
      <c r="BE750" s="2010"/>
      <c r="BF750" s="2010"/>
      <c r="BG750" s="2010"/>
      <c r="BH750" s="2010"/>
      <c r="BI750" s="2010"/>
      <c r="BJ750" s="2010"/>
      <c r="BK750" s="2010"/>
      <c r="BL750" s="2010"/>
      <c r="BM750" s="2010"/>
      <c r="BN750" s="2010"/>
      <c r="BO750" s="2010"/>
      <c r="BP750" s="2010"/>
      <c r="BQ750" s="2010"/>
      <c r="BR750" s="2010"/>
      <c r="BS750" s="2010"/>
      <c r="BT750" s="2010"/>
      <c r="BU750" s="2010"/>
      <c r="BV750" s="2010"/>
      <c r="BW750" s="2010"/>
      <c r="BX750" s="2010"/>
      <c r="BY750" s="2010"/>
      <c r="BZ750" s="2010"/>
      <c r="CA750" s="2010"/>
      <c r="CB750" s="2010"/>
      <c r="CC750" s="2010"/>
      <c r="CD750" s="2010"/>
      <c r="CE750" s="2010"/>
      <c r="CF750" s="2010"/>
      <c r="CG750" s="2010"/>
      <c r="CH750" s="2010"/>
      <c r="CI750" s="2010"/>
      <c r="CJ750" s="2010"/>
      <c r="CK750" s="2010"/>
      <c r="CL750" s="2010"/>
      <c r="CM750" s="2010"/>
      <c r="CN750" s="2010"/>
      <c r="CO750" s="2010"/>
      <c r="CP750" s="2010"/>
      <c r="CQ750" s="2010"/>
      <c r="CR750" s="2010"/>
      <c r="CS750" s="2010"/>
      <c r="CT750" s="2010"/>
      <c r="CU750" s="2010"/>
      <c r="CV750" s="2010"/>
      <c r="CW750" s="2010"/>
      <c r="CX750" s="2010"/>
      <c r="CY750" s="2010"/>
      <c r="CZ750" s="2010"/>
      <c r="DA750" s="2010"/>
      <c r="DB750" s="2010"/>
      <c r="DC750" s="2010"/>
      <c r="DD750" s="2010"/>
      <c r="DE750" s="2010"/>
    </row>
    <row r="751" spans="1:109" s="2014" customFormat="1" x14ac:dyDescent="0.2">
      <c r="A751" s="2013"/>
      <c r="B751" s="2013"/>
      <c r="C751" s="2013"/>
      <c r="D751" s="2013"/>
      <c r="AB751" s="2010"/>
      <c r="AU751" s="2010"/>
      <c r="AV751" s="2010"/>
      <c r="AW751" s="2010"/>
      <c r="AX751" s="2010"/>
      <c r="AY751" s="2010"/>
      <c r="AZ751" s="2010"/>
      <c r="BA751" s="2010"/>
      <c r="BB751" s="2010"/>
      <c r="BC751" s="2010"/>
      <c r="BD751" s="2010"/>
      <c r="BE751" s="2010"/>
      <c r="BF751" s="2010"/>
      <c r="BG751" s="2010"/>
      <c r="BH751" s="2010"/>
      <c r="BI751" s="2010"/>
      <c r="BJ751" s="2010"/>
      <c r="BK751" s="2010"/>
      <c r="BL751" s="2010"/>
      <c r="BM751" s="2010"/>
      <c r="BN751" s="2010"/>
      <c r="BO751" s="2010"/>
      <c r="BP751" s="2010"/>
      <c r="BQ751" s="2010"/>
      <c r="BR751" s="2010"/>
      <c r="BS751" s="2010"/>
      <c r="BT751" s="2010"/>
      <c r="BU751" s="2010"/>
      <c r="BV751" s="2010"/>
      <c r="BW751" s="2010"/>
      <c r="BX751" s="2010"/>
      <c r="BY751" s="2010"/>
      <c r="BZ751" s="2010"/>
      <c r="CA751" s="2010"/>
      <c r="CB751" s="2010"/>
      <c r="CC751" s="2010"/>
      <c r="CD751" s="2010"/>
      <c r="CE751" s="2010"/>
      <c r="CF751" s="2010"/>
      <c r="CG751" s="2010"/>
      <c r="CH751" s="2010"/>
      <c r="CI751" s="2010"/>
      <c r="CJ751" s="2010"/>
      <c r="CK751" s="2010"/>
      <c r="CL751" s="2010"/>
      <c r="CM751" s="2010"/>
      <c r="CN751" s="2010"/>
      <c r="CO751" s="2010"/>
      <c r="CP751" s="2010"/>
      <c r="CQ751" s="2010"/>
      <c r="CR751" s="2010"/>
      <c r="CS751" s="2010"/>
      <c r="CT751" s="2010"/>
      <c r="CU751" s="2010"/>
      <c r="CV751" s="2010"/>
      <c r="CW751" s="2010"/>
      <c r="CX751" s="2010"/>
      <c r="CY751" s="2010"/>
      <c r="CZ751" s="2010"/>
      <c r="DA751" s="2010"/>
      <c r="DB751" s="2010"/>
      <c r="DC751" s="2010"/>
      <c r="DD751" s="2010"/>
      <c r="DE751" s="2010"/>
    </row>
    <row r="752" spans="1:109" s="2014" customFormat="1" x14ac:dyDescent="0.2">
      <c r="A752" s="2013"/>
      <c r="B752" s="2013"/>
      <c r="C752" s="2013"/>
      <c r="D752" s="2013"/>
      <c r="AB752" s="2010"/>
      <c r="AU752" s="2010"/>
      <c r="AV752" s="2010"/>
      <c r="AW752" s="2010"/>
      <c r="AX752" s="2010"/>
      <c r="AY752" s="2010"/>
      <c r="AZ752" s="2010"/>
      <c r="BA752" s="2010"/>
      <c r="BB752" s="2010"/>
      <c r="BC752" s="2010"/>
      <c r="BD752" s="2010"/>
      <c r="BE752" s="2010"/>
      <c r="BF752" s="2010"/>
      <c r="BG752" s="2010"/>
      <c r="BH752" s="2010"/>
      <c r="BI752" s="2010"/>
      <c r="BJ752" s="2010"/>
      <c r="BK752" s="2010"/>
      <c r="BL752" s="2010"/>
      <c r="BM752" s="2010"/>
      <c r="BN752" s="2010"/>
      <c r="BO752" s="2010"/>
      <c r="BP752" s="2010"/>
      <c r="BQ752" s="2010"/>
      <c r="BR752" s="2010"/>
      <c r="BS752" s="2010"/>
      <c r="BT752" s="2010"/>
      <c r="BU752" s="2010"/>
      <c r="BV752" s="2010"/>
      <c r="BW752" s="2010"/>
      <c r="BX752" s="2010"/>
      <c r="BY752" s="2010"/>
      <c r="BZ752" s="2010"/>
      <c r="CA752" s="2010"/>
      <c r="CB752" s="2010"/>
      <c r="CC752" s="2010"/>
      <c r="CD752" s="2010"/>
      <c r="CE752" s="2010"/>
      <c r="CF752" s="2010"/>
      <c r="CG752" s="2010"/>
      <c r="CH752" s="2010"/>
      <c r="CI752" s="2010"/>
      <c r="CJ752" s="2010"/>
      <c r="CK752" s="2010"/>
      <c r="CL752" s="2010"/>
      <c r="CM752" s="2010"/>
      <c r="CN752" s="2010"/>
      <c r="CO752" s="2010"/>
      <c r="CP752" s="2010"/>
      <c r="CQ752" s="2010"/>
      <c r="CR752" s="2010"/>
      <c r="CS752" s="2010"/>
      <c r="CT752" s="2010"/>
      <c r="CU752" s="2010"/>
      <c r="CV752" s="2010"/>
      <c r="CW752" s="2010"/>
      <c r="CX752" s="2010"/>
      <c r="CY752" s="2010"/>
      <c r="CZ752" s="2010"/>
      <c r="DA752" s="2010"/>
      <c r="DB752" s="2010"/>
      <c r="DC752" s="2010"/>
      <c r="DD752" s="2010"/>
      <c r="DE752" s="2010"/>
    </row>
    <row r="753" spans="1:109" s="2014" customFormat="1" x14ac:dyDescent="0.2">
      <c r="A753" s="2013"/>
      <c r="B753" s="2013"/>
      <c r="C753" s="2013"/>
      <c r="D753" s="2013"/>
      <c r="AB753" s="2010"/>
      <c r="AU753" s="2010"/>
      <c r="AV753" s="2010"/>
      <c r="AW753" s="2010"/>
      <c r="AX753" s="2010"/>
      <c r="AY753" s="2010"/>
      <c r="AZ753" s="2010"/>
      <c r="BA753" s="2010"/>
      <c r="BB753" s="2010"/>
      <c r="BC753" s="2010"/>
      <c r="BD753" s="2010"/>
      <c r="BE753" s="2010"/>
      <c r="BF753" s="2010"/>
      <c r="BG753" s="2010"/>
      <c r="BH753" s="2010"/>
      <c r="BI753" s="2010"/>
      <c r="BJ753" s="2010"/>
      <c r="BK753" s="2010"/>
      <c r="BL753" s="2010"/>
      <c r="BM753" s="2010"/>
      <c r="BN753" s="2010"/>
      <c r="BO753" s="2010"/>
      <c r="BP753" s="2010"/>
      <c r="BQ753" s="2010"/>
      <c r="BR753" s="2010"/>
      <c r="BS753" s="2010"/>
      <c r="BT753" s="2010"/>
      <c r="BU753" s="2010"/>
      <c r="BV753" s="2010"/>
      <c r="BW753" s="2010"/>
      <c r="BX753" s="2010"/>
      <c r="BY753" s="2010"/>
      <c r="BZ753" s="2010"/>
      <c r="CA753" s="2010"/>
      <c r="CB753" s="2010"/>
      <c r="CC753" s="2010"/>
      <c r="CD753" s="2010"/>
      <c r="CE753" s="2010"/>
      <c r="CF753" s="2010"/>
      <c r="CG753" s="2010"/>
      <c r="CH753" s="2010"/>
      <c r="CI753" s="2010"/>
      <c r="CJ753" s="2010"/>
      <c r="CK753" s="2010"/>
      <c r="CL753" s="2010"/>
      <c r="CM753" s="2010"/>
      <c r="CN753" s="2010"/>
      <c r="CO753" s="2010"/>
      <c r="CP753" s="2010"/>
      <c r="CQ753" s="2010"/>
      <c r="CR753" s="2010"/>
      <c r="CS753" s="2010"/>
      <c r="CT753" s="2010"/>
      <c r="CU753" s="2010"/>
      <c r="CV753" s="2010"/>
      <c r="CW753" s="2010"/>
      <c r="CX753" s="2010"/>
      <c r="CY753" s="2010"/>
      <c r="CZ753" s="2010"/>
      <c r="DA753" s="2010"/>
      <c r="DB753" s="2010"/>
      <c r="DC753" s="2010"/>
      <c r="DD753" s="2010"/>
      <c r="DE753" s="2010"/>
    </row>
    <row r="754" spans="1:109" s="2014" customFormat="1" x14ac:dyDescent="0.2">
      <c r="A754" s="2013"/>
      <c r="B754" s="2013"/>
      <c r="C754" s="2013"/>
      <c r="D754" s="2013"/>
      <c r="AB754" s="2010"/>
      <c r="AU754" s="2010"/>
      <c r="AV754" s="2010"/>
      <c r="AW754" s="2010"/>
      <c r="AX754" s="2010"/>
      <c r="AY754" s="2010"/>
      <c r="AZ754" s="2010"/>
      <c r="BA754" s="2010"/>
      <c r="BB754" s="2010"/>
      <c r="BC754" s="2010"/>
      <c r="BD754" s="2010"/>
      <c r="BE754" s="2010"/>
      <c r="BF754" s="2010"/>
      <c r="BG754" s="2010"/>
      <c r="BH754" s="2010"/>
      <c r="BI754" s="2010"/>
      <c r="BJ754" s="2010"/>
      <c r="BK754" s="2010"/>
      <c r="BL754" s="2010"/>
      <c r="BM754" s="2010"/>
      <c r="BN754" s="2010"/>
      <c r="BO754" s="2010"/>
      <c r="BP754" s="2010"/>
      <c r="BQ754" s="2010"/>
      <c r="BR754" s="2010"/>
      <c r="BS754" s="2010"/>
      <c r="BT754" s="2010"/>
      <c r="BU754" s="2010"/>
      <c r="BV754" s="2010"/>
      <c r="BW754" s="2010"/>
      <c r="BX754" s="2010"/>
      <c r="BY754" s="2010"/>
      <c r="BZ754" s="2010"/>
      <c r="CA754" s="2010"/>
      <c r="CB754" s="2010"/>
      <c r="CC754" s="2010"/>
      <c r="CD754" s="2010"/>
      <c r="CE754" s="2010"/>
      <c r="CF754" s="2010"/>
      <c r="CG754" s="2010"/>
      <c r="CH754" s="2010"/>
      <c r="CI754" s="2010"/>
      <c r="CJ754" s="2010"/>
      <c r="CK754" s="2010"/>
      <c r="CL754" s="2010"/>
      <c r="CM754" s="2010"/>
      <c r="CN754" s="2010"/>
      <c r="CO754" s="2010"/>
      <c r="CP754" s="2010"/>
      <c r="CQ754" s="2010"/>
      <c r="CR754" s="2010"/>
      <c r="CS754" s="2010"/>
      <c r="CT754" s="2010"/>
      <c r="CU754" s="2010"/>
      <c r="CV754" s="2010"/>
      <c r="CW754" s="2010"/>
      <c r="CX754" s="2010"/>
      <c r="CY754" s="2010"/>
      <c r="CZ754" s="2010"/>
      <c r="DA754" s="2010"/>
      <c r="DB754" s="2010"/>
      <c r="DC754" s="2010"/>
      <c r="DD754" s="2010"/>
      <c r="DE754" s="2010"/>
    </row>
    <row r="755" spans="1:109" s="2014" customFormat="1" x14ac:dyDescent="0.2">
      <c r="A755" s="2013"/>
      <c r="B755" s="2013"/>
      <c r="C755" s="2013"/>
      <c r="D755" s="2013"/>
      <c r="AB755" s="2010"/>
      <c r="AU755" s="2010"/>
      <c r="AV755" s="2010"/>
      <c r="AW755" s="2010"/>
      <c r="AX755" s="2010"/>
      <c r="AY755" s="2010"/>
      <c r="AZ755" s="2010"/>
      <c r="BA755" s="2010"/>
      <c r="BB755" s="2010"/>
      <c r="BC755" s="2010"/>
      <c r="BD755" s="2010"/>
      <c r="BE755" s="2010"/>
      <c r="BF755" s="2010"/>
      <c r="BG755" s="2010"/>
      <c r="BH755" s="2010"/>
      <c r="BI755" s="2010"/>
      <c r="BJ755" s="2010"/>
      <c r="BK755" s="2010"/>
      <c r="BL755" s="2010"/>
      <c r="BM755" s="2010"/>
      <c r="BN755" s="2010"/>
      <c r="BO755" s="2010"/>
      <c r="BP755" s="2010"/>
      <c r="BQ755" s="2010"/>
      <c r="BR755" s="2010"/>
      <c r="BS755" s="2010"/>
      <c r="BT755" s="2010"/>
      <c r="BU755" s="2010"/>
      <c r="BV755" s="2010"/>
      <c r="BW755" s="2010"/>
      <c r="BX755" s="2010"/>
      <c r="BY755" s="2010"/>
      <c r="BZ755" s="2010"/>
      <c r="CA755" s="2010"/>
      <c r="CB755" s="2010"/>
      <c r="CC755" s="2010"/>
      <c r="CD755" s="2010"/>
      <c r="CE755" s="2010"/>
      <c r="CF755" s="2010"/>
      <c r="CG755" s="2010"/>
      <c r="CH755" s="2010"/>
      <c r="CI755" s="2010"/>
      <c r="CJ755" s="2010"/>
      <c r="CK755" s="2010"/>
      <c r="CL755" s="2010"/>
      <c r="CM755" s="2010"/>
      <c r="CN755" s="2010"/>
      <c r="CO755" s="2010"/>
      <c r="CP755" s="2010"/>
      <c r="CQ755" s="2010"/>
      <c r="CR755" s="2010"/>
      <c r="CS755" s="2010"/>
      <c r="CT755" s="2010"/>
      <c r="CU755" s="2010"/>
      <c r="CV755" s="2010"/>
      <c r="CW755" s="2010"/>
      <c r="CX755" s="2010"/>
      <c r="CY755" s="2010"/>
      <c r="CZ755" s="2010"/>
      <c r="DA755" s="2010"/>
      <c r="DB755" s="2010"/>
      <c r="DC755" s="2010"/>
      <c r="DD755" s="2010"/>
      <c r="DE755" s="2010"/>
    </row>
    <row r="756" spans="1:109" s="2014" customFormat="1" x14ac:dyDescent="0.2">
      <c r="A756" s="2013"/>
      <c r="B756" s="2013"/>
      <c r="C756" s="2013"/>
      <c r="D756" s="2013"/>
      <c r="AB756" s="2010"/>
      <c r="AU756" s="2010"/>
      <c r="AV756" s="2010"/>
      <c r="AW756" s="2010"/>
      <c r="AX756" s="2010"/>
      <c r="AY756" s="2010"/>
      <c r="AZ756" s="2010"/>
      <c r="BA756" s="2010"/>
      <c r="BB756" s="2010"/>
      <c r="BC756" s="2010"/>
      <c r="BD756" s="2010"/>
      <c r="BE756" s="2010"/>
      <c r="BF756" s="2010"/>
      <c r="BG756" s="2010"/>
      <c r="BH756" s="2010"/>
      <c r="BI756" s="2010"/>
      <c r="BJ756" s="2010"/>
      <c r="BK756" s="2010"/>
      <c r="BL756" s="2010"/>
      <c r="BM756" s="2010"/>
      <c r="BN756" s="2010"/>
      <c r="BO756" s="2010"/>
      <c r="BP756" s="2010"/>
      <c r="BQ756" s="2010"/>
      <c r="BR756" s="2010"/>
      <c r="BS756" s="2010"/>
      <c r="BT756" s="2010"/>
      <c r="BU756" s="2010"/>
      <c r="BV756" s="2010"/>
      <c r="BW756" s="2010"/>
      <c r="BX756" s="2010"/>
      <c r="BY756" s="2010"/>
      <c r="BZ756" s="2010"/>
      <c r="CA756" s="2010"/>
      <c r="CB756" s="2010"/>
      <c r="CC756" s="2010"/>
      <c r="CD756" s="2010"/>
      <c r="CE756" s="2010"/>
      <c r="CF756" s="2010"/>
      <c r="CG756" s="2010"/>
      <c r="CH756" s="2010"/>
      <c r="CI756" s="2010"/>
      <c r="CJ756" s="2010"/>
      <c r="CK756" s="2010"/>
      <c r="CL756" s="2010"/>
      <c r="CM756" s="2010"/>
      <c r="CN756" s="2010"/>
      <c r="CO756" s="2010"/>
      <c r="CP756" s="2010"/>
      <c r="CQ756" s="2010"/>
      <c r="CR756" s="2010"/>
      <c r="CS756" s="2010"/>
      <c r="CT756" s="2010"/>
      <c r="CU756" s="2010"/>
      <c r="CV756" s="2010"/>
      <c r="CW756" s="2010"/>
      <c r="CX756" s="2010"/>
      <c r="CY756" s="2010"/>
      <c r="CZ756" s="2010"/>
      <c r="DA756" s="2010"/>
      <c r="DB756" s="2010"/>
      <c r="DC756" s="2010"/>
      <c r="DD756" s="2010"/>
      <c r="DE756" s="2010"/>
    </row>
    <row r="757" spans="1:109" s="2014" customFormat="1" x14ac:dyDescent="0.2">
      <c r="A757" s="2013"/>
      <c r="B757" s="2013"/>
      <c r="C757" s="2013"/>
      <c r="D757" s="2013"/>
      <c r="AB757" s="2010"/>
      <c r="AU757" s="2010"/>
      <c r="AV757" s="2010"/>
      <c r="AW757" s="2010"/>
      <c r="AX757" s="2010"/>
      <c r="AY757" s="2010"/>
      <c r="AZ757" s="2010"/>
      <c r="BA757" s="2010"/>
      <c r="BB757" s="2010"/>
      <c r="BC757" s="2010"/>
      <c r="BD757" s="2010"/>
      <c r="BE757" s="2010"/>
      <c r="BF757" s="2010"/>
      <c r="BG757" s="2010"/>
      <c r="BH757" s="2010"/>
      <c r="BI757" s="2010"/>
      <c r="BJ757" s="2010"/>
      <c r="BK757" s="2010"/>
      <c r="BL757" s="2010"/>
      <c r="BM757" s="2010"/>
      <c r="BN757" s="2010"/>
      <c r="BO757" s="2010"/>
      <c r="BP757" s="2010"/>
      <c r="BQ757" s="2010"/>
      <c r="BR757" s="2010"/>
      <c r="BS757" s="2010"/>
      <c r="BT757" s="2010"/>
      <c r="BU757" s="2010"/>
      <c r="BV757" s="2010"/>
      <c r="BW757" s="2010"/>
      <c r="BX757" s="2010"/>
      <c r="BY757" s="2010"/>
      <c r="BZ757" s="2010"/>
      <c r="CA757" s="2010"/>
      <c r="CB757" s="2010"/>
      <c r="CC757" s="2010"/>
      <c r="CD757" s="2010"/>
      <c r="CE757" s="2010"/>
      <c r="CF757" s="2010"/>
      <c r="CG757" s="2010"/>
      <c r="CH757" s="2010"/>
      <c r="CI757" s="2010"/>
      <c r="CJ757" s="2010"/>
      <c r="CK757" s="2010"/>
      <c r="CL757" s="2010"/>
      <c r="CM757" s="2010"/>
      <c r="CN757" s="2010"/>
      <c r="CO757" s="2010"/>
      <c r="CP757" s="2010"/>
      <c r="CQ757" s="2010"/>
      <c r="CR757" s="2010"/>
      <c r="CS757" s="2010"/>
      <c r="CT757" s="2010"/>
      <c r="CU757" s="2010"/>
      <c r="CV757" s="2010"/>
      <c r="CW757" s="2010"/>
      <c r="CX757" s="2010"/>
      <c r="CY757" s="2010"/>
      <c r="CZ757" s="2010"/>
      <c r="DA757" s="2010"/>
      <c r="DB757" s="2010"/>
      <c r="DC757" s="2010"/>
      <c r="DD757" s="2010"/>
      <c r="DE757" s="2010"/>
    </row>
    <row r="758" spans="1:109" s="2014" customFormat="1" x14ac:dyDescent="0.2">
      <c r="A758" s="2013"/>
      <c r="B758" s="2013"/>
      <c r="C758" s="2013"/>
      <c r="D758" s="2013"/>
      <c r="AB758" s="2010"/>
      <c r="AU758" s="2010"/>
      <c r="AV758" s="2010"/>
      <c r="AW758" s="2010"/>
      <c r="AX758" s="2010"/>
      <c r="AY758" s="2010"/>
      <c r="AZ758" s="2010"/>
      <c r="BA758" s="2010"/>
      <c r="BB758" s="2010"/>
      <c r="BC758" s="2010"/>
      <c r="BD758" s="2010"/>
      <c r="BE758" s="2010"/>
      <c r="BF758" s="2010"/>
      <c r="BG758" s="2010"/>
      <c r="BH758" s="2010"/>
      <c r="BI758" s="2010"/>
      <c r="BJ758" s="2010"/>
      <c r="BK758" s="2010"/>
      <c r="BL758" s="2010"/>
      <c r="BM758" s="2010"/>
      <c r="BN758" s="2010"/>
      <c r="BO758" s="2010"/>
      <c r="BP758" s="2010"/>
      <c r="BQ758" s="2010"/>
      <c r="BR758" s="2010"/>
      <c r="BS758" s="2010"/>
      <c r="BT758" s="2010"/>
      <c r="BU758" s="2010"/>
      <c r="BV758" s="2010"/>
      <c r="BW758" s="2010"/>
      <c r="BX758" s="2010"/>
      <c r="BY758" s="2010"/>
      <c r="BZ758" s="2010"/>
      <c r="CA758" s="2010"/>
      <c r="CB758" s="2010"/>
      <c r="CC758" s="2010"/>
      <c r="CD758" s="2010"/>
      <c r="CE758" s="2010"/>
      <c r="CF758" s="2010"/>
      <c r="CG758" s="2010"/>
      <c r="CH758" s="2010"/>
      <c r="CI758" s="2010"/>
      <c r="CJ758" s="2010"/>
      <c r="CK758" s="2010"/>
      <c r="CL758" s="2010"/>
      <c r="CM758" s="2010"/>
      <c r="CN758" s="2010"/>
      <c r="CO758" s="2010"/>
      <c r="CP758" s="2010"/>
      <c r="CQ758" s="2010"/>
      <c r="CR758" s="2010"/>
      <c r="CS758" s="2010"/>
      <c r="CT758" s="2010"/>
      <c r="CU758" s="2010"/>
      <c r="CV758" s="2010"/>
      <c r="CW758" s="2010"/>
      <c r="CX758" s="2010"/>
      <c r="CY758" s="2010"/>
      <c r="CZ758" s="2010"/>
      <c r="DA758" s="2010"/>
      <c r="DB758" s="2010"/>
      <c r="DC758" s="2010"/>
      <c r="DD758" s="2010"/>
      <c r="DE758" s="2010"/>
    </row>
    <row r="759" spans="1:109" s="2014" customFormat="1" x14ac:dyDescent="0.2">
      <c r="A759" s="2013"/>
      <c r="B759" s="2013"/>
      <c r="C759" s="2013"/>
      <c r="D759" s="2013"/>
      <c r="AB759" s="2010"/>
      <c r="AU759" s="2010"/>
      <c r="AV759" s="2010"/>
      <c r="AW759" s="2010"/>
      <c r="AX759" s="2010"/>
      <c r="AY759" s="2010"/>
      <c r="AZ759" s="2010"/>
      <c r="BA759" s="2010"/>
      <c r="BB759" s="2010"/>
      <c r="BC759" s="2010"/>
      <c r="BD759" s="2010"/>
      <c r="BE759" s="2010"/>
      <c r="BF759" s="2010"/>
      <c r="BG759" s="2010"/>
      <c r="BH759" s="2010"/>
      <c r="BI759" s="2010"/>
      <c r="BJ759" s="2010"/>
      <c r="BK759" s="2010"/>
      <c r="BL759" s="2010"/>
      <c r="BM759" s="2010"/>
      <c r="BN759" s="2010"/>
      <c r="BO759" s="2010"/>
      <c r="BP759" s="2010"/>
      <c r="BQ759" s="2010"/>
      <c r="BR759" s="2010"/>
      <c r="BS759" s="2010"/>
      <c r="BT759" s="2010"/>
      <c r="BU759" s="2010"/>
      <c r="BV759" s="2010"/>
      <c r="BW759" s="2010"/>
      <c r="BX759" s="2010"/>
      <c r="BY759" s="2010"/>
      <c r="BZ759" s="2010"/>
      <c r="CA759" s="2010"/>
      <c r="CB759" s="2010"/>
      <c r="CC759" s="2010"/>
      <c r="CD759" s="2010"/>
      <c r="CE759" s="2010"/>
      <c r="CF759" s="2010"/>
      <c r="CG759" s="2010"/>
      <c r="CH759" s="2010"/>
      <c r="CI759" s="2010"/>
      <c r="CJ759" s="2010"/>
      <c r="CK759" s="2010"/>
      <c r="CL759" s="2010"/>
      <c r="CM759" s="2010"/>
      <c r="CN759" s="2010"/>
      <c r="CO759" s="2010"/>
      <c r="CP759" s="2010"/>
      <c r="CQ759" s="2010"/>
      <c r="CR759" s="2010"/>
      <c r="CS759" s="2010"/>
      <c r="CT759" s="2010"/>
      <c r="CU759" s="2010"/>
      <c r="CV759" s="2010"/>
      <c r="CW759" s="2010"/>
      <c r="CX759" s="2010"/>
      <c r="CY759" s="2010"/>
      <c r="CZ759" s="2010"/>
      <c r="DA759" s="2010"/>
      <c r="DB759" s="2010"/>
      <c r="DC759" s="2010"/>
      <c r="DD759" s="2010"/>
      <c r="DE759" s="2010"/>
    </row>
    <row r="760" spans="1:109" s="2014" customFormat="1" x14ac:dyDescent="0.2">
      <c r="A760" s="2013"/>
      <c r="B760" s="2013"/>
      <c r="C760" s="2013"/>
      <c r="D760" s="2013"/>
      <c r="AB760" s="2010"/>
      <c r="AU760" s="2010"/>
      <c r="AV760" s="2010"/>
      <c r="AW760" s="2010"/>
      <c r="AX760" s="2010"/>
      <c r="AY760" s="2010"/>
      <c r="AZ760" s="2010"/>
      <c r="BA760" s="2010"/>
      <c r="BB760" s="2010"/>
      <c r="BC760" s="2010"/>
      <c r="BD760" s="2010"/>
      <c r="BE760" s="2010"/>
      <c r="BF760" s="2010"/>
      <c r="BG760" s="2010"/>
      <c r="BH760" s="2010"/>
      <c r="BI760" s="2010"/>
      <c r="BJ760" s="2010"/>
      <c r="BK760" s="2010"/>
      <c r="BL760" s="2010"/>
      <c r="BM760" s="2010"/>
      <c r="BN760" s="2010"/>
      <c r="BO760" s="2010"/>
      <c r="BP760" s="2010"/>
      <c r="BQ760" s="2010"/>
      <c r="BR760" s="2010"/>
      <c r="BS760" s="2010"/>
      <c r="BT760" s="2010"/>
      <c r="BU760" s="2010"/>
      <c r="BV760" s="2010"/>
      <c r="BW760" s="2010"/>
      <c r="BX760" s="2010"/>
      <c r="BY760" s="2010"/>
      <c r="BZ760" s="2010"/>
      <c r="CA760" s="2010"/>
      <c r="CB760" s="2010"/>
      <c r="CC760" s="2010"/>
      <c r="CD760" s="2010"/>
      <c r="CE760" s="2010"/>
      <c r="CF760" s="2010"/>
      <c r="CG760" s="2010"/>
      <c r="CH760" s="2010"/>
      <c r="CI760" s="2010"/>
      <c r="CJ760" s="2010"/>
      <c r="CK760" s="2010"/>
      <c r="CL760" s="2010"/>
      <c r="CM760" s="2010"/>
      <c r="CN760" s="2010"/>
      <c r="CO760" s="2010"/>
      <c r="CP760" s="2010"/>
      <c r="CQ760" s="2010"/>
      <c r="CR760" s="2010"/>
      <c r="CS760" s="2010"/>
      <c r="CT760" s="2010"/>
      <c r="CU760" s="2010"/>
      <c r="CV760" s="2010"/>
      <c r="CW760" s="2010"/>
      <c r="CX760" s="2010"/>
      <c r="CY760" s="2010"/>
      <c r="CZ760" s="2010"/>
      <c r="DA760" s="2010"/>
      <c r="DB760" s="2010"/>
      <c r="DC760" s="2010"/>
      <c r="DD760" s="2010"/>
      <c r="DE760" s="2010"/>
    </row>
    <row r="761" spans="1:109" s="2014" customFormat="1" x14ac:dyDescent="0.2">
      <c r="A761" s="2013"/>
      <c r="B761" s="2013"/>
      <c r="C761" s="2013"/>
      <c r="D761" s="2013"/>
      <c r="AB761" s="2010"/>
      <c r="AU761" s="2010"/>
      <c r="AV761" s="2010"/>
      <c r="AW761" s="2010"/>
      <c r="AX761" s="2010"/>
      <c r="AY761" s="2010"/>
      <c r="AZ761" s="2010"/>
      <c r="BA761" s="2010"/>
      <c r="BB761" s="2010"/>
      <c r="BC761" s="2010"/>
      <c r="BD761" s="2010"/>
      <c r="BE761" s="2010"/>
      <c r="BF761" s="2010"/>
      <c r="BG761" s="2010"/>
      <c r="BH761" s="2010"/>
      <c r="BI761" s="2010"/>
      <c r="BJ761" s="2010"/>
      <c r="BK761" s="2010"/>
      <c r="BL761" s="2010"/>
      <c r="BM761" s="2010"/>
      <c r="BN761" s="2010"/>
      <c r="BO761" s="2010"/>
      <c r="BP761" s="2010"/>
      <c r="BQ761" s="2010"/>
      <c r="BR761" s="2010"/>
      <c r="BS761" s="2010"/>
      <c r="BT761" s="2010"/>
      <c r="BU761" s="2010"/>
      <c r="BV761" s="2010"/>
      <c r="BW761" s="2010"/>
      <c r="BX761" s="2010"/>
      <c r="BY761" s="2010"/>
      <c r="BZ761" s="2010"/>
      <c r="CA761" s="2010"/>
      <c r="CB761" s="2010"/>
      <c r="CC761" s="2010"/>
      <c r="CD761" s="2010"/>
      <c r="CE761" s="2010"/>
      <c r="CF761" s="2010"/>
      <c r="CG761" s="2010"/>
      <c r="CH761" s="2010"/>
      <c r="CI761" s="2010"/>
      <c r="CJ761" s="2010"/>
      <c r="CK761" s="2010"/>
      <c r="CL761" s="2010"/>
      <c r="CM761" s="2010"/>
      <c r="CN761" s="2010"/>
      <c r="CO761" s="2010"/>
      <c r="CP761" s="2010"/>
      <c r="CQ761" s="2010"/>
      <c r="CR761" s="2010"/>
      <c r="CS761" s="2010"/>
      <c r="CT761" s="2010"/>
      <c r="CU761" s="2010"/>
      <c r="CV761" s="2010"/>
      <c r="CW761" s="2010"/>
      <c r="CX761" s="2010"/>
      <c r="CY761" s="2010"/>
      <c r="CZ761" s="2010"/>
      <c r="DA761" s="2010"/>
      <c r="DB761" s="2010"/>
      <c r="DC761" s="2010"/>
      <c r="DD761" s="2010"/>
      <c r="DE761" s="2010"/>
    </row>
    <row r="762" spans="1:109" s="2014" customFormat="1" x14ac:dyDescent="0.2">
      <c r="A762" s="2013"/>
      <c r="B762" s="2013"/>
      <c r="C762" s="2013"/>
      <c r="D762" s="2013"/>
      <c r="AB762" s="2010"/>
      <c r="AU762" s="2010"/>
      <c r="AV762" s="2010"/>
      <c r="AW762" s="2010"/>
      <c r="AX762" s="2010"/>
      <c r="AY762" s="2010"/>
      <c r="AZ762" s="2010"/>
      <c r="BA762" s="2010"/>
      <c r="BB762" s="2010"/>
      <c r="BC762" s="2010"/>
      <c r="BD762" s="2010"/>
      <c r="BE762" s="2010"/>
      <c r="BF762" s="2010"/>
      <c r="BG762" s="2010"/>
      <c r="BH762" s="2010"/>
      <c r="BI762" s="2010"/>
      <c r="BJ762" s="2010"/>
      <c r="BK762" s="2010"/>
      <c r="BL762" s="2010"/>
      <c r="BM762" s="2010"/>
      <c r="BN762" s="2010"/>
      <c r="BO762" s="2010"/>
      <c r="BP762" s="2010"/>
      <c r="BQ762" s="2010"/>
      <c r="BR762" s="2010"/>
      <c r="BS762" s="2010"/>
      <c r="BT762" s="2010"/>
      <c r="BU762" s="2010"/>
      <c r="BV762" s="2010"/>
      <c r="BW762" s="2010"/>
      <c r="BX762" s="2010"/>
      <c r="BY762" s="2010"/>
      <c r="BZ762" s="2010"/>
      <c r="CA762" s="2010"/>
      <c r="CB762" s="2010"/>
      <c r="CC762" s="2010"/>
      <c r="CD762" s="2010"/>
      <c r="CE762" s="2010"/>
      <c r="CF762" s="2010"/>
      <c r="CG762" s="2010"/>
      <c r="CH762" s="2010"/>
      <c r="CI762" s="2010"/>
      <c r="CJ762" s="2010"/>
      <c r="CK762" s="2010"/>
      <c r="CL762" s="2010"/>
      <c r="CM762" s="2010"/>
      <c r="CN762" s="2010"/>
      <c r="CO762" s="2010"/>
      <c r="CP762" s="2010"/>
      <c r="CQ762" s="2010"/>
      <c r="CR762" s="2010"/>
      <c r="CS762" s="2010"/>
      <c r="CT762" s="2010"/>
      <c r="CU762" s="2010"/>
      <c r="CV762" s="2010"/>
      <c r="CW762" s="2010"/>
      <c r="CX762" s="2010"/>
      <c r="CY762" s="2010"/>
      <c r="CZ762" s="2010"/>
      <c r="DA762" s="2010"/>
      <c r="DB762" s="2010"/>
      <c r="DC762" s="2010"/>
      <c r="DD762" s="2010"/>
      <c r="DE762" s="2010"/>
    </row>
    <row r="763" spans="1:109" s="2014" customFormat="1" x14ac:dyDescent="0.2">
      <c r="A763" s="2013"/>
      <c r="B763" s="2013"/>
      <c r="C763" s="2013"/>
      <c r="D763" s="2013"/>
      <c r="AB763" s="2010"/>
      <c r="AU763" s="2010"/>
      <c r="AV763" s="2010"/>
      <c r="AW763" s="2010"/>
      <c r="AX763" s="2010"/>
      <c r="AY763" s="2010"/>
      <c r="AZ763" s="2010"/>
      <c r="BA763" s="2010"/>
      <c r="BB763" s="2010"/>
      <c r="BC763" s="2010"/>
      <c r="BD763" s="2010"/>
      <c r="BE763" s="2010"/>
      <c r="BF763" s="2010"/>
      <c r="BG763" s="2010"/>
      <c r="BH763" s="2010"/>
      <c r="BI763" s="2010"/>
      <c r="BJ763" s="2010"/>
      <c r="BK763" s="2010"/>
      <c r="BL763" s="2010"/>
      <c r="BM763" s="2010"/>
      <c r="BN763" s="2010"/>
      <c r="BO763" s="2010"/>
      <c r="BP763" s="2010"/>
      <c r="BQ763" s="2010"/>
      <c r="BR763" s="2010"/>
      <c r="BS763" s="2010"/>
      <c r="BT763" s="2010"/>
      <c r="BU763" s="2010"/>
      <c r="BV763" s="2010"/>
      <c r="BW763" s="2010"/>
      <c r="BX763" s="2010"/>
      <c r="BY763" s="2010"/>
      <c r="BZ763" s="2010"/>
      <c r="CA763" s="2010"/>
      <c r="CB763" s="2010"/>
      <c r="CC763" s="2010"/>
      <c r="CD763" s="2010"/>
      <c r="CE763" s="2010"/>
      <c r="CF763" s="2010"/>
      <c r="CG763" s="2010"/>
      <c r="CH763" s="2010"/>
      <c r="CI763" s="2010"/>
      <c r="CJ763" s="2010"/>
      <c r="CK763" s="2010"/>
      <c r="CL763" s="2010"/>
      <c r="CM763" s="2010"/>
      <c r="CN763" s="2010"/>
      <c r="CO763" s="2010"/>
      <c r="CP763" s="2010"/>
      <c r="CQ763" s="2010"/>
      <c r="CR763" s="2010"/>
      <c r="CS763" s="2010"/>
      <c r="CT763" s="2010"/>
      <c r="CU763" s="2010"/>
      <c r="CV763" s="2010"/>
      <c r="CW763" s="2010"/>
      <c r="CX763" s="2010"/>
      <c r="CY763" s="2010"/>
      <c r="CZ763" s="2010"/>
      <c r="DA763" s="2010"/>
      <c r="DB763" s="2010"/>
      <c r="DC763" s="2010"/>
      <c r="DD763" s="2010"/>
      <c r="DE763" s="2010"/>
    </row>
    <row r="764" spans="1:109" s="2014" customFormat="1" x14ac:dyDescent="0.2">
      <c r="A764" s="2013"/>
      <c r="B764" s="2013"/>
      <c r="C764" s="2013"/>
      <c r="D764" s="2013"/>
      <c r="AB764" s="2010"/>
      <c r="AU764" s="2010"/>
      <c r="AV764" s="2010"/>
      <c r="AW764" s="2010"/>
      <c r="AX764" s="2010"/>
      <c r="AY764" s="2010"/>
      <c r="AZ764" s="2010"/>
      <c r="BA764" s="2010"/>
      <c r="BB764" s="2010"/>
      <c r="BC764" s="2010"/>
      <c r="BD764" s="2010"/>
      <c r="BE764" s="2010"/>
      <c r="BF764" s="2010"/>
      <c r="BG764" s="2010"/>
      <c r="BH764" s="2010"/>
      <c r="BI764" s="2010"/>
      <c r="BJ764" s="2010"/>
      <c r="BK764" s="2010"/>
      <c r="BL764" s="2010"/>
      <c r="BM764" s="2010"/>
      <c r="BN764" s="2010"/>
      <c r="BO764" s="2010"/>
      <c r="BP764" s="2010"/>
      <c r="BQ764" s="2010"/>
      <c r="BR764" s="2010"/>
      <c r="BS764" s="2010"/>
      <c r="BT764" s="2010"/>
      <c r="BU764" s="2010"/>
      <c r="BV764" s="2010"/>
      <c r="BW764" s="2010"/>
      <c r="BX764" s="2010"/>
      <c r="BY764" s="2010"/>
      <c r="BZ764" s="2010"/>
      <c r="CA764" s="2010"/>
      <c r="CB764" s="2010"/>
      <c r="CC764" s="2010"/>
      <c r="CD764" s="2010"/>
      <c r="CE764" s="2010"/>
      <c r="CF764" s="2010"/>
      <c r="CG764" s="2010"/>
      <c r="CH764" s="2010"/>
      <c r="CI764" s="2010"/>
      <c r="CJ764" s="2010"/>
      <c r="CK764" s="2010"/>
      <c r="CL764" s="2010"/>
      <c r="CM764" s="2010"/>
      <c r="CN764" s="2010"/>
      <c r="CO764" s="2010"/>
      <c r="CP764" s="2010"/>
      <c r="CQ764" s="2010"/>
      <c r="CR764" s="2010"/>
      <c r="CS764" s="2010"/>
      <c r="CT764" s="2010"/>
      <c r="CU764" s="2010"/>
      <c r="CV764" s="2010"/>
      <c r="CW764" s="2010"/>
      <c r="CX764" s="2010"/>
      <c r="CY764" s="2010"/>
      <c r="CZ764" s="2010"/>
      <c r="DA764" s="2010"/>
      <c r="DB764" s="2010"/>
      <c r="DC764" s="2010"/>
      <c r="DD764" s="2010"/>
      <c r="DE764" s="2010"/>
    </row>
    <row r="765" spans="1:109" s="2014" customFormat="1" x14ac:dyDescent="0.2">
      <c r="A765" s="2013"/>
      <c r="B765" s="2013"/>
      <c r="C765" s="2013"/>
      <c r="D765" s="2013"/>
      <c r="AB765" s="2010"/>
      <c r="AU765" s="2010"/>
      <c r="AV765" s="2010"/>
      <c r="AW765" s="2010"/>
      <c r="AX765" s="2010"/>
      <c r="AY765" s="2010"/>
      <c r="AZ765" s="2010"/>
      <c r="BA765" s="2010"/>
      <c r="BB765" s="2010"/>
      <c r="BC765" s="2010"/>
      <c r="BD765" s="2010"/>
      <c r="BE765" s="2010"/>
      <c r="BF765" s="2010"/>
      <c r="BG765" s="2010"/>
      <c r="BH765" s="2010"/>
      <c r="BI765" s="2010"/>
      <c r="BJ765" s="2010"/>
      <c r="BK765" s="2010"/>
      <c r="BL765" s="2010"/>
      <c r="BM765" s="2010"/>
      <c r="BN765" s="2010"/>
      <c r="BO765" s="2010"/>
      <c r="BP765" s="2010"/>
      <c r="BQ765" s="2010"/>
      <c r="BR765" s="2010"/>
      <c r="BS765" s="2010"/>
      <c r="BT765" s="2010"/>
      <c r="BU765" s="2010"/>
      <c r="BV765" s="2010"/>
      <c r="BW765" s="2010"/>
      <c r="BX765" s="2010"/>
      <c r="BY765" s="2010"/>
      <c r="BZ765" s="2010"/>
      <c r="CA765" s="2010"/>
      <c r="CB765" s="2010"/>
      <c r="CC765" s="2010"/>
      <c r="CD765" s="2010"/>
      <c r="CE765" s="2010"/>
      <c r="CF765" s="2010"/>
      <c r="CG765" s="2010"/>
      <c r="CH765" s="2010"/>
      <c r="CI765" s="2010"/>
      <c r="CJ765" s="2010"/>
      <c r="CK765" s="2010"/>
      <c r="CL765" s="2010"/>
      <c r="CM765" s="2010"/>
      <c r="CN765" s="2010"/>
      <c r="CO765" s="2010"/>
      <c r="CP765" s="2010"/>
      <c r="CQ765" s="2010"/>
      <c r="CR765" s="2010"/>
      <c r="CS765" s="2010"/>
      <c r="CT765" s="2010"/>
      <c r="CU765" s="2010"/>
      <c r="CV765" s="2010"/>
      <c r="CW765" s="2010"/>
      <c r="CX765" s="2010"/>
      <c r="CY765" s="2010"/>
      <c r="CZ765" s="2010"/>
      <c r="DA765" s="2010"/>
      <c r="DB765" s="2010"/>
      <c r="DC765" s="2010"/>
      <c r="DD765" s="2010"/>
      <c r="DE765" s="2010"/>
    </row>
    <row r="766" spans="1:109" s="2014" customFormat="1" x14ac:dyDescent="0.2">
      <c r="A766" s="2013"/>
      <c r="B766" s="2013"/>
      <c r="C766" s="2013"/>
      <c r="D766" s="2013"/>
      <c r="AB766" s="2010"/>
      <c r="AU766" s="2010"/>
      <c r="AV766" s="2010"/>
      <c r="AW766" s="2010"/>
      <c r="AX766" s="2010"/>
      <c r="AY766" s="2010"/>
      <c r="AZ766" s="2010"/>
      <c r="BA766" s="2010"/>
      <c r="BB766" s="2010"/>
      <c r="BC766" s="2010"/>
      <c r="BD766" s="2010"/>
      <c r="BE766" s="2010"/>
      <c r="BF766" s="2010"/>
      <c r="BG766" s="2010"/>
      <c r="BH766" s="2010"/>
      <c r="BI766" s="2010"/>
      <c r="BJ766" s="2010"/>
      <c r="BK766" s="2010"/>
      <c r="BL766" s="2010"/>
      <c r="BM766" s="2010"/>
      <c r="BN766" s="2010"/>
      <c r="BO766" s="2010"/>
      <c r="BP766" s="2010"/>
      <c r="BQ766" s="2010"/>
      <c r="BR766" s="2010"/>
      <c r="BS766" s="2010"/>
      <c r="BT766" s="2010"/>
      <c r="BU766" s="2010"/>
      <c r="BV766" s="2010"/>
      <c r="BW766" s="2010"/>
      <c r="BX766" s="2010"/>
      <c r="BY766" s="2010"/>
      <c r="BZ766" s="2010"/>
      <c r="CA766" s="2010"/>
      <c r="CB766" s="2010"/>
      <c r="CC766" s="2010"/>
      <c r="CD766" s="2010"/>
      <c r="CE766" s="2010"/>
      <c r="CF766" s="2010"/>
      <c r="CG766" s="2010"/>
      <c r="CH766" s="2010"/>
      <c r="CI766" s="2010"/>
      <c r="CJ766" s="2010"/>
      <c r="CK766" s="2010"/>
      <c r="CL766" s="2010"/>
      <c r="CM766" s="2010"/>
      <c r="CN766" s="2010"/>
      <c r="CO766" s="2010"/>
      <c r="CP766" s="2010"/>
      <c r="CQ766" s="2010"/>
      <c r="CR766" s="2010"/>
      <c r="CS766" s="2010"/>
      <c r="CT766" s="2010"/>
      <c r="CU766" s="2010"/>
      <c r="CV766" s="2010"/>
      <c r="CW766" s="2010"/>
      <c r="CX766" s="2010"/>
      <c r="CY766" s="2010"/>
      <c r="CZ766" s="2010"/>
      <c r="DA766" s="2010"/>
      <c r="DB766" s="2010"/>
      <c r="DC766" s="2010"/>
      <c r="DD766" s="2010"/>
      <c r="DE766" s="2010"/>
    </row>
    <row r="767" spans="1:109" s="2014" customFormat="1" x14ac:dyDescent="0.2">
      <c r="A767" s="2013"/>
      <c r="B767" s="2013"/>
      <c r="C767" s="2013"/>
      <c r="D767" s="2013"/>
      <c r="AB767" s="2010"/>
      <c r="AU767" s="2010"/>
      <c r="AV767" s="2010"/>
      <c r="AW767" s="2010"/>
      <c r="AX767" s="2010"/>
      <c r="AY767" s="2010"/>
      <c r="AZ767" s="2010"/>
      <c r="BA767" s="2010"/>
      <c r="BB767" s="2010"/>
      <c r="BC767" s="2010"/>
      <c r="BD767" s="2010"/>
      <c r="BE767" s="2010"/>
      <c r="BF767" s="2010"/>
      <c r="BG767" s="2010"/>
      <c r="BH767" s="2010"/>
      <c r="BI767" s="2010"/>
      <c r="BJ767" s="2010"/>
      <c r="BK767" s="2010"/>
      <c r="BL767" s="2010"/>
      <c r="BM767" s="2010"/>
      <c r="BN767" s="2010"/>
      <c r="BO767" s="2010"/>
      <c r="BP767" s="2010"/>
      <c r="BQ767" s="2010"/>
      <c r="BR767" s="2010"/>
      <c r="BS767" s="2010"/>
      <c r="BT767" s="2010"/>
      <c r="BU767" s="2010"/>
      <c r="BV767" s="2010"/>
      <c r="BW767" s="2010"/>
      <c r="BX767" s="2010"/>
      <c r="BY767" s="2010"/>
      <c r="BZ767" s="2010"/>
      <c r="CA767" s="2010"/>
      <c r="CB767" s="2010"/>
      <c r="CC767" s="2010"/>
      <c r="CD767" s="2010"/>
      <c r="CE767" s="2010"/>
      <c r="CF767" s="2010"/>
      <c r="CG767" s="2010"/>
      <c r="CH767" s="2010"/>
      <c r="CI767" s="2010"/>
      <c r="CJ767" s="2010"/>
      <c r="CK767" s="2010"/>
      <c r="CL767" s="2010"/>
      <c r="CM767" s="2010"/>
      <c r="CN767" s="2010"/>
      <c r="CO767" s="2010"/>
      <c r="CP767" s="2010"/>
      <c r="CQ767" s="2010"/>
      <c r="CR767" s="2010"/>
      <c r="CS767" s="2010"/>
      <c r="CT767" s="2010"/>
      <c r="CU767" s="2010"/>
      <c r="CV767" s="2010"/>
      <c r="CW767" s="2010"/>
      <c r="CX767" s="2010"/>
      <c r="CY767" s="2010"/>
      <c r="CZ767" s="2010"/>
      <c r="DA767" s="2010"/>
      <c r="DB767" s="2010"/>
      <c r="DC767" s="2010"/>
      <c r="DD767" s="2010"/>
      <c r="DE767" s="2010"/>
    </row>
    <row r="768" spans="1:109" s="2014" customFormat="1" x14ac:dyDescent="0.2">
      <c r="A768" s="2013"/>
      <c r="B768" s="2013"/>
      <c r="C768" s="2013"/>
      <c r="D768" s="2013"/>
      <c r="AB768" s="2010"/>
      <c r="AU768" s="2010"/>
      <c r="AV768" s="2010"/>
      <c r="AW768" s="2010"/>
      <c r="AX768" s="2010"/>
      <c r="AY768" s="2010"/>
      <c r="AZ768" s="2010"/>
      <c r="BA768" s="2010"/>
      <c r="BB768" s="2010"/>
      <c r="BC768" s="2010"/>
      <c r="BD768" s="2010"/>
      <c r="BE768" s="2010"/>
      <c r="BF768" s="2010"/>
      <c r="BG768" s="2010"/>
      <c r="BH768" s="2010"/>
      <c r="BI768" s="2010"/>
      <c r="BJ768" s="2010"/>
      <c r="BK768" s="2010"/>
      <c r="BL768" s="2010"/>
      <c r="BM768" s="2010"/>
      <c r="BN768" s="2010"/>
      <c r="BO768" s="2010"/>
      <c r="BP768" s="2010"/>
      <c r="BQ768" s="2010"/>
      <c r="BR768" s="2010"/>
      <c r="BS768" s="2010"/>
      <c r="BT768" s="2010"/>
      <c r="BU768" s="2010"/>
      <c r="BV768" s="2010"/>
      <c r="BW768" s="2010"/>
      <c r="BX768" s="2010"/>
      <c r="BY768" s="2010"/>
      <c r="BZ768" s="2010"/>
      <c r="CA768" s="2010"/>
      <c r="CB768" s="2010"/>
      <c r="CC768" s="2010"/>
      <c r="CD768" s="2010"/>
      <c r="CE768" s="2010"/>
      <c r="CF768" s="2010"/>
      <c r="CG768" s="2010"/>
      <c r="CH768" s="2010"/>
      <c r="CI768" s="2010"/>
      <c r="CJ768" s="2010"/>
      <c r="CK768" s="2010"/>
      <c r="CL768" s="2010"/>
      <c r="CM768" s="2010"/>
      <c r="CN768" s="2010"/>
      <c r="CO768" s="2010"/>
      <c r="CP768" s="2010"/>
      <c r="CQ768" s="2010"/>
      <c r="CR768" s="2010"/>
      <c r="CS768" s="2010"/>
      <c r="CT768" s="2010"/>
      <c r="CU768" s="2010"/>
      <c r="CV768" s="2010"/>
      <c r="CW768" s="2010"/>
      <c r="CX768" s="2010"/>
      <c r="CY768" s="2010"/>
      <c r="CZ768" s="2010"/>
      <c r="DA768" s="2010"/>
      <c r="DB768" s="2010"/>
      <c r="DC768" s="2010"/>
      <c r="DD768" s="2010"/>
      <c r="DE768" s="2010"/>
    </row>
    <row r="769" spans="1:109" s="2014" customFormat="1" x14ac:dyDescent="0.2">
      <c r="A769" s="2013"/>
      <c r="B769" s="2013"/>
      <c r="C769" s="2013"/>
      <c r="D769" s="2013"/>
      <c r="AB769" s="2010"/>
      <c r="AU769" s="2010"/>
      <c r="AV769" s="2010"/>
      <c r="AW769" s="2010"/>
      <c r="AX769" s="2010"/>
      <c r="AY769" s="2010"/>
      <c r="AZ769" s="2010"/>
      <c r="BA769" s="2010"/>
      <c r="BB769" s="2010"/>
      <c r="BC769" s="2010"/>
      <c r="BD769" s="2010"/>
      <c r="BE769" s="2010"/>
      <c r="BF769" s="2010"/>
      <c r="BG769" s="2010"/>
      <c r="BH769" s="2010"/>
      <c r="BI769" s="2010"/>
      <c r="BJ769" s="2010"/>
      <c r="BK769" s="2010"/>
      <c r="BL769" s="2010"/>
      <c r="BM769" s="2010"/>
      <c r="BN769" s="2010"/>
      <c r="BO769" s="2010"/>
      <c r="BP769" s="2010"/>
      <c r="BQ769" s="2010"/>
      <c r="BR769" s="2010"/>
      <c r="BS769" s="2010"/>
      <c r="BT769" s="2010"/>
      <c r="BU769" s="2010"/>
      <c r="BV769" s="2010"/>
      <c r="BW769" s="2010"/>
      <c r="BX769" s="2010"/>
      <c r="BY769" s="2010"/>
      <c r="BZ769" s="2010"/>
      <c r="CA769" s="2010"/>
      <c r="CB769" s="2010"/>
      <c r="CC769" s="2010"/>
      <c r="CD769" s="2010"/>
      <c r="CE769" s="2010"/>
      <c r="CF769" s="2010"/>
      <c r="CG769" s="2010"/>
      <c r="CH769" s="2010"/>
      <c r="CI769" s="2010"/>
      <c r="CJ769" s="2010"/>
      <c r="CK769" s="2010"/>
      <c r="CL769" s="2010"/>
      <c r="CM769" s="2010"/>
      <c r="CN769" s="2010"/>
      <c r="CO769" s="2010"/>
      <c r="CP769" s="2010"/>
      <c r="CQ769" s="2010"/>
      <c r="CR769" s="2010"/>
      <c r="CS769" s="2010"/>
      <c r="CT769" s="2010"/>
      <c r="CU769" s="2010"/>
      <c r="CV769" s="2010"/>
      <c r="CW769" s="2010"/>
      <c r="CX769" s="2010"/>
      <c r="CY769" s="2010"/>
      <c r="CZ769" s="2010"/>
      <c r="DA769" s="2010"/>
      <c r="DB769" s="2010"/>
      <c r="DC769" s="2010"/>
      <c r="DD769" s="2010"/>
      <c r="DE769" s="2010"/>
    </row>
    <row r="770" spans="1:109" s="2014" customFormat="1" x14ac:dyDescent="0.2">
      <c r="A770" s="2013"/>
      <c r="B770" s="2013"/>
      <c r="C770" s="2013"/>
      <c r="D770" s="2013"/>
      <c r="AB770" s="2010"/>
      <c r="AU770" s="2010"/>
      <c r="AV770" s="2010"/>
      <c r="AW770" s="2010"/>
      <c r="AX770" s="2010"/>
      <c r="AY770" s="2010"/>
      <c r="AZ770" s="2010"/>
      <c r="BA770" s="2010"/>
      <c r="BB770" s="2010"/>
      <c r="BC770" s="2010"/>
      <c r="BD770" s="2010"/>
      <c r="BE770" s="2010"/>
      <c r="BF770" s="2010"/>
      <c r="BG770" s="2010"/>
      <c r="BH770" s="2010"/>
      <c r="BI770" s="2010"/>
      <c r="BJ770" s="2010"/>
      <c r="BK770" s="2010"/>
      <c r="BL770" s="2010"/>
      <c r="BM770" s="2010"/>
      <c r="BN770" s="2010"/>
      <c r="BO770" s="2010"/>
      <c r="BP770" s="2010"/>
      <c r="BQ770" s="2010"/>
      <c r="BR770" s="2010"/>
      <c r="BS770" s="2010"/>
      <c r="BT770" s="2010"/>
      <c r="BU770" s="2010"/>
      <c r="BV770" s="2010"/>
      <c r="BW770" s="2010"/>
      <c r="BX770" s="2010"/>
      <c r="BY770" s="2010"/>
      <c r="BZ770" s="2010"/>
      <c r="CA770" s="2010"/>
      <c r="CB770" s="2010"/>
      <c r="CC770" s="2010"/>
      <c r="CD770" s="2010"/>
      <c r="CE770" s="2010"/>
      <c r="CF770" s="2010"/>
      <c r="CG770" s="2010"/>
      <c r="CH770" s="2010"/>
      <c r="CI770" s="2010"/>
      <c r="CJ770" s="2010"/>
      <c r="CK770" s="2010"/>
      <c r="CL770" s="2010"/>
      <c r="CM770" s="2010"/>
      <c r="CN770" s="2010"/>
      <c r="CO770" s="2010"/>
      <c r="CP770" s="2010"/>
      <c r="CQ770" s="2010"/>
      <c r="CR770" s="2010"/>
      <c r="CS770" s="2010"/>
      <c r="CT770" s="2010"/>
      <c r="CU770" s="2010"/>
      <c r="CV770" s="2010"/>
      <c r="CW770" s="2010"/>
      <c r="CX770" s="2010"/>
      <c r="CY770" s="2010"/>
      <c r="CZ770" s="2010"/>
      <c r="DA770" s="2010"/>
      <c r="DB770" s="2010"/>
      <c r="DC770" s="2010"/>
      <c r="DD770" s="2010"/>
      <c r="DE770" s="2010"/>
    </row>
    <row r="771" spans="1:109" s="2014" customFormat="1" x14ac:dyDescent="0.2">
      <c r="A771" s="2013"/>
      <c r="B771" s="2013"/>
      <c r="C771" s="2013"/>
      <c r="D771" s="2013"/>
      <c r="AB771" s="2010"/>
      <c r="AU771" s="2010"/>
      <c r="AV771" s="2010"/>
      <c r="AW771" s="2010"/>
      <c r="AX771" s="2010"/>
      <c r="AY771" s="2010"/>
      <c r="AZ771" s="2010"/>
      <c r="BA771" s="2010"/>
      <c r="BB771" s="2010"/>
      <c r="BC771" s="2010"/>
      <c r="BD771" s="2010"/>
      <c r="BE771" s="2010"/>
      <c r="BF771" s="2010"/>
      <c r="BG771" s="2010"/>
      <c r="BH771" s="2010"/>
      <c r="BI771" s="2010"/>
      <c r="BJ771" s="2010"/>
      <c r="BK771" s="2010"/>
      <c r="BL771" s="2010"/>
      <c r="BM771" s="2010"/>
      <c r="BN771" s="2010"/>
      <c r="BO771" s="2010"/>
      <c r="BP771" s="2010"/>
      <c r="BQ771" s="2010"/>
      <c r="BR771" s="2010"/>
      <c r="BS771" s="2010"/>
      <c r="BT771" s="2010"/>
      <c r="BU771" s="2010"/>
      <c r="BV771" s="2010"/>
      <c r="BW771" s="2010"/>
      <c r="BX771" s="2010"/>
      <c r="BY771" s="2010"/>
      <c r="BZ771" s="2010"/>
      <c r="CA771" s="2010"/>
      <c r="CB771" s="2010"/>
      <c r="CC771" s="2010"/>
      <c r="CD771" s="2010"/>
      <c r="CE771" s="2010"/>
      <c r="CF771" s="2010"/>
      <c r="CG771" s="2010"/>
      <c r="CH771" s="2010"/>
      <c r="CI771" s="2010"/>
      <c r="CJ771" s="2010"/>
      <c r="CK771" s="2010"/>
      <c r="CL771" s="2010"/>
      <c r="CM771" s="2010"/>
      <c r="CN771" s="2010"/>
      <c r="CO771" s="2010"/>
      <c r="CP771" s="2010"/>
      <c r="CQ771" s="2010"/>
      <c r="CR771" s="2010"/>
      <c r="CS771" s="2010"/>
      <c r="CT771" s="2010"/>
      <c r="CU771" s="2010"/>
      <c r="CV771" s="2010"/>
      <c r="CW771" s="2010"/>
      <c r="CX771" s="2010"/>
      <c r="CY771" s="2010"/>
      <c r="CZ771" s="2010"/>
      <c r="DA771" s="2010"/>
      <c r="DB771" s="2010"/>
      <c r="DC771" s="2010"/>
      <c r="DD771" s="2010"/>
      <c r="DE771" s="2010"/>
    </row>
    <row r="772" spans="1:109" s="2014" customFormat="1" x14ac:dyDescent="0.2">
      <c r="A772" s="2013"/>
      <c r="B772" s="2013"/>
      <c r="C772" s="2013"/>
      <c r="D772" s="2013"/>
      <c r="AB772" s="2010"/>
      <c r="AU772" s="2010"/>
      <c r="AV772" s="2010"/>
      <c r="AW772" s="2010"/>
      <c r="AX772" s="2010"/>
      <c r="AY772" s="2010"/>
      <c r="AZ772" s="2010"/>
      <c r="BA772" s="2010"/>
      <c r="BB772" s="2010"/>
      <c r="BC772" s="2010"/>
      <c r="BD772" s="2010"/>
      <c r="BE772" s="2010"/>
      <c r="BF772" s="2010"/>
      <c r="BG772" s="2010"/>
      <c r="BH772" s="2010"/>
      <c r="BI772" s="2010"/>
      <c r="BJ772" s="2010"/>
      <c r="BK772" s="2010"/>
      <c r="BL772" s="2010"/>
      <c r="BM772" s="2010"/>
      <c r="BN772" s="2010"/>
      <c r="BO772" s="2010"/>
      <c r="BP772" s="2010"/>
      <c r="BQ772" s="2010"/>
      <c r="BR772" s="2010"/>
      <c r="BS772" s="2010"/>
      <c r="BT772" s="2010"/>
      <c r="BU772" s="2010"/>
      <c r="BV772" s="2010"/>
      <c r="BW772" s="2010"/>
      <c r="BX772" s="2010"/>
      <c r="BY772" s="2010"/>
      <c r="BZ772" s="2010"/>
      <c r="CA772" s="2010"/>
      <c r="CB772" s="2010"/>
      <c r="CC772" s="2010"/>
      <c r="CD772" s="2010"/>
      <c r="CE772" s="2010"/>
      <c r="CF772" s="2010"/>
      <c r="CG772" s="2010"/>
      <c r="CH772" s="2010"/>
      <c r="CI772" s="2010"/>
      <c r="CJ772" s="2010"/>
      <c r="CK772" s="2010"/>
      <c r="CL772" s="2010"/>
      <c r="CM772" s="2010"/>
      <c r="CN772" s="2010"/>
      <c r="CO772" s="2010"/>
      <c r="CP772" s="2010"/>
      <c r="CQ772" s="2010"/>
      <c r="CR772" s="2010"/>
      <c r="CS772" s="2010"/>
      <c r="CT772" s="2010"/>
      <c r="CU772" s="2010"/>
      <c r="CV772" s="2010"/>
      <c r="CW772" s="2010"/>
      <c r="CX772" s="2010"/>
      <c r="CY772" s="2010"/>
      <c r="CZ772" s="2010"/>
      <c r="DA772" s="2010"/>
      <c r="DB772" s="2010"/>
      <c r="DC772" s="2010"/>
      <c r="DD772" s="2010"/>
      <c r="DE772" s="2010"/>
    </row>
    <row r="773" spans="1:109" s="2014" customFormat="1" x14ac:dyDescent="0.2">
      <c r="A773" s="2013"/>
      <c r="B773" s="2013"/>
      <c r="C773" s="2013"/>
      <c r="D773" s="2013"/>
      <c r="AB773" s="2010"/>
      <c r="AU773" s="2010"/>
      <c r="AV773" s="2010"/>
      <c r="AW773" s="2010"/>
      <c r="AX773" s="2010"/>
      <c r="AY773" s="2010"/>
      <c r="AZ773" s="2010"/>
      <c r="BA773" s="2010"/>
      <c r="BB773" s="2010"/>
      <c r="BC773" s="2010"/>
      <c r="BD773" s="2010"/>
      <c r="BE773" s="2010"/>
      <c r="BF773" s="2010"/>
      <c r="BG773" s="2010"/>
      <c r="BH773" s="2010"/>
      <c r="BI773" s="2010"/>
      <c r="BJ773" s="2010"/>
      <c r="BK773" s="2010"/>
      <c r="BL773" s="2010"/>
      <c r="BM773" s="2010"/>
      <c r="BN773" s="2010"/>
      <c r="BO773" s="2010"/>
      <c r="BP773" s="2010"/>
      <c r="BQ773" s="2010"/>
      <c r="BR773" s="2010"/>
      <c r="BS773" s="2010"/>
      <c r="BT773" s="2010"/>
      <c r="BU773" s="2010"/>
      <c r="BV773" s="2010"/>
      <c r="BW773" s="2010"/>
      <c r="BX773" s="2010"/>
      <c r="BY773" s="2010"/>
      <c r="BZ773" s="2010"/>
      <c r="CA773" s="2010"/>
      <c r="CB773" s="2010"/>
      <c r="CC773" s="2010"/>
      <c r="CD773" s="2010"/>
      <c r="CE773" s="2010"/>
      <c r="CF773" s="2010"/>
      <c r="CG773" s="2010"/>
      <c r="CH773" s="2010"/>
      <c r="CI773" s="2010"/>
      <c r="CJ773" s="2010"/>
      <c r="CK773" s="2010"/>
      <c r="CL773" s="2010"/>
      <c r="CM773" s="2010"/>
      <c r="CN773" s="2010"/>
      <c r="CO773" s="2010"/>
      <c r="CP773" s="2010"/>
      <c r="CQ773" s="2010"/>
      <c r="CR773" s="2010"/>
      <c r="CS773" s="2010"/>
      <c r="CT773" s="2010"/>
      <c r="CU773" s="2010"/>
      <c r="CV773" s="2010"/>
      <c r="CW773" s="2010"/>
      <c r="CX773" s="2010"/>
      <c r="CY773" s="2010"/>
      <c r="CZ773" s="2010"/>
      <c r="DA773" s="2010"/>
      <c r="DB773" s="2010"/>
      <c r="DC773" s="2010"/>
      <c r="DD773" s="2010"/>
      <c r="DE773" s="2010"/>
    </row>
    <row r="774" spans="1:109" s="2014" customFormat="1" x14ac:dyDescent="0.2">
      <c r="A774" s="2013"/>
      <c r="B774" s="2013"/>
      <c r="C774" s="2013"/>
      <c r="D774" s="2013"/>
      <c r="AB774" s="2010"/>
      <c r="AU774" s="2010"/>
      <c r="AV774" s="2010"/>
      <c r="AW774" s="2010"/>
      <c r="AX774" s="2010"/>
      <c r="AY774" s="2010"/>
      <c r="AZ774" s="2010"/>
      <c r="BA774" s="2010"/>
      <c r="BB774" s="2010"/>
      <c r="BC774" s="2010"/>
      <c r="BD774" s="2010"/>
      <c r="BE774" s="2010"/>
      <c r="BF774" s="2010"/>
      <c r="BG774" s="2010"/>
      <c r="BH774" s="2010"/>
      <c r="BI774" s="2010"/>
      <c r="BJ774" s="2010"/>
      <c r="BK774" s="2010"/>
      <c r="BL774" s="2010"/>
      <c r="BM774" s="2010"/>
      <c r="BN774" s="2010"/>
      <c r="BO774" s="2010"/>
      <c r="BP774" s="2010"/>
      <c r="BQ774" s="2010"/>
      <c r="BR774" s="2010"/>
      <c r="BS774" s="2010"/>
      <c r="BT774" s="2010"/>
      <c r="BU774" s="2010"/>
      <c r="BV774" s="2010"/>
      <c r="BW774" s="2010"/>
      <c r="BX774" s="2010"/>
      <c r="BY774" s="2010"/>
      <c r="BZ774" s="2010"/>
      <c r="CA774" s="2010"/>
      <c r="CB774" s="2010"/>
      <c r="CC774" s="2010"/>
      <c r="CD774" s="2010"/>
      <c r="CE774" s="2010"/>
      <c r="CF774" s="2010"/>
      <c r="CG774" s="2010"/>
      <c r="CH774" s="2010"/>
      <c r="CI774" s="2010"/>
      <c r="CJ774" s="2010"/>
      <c r="CK774" s="2010"/>
      <c r="CL774" s="2010"/>
      <c r="CM774" s="2010"/>
      <c r="CN774" s="2010"/>
      <c r="CO774" s="2010"/>
      <c r="CP774" s="2010"/>
      <c r="CQ774" s="2010"/>
      <c r="CR774" s="2010"/>
      <c r="CS774" s="2010"/>
      <c r="CT774" s="2010"/>
      <c r="CU774" s="2010"/>
      <c r="CV774" s="2010"/>
      <c r="CW774" s="2010"/>
      <c r="CX774" s="2010"/>
      <c r="CY774" s="2010"/>
      <c r="CZ774" s="2010"/>
      <c r="DA774" s="2010"/>
      <c r="DB774" s="2010"/>
      <c r="DC774" s="2010"/>
      <c r="DD774" s="2010"/>
      <c r="DE774" s="2010"/>
    </row>
    <row r="775" spans="1:109" s="2014" customFormat="1" x14ac:dyDescent="0.2">
      <c r="A775" s="2013"/>
      <c r="B775" s="2013"/>
      <c r="C775" s="2013"/>
      <c r="D775" s="2013"/>
      <c r="AB775" s="2010"/>
      <c r="AU775" s="2010"/>
      <c r="AV775" s="2010"/>
      <c r="AW775" s="2010"/>
      <c r="AX775" s="2010"/>
      <c r="AY775" s="2010"/>
      <c r="AZ775" s="2010"/>
      <c r="BA775" s="2010"/>
      <c r="BB775" s="2010"/>
      <c r="BC775" s="2010"/>
      <c r="BD775" s="2010"/>
      <c r="BE775" s="2010"/>
      <c r="BF775" s="2010"/>
      <c r="BG775" s="2010"/>
      <c r="BH775" s="2010"/>
      <c r="BI775" s="2010"/>
      <c r="BJ775" s="2010"/>
      <c r="BK775" s="2010"/>
      <c r="BL775" s="2010"/>
      <c r="BM775" s="2010"/>
      <c r="BN775" s="2010"/>
      <c r="BO775" s="2010"/>
      <c r="BP775" s="2010"/>
      <c r="BQ775" s="2010"/>
      <c r="BR775" s="2010"/>
      <c r="BS775" s="2010"/>
      <c r="BT775" s="2010"/>
      <c r="BU775" s="2010"/>
      <c r="BV775" s="2010"/>
      <c r="BW775" s="2010"/>
      <c r="BX775" s="2010"/>
      <c r="BY775" s="2010"/>
      <c r="BZ775" s="2010"/>
      <c r="CA775" s="2010"/>
      <c r="CB775" s="2010"/>
      <c r="CC775" s="2010"/>
      <c r="CD775" s="2010"/>
      <c r="CE775" s="2010"/>
      <c r="CF775" s="2010"/>
      <c r="CG775" s="2010"/>
      <c r="CH775" s="2010"/>
      <c r="CI775" s="2010"/>
      <c r="CJ775" s="2010"/>
      <c r="CK775" s="2010"/>
      <c r="CL775" s="2010"/>
      <c r="CM775" s="2010"/>
      <c r="CN775" s="2010"/>
      <c r="CO775" s="2010"/>
      <c r="CP775" s="2010"/>
      <c r="CQ775" s="2010"/>
      <c r="CR775" s="2010"/>
      <c r="CS775" s="2010"/>
      <c r="CT775" s="2010"/>
      <c r="CU775" s="2010"/>
      <c r="CV775" s="2010"/>
      <c r="CW775" s="2010"/>
      <c r="CX775" s="2010"/>
      <c r="CY775" s="2010"/>
      <c r="CZ775" s="2010"/>
      <c r="DA775" s="2010"/>
      <c r="DB775" s="2010"/>
      <c r="DC775" s="2010"/>
      <c r="DD775" s="2010"/>
      <c r="DE775" s="2010"/>
    </row>
    <row r="776" spans="1:109" s="2014" customFormat="1" x14ac:dyDescent="0.2">
      <c r="A776" s="2013"/>
      <c r="B776" s="2013"/>
      <c r="C776" s="2013"/>
      <c r="D776" s="2013"/>
      <c r="AB776" s="2010"/>
      <c r="AU776" s="2010"/>
      <c r="AV776" s="2010"/>
      <c r="AW776" s="2010"/>
      <c r="AX776" s="2010"/>
      <c r="AY776" s="2010"/>
      <c r="AZ776" s="2010"/>
      <c r="BA776" s="2010"/>
      <c r="BB776" s="2010"/>
      <c r="BC776" s="2010"/>
      <c r="BD776" s="2010"/>
      <c r="BE776" s="2010"/>
      <c r="BF776" s="2010"/>
      <c r="BG776" s="2010"/>
      <c r="BH776" s="2010"/>
      <c r="BI776" s="2010"/>
      <c r="BJ776" s="2010"/>
      <c r="BK776" s="2010"/>
      <c r="BL776" s="2010"/>
      <c r="BM776" s="2010"/>
      <c r="BN776" s="2010"/>
      <c r="BO776" s="2010"/>
      <c r="BP776" s="2010"/>
      <c r="BQ776" s="2010"/>
      <c r="BR776" s="2010"/>
      <c r="BS776" s="2010"/>
      <c r="BT776" s="2010"/>
      <c r="BU776" s="2010"/>
      <c r="BV776" s="2010"/>
      <c r="BW776" s="2010"/>
      <c r="BX776" s="2010"/>
      <c r="BY776" s="2010"/>
      <c r="BZ776" s="2010"/>
      <c r="CA776" s="2010"/>
      <c r="CB776" s="2010"/>
      <c r="CC776" s="2010"/>
      <c r="CD776" s="2010"/>
      <c r="CE776" s="2010"/>
      <c r="CF776" s="2010"/>
      <c r="CG776" s="2010"/>
      <c r="CH776" s="2010"/>
      <c r="CI776" s="2010"/>
      <c r="CJ776" s="2010"/>
      <c r="CK776" s="2010"/>
      <c r="CL776" s="2010"/>
      <c r="CM776" s="2010"/>
      <c r="CN776" s="2010"/>
      <c r="CO776" s="2010"/>
      <c r="CP776" s="2010"/>
      <c r="CQ776" s="2010"/>
      <c r="CR776" s="2010"/>
      <c r="CS776" s="2010"/>
      <c r="CT776" s="2010"/>
      <c r="CU776" s="2010"/>
      <c r="CV776" s="2010"/>
      <c r="CW776" s="2010"/>
      <c r="CX776" s="2010"/>
      <c r="CY776" s="2010"/>
      <c r="CZ776" s="2010"/>
      <c r="DA776" s="2010"/>
      <c r="DB776" s="2010"/>
      <c r="DC776" s="2010"/>
      <c r="DD776" s="2010"/>
      <c r="DE776" s="2010"/>
    </row>
    <row r="777" spans="1:109" s="2014" customFormat="1" x14ac:dyDescent="0.2">
      <c r="A777" s="2013"/>
      <c r="B777" s="2013"/>
      <c r="C777" s="2013"/>
      <c r="D777" s="2013"/>
      <c r="AB777" s="2010"/>
      <c r="AU777" s="2010"/>
      <c r="AV777" s="2010"/>
      <c r="AW777" s="2010"/>
      <c r="AX777" s="2010"/>
      <c r="AY777" s="2010"/>
      <c r="AZ777" s="2010"/>
      <c r="BA777" s="2010"/>
      <c r="BB777" s="2010"/>
      <c r="BC777" s="2010"/>
      <c r="BD777" s="2010"/>
      <c r="BE777" s="2010"/>
      <c r="BF777" s="2010"/>
      <c r="BG777" s="2010"/>
      <c r="BH777" s="2010"/>
      <c r="BI777" s="2010"/>
      <c r="BJ777" s="2010"/>
      <c r="BK777" s="2010"/>
      <c r="BL777" s="2010"/>
      <c r="BM777" s="2010"/>
      <c r="BN777" s="2010"/>
      <c r="BO777" s="2010"/>
      <c r="BP777" s="2010"/>
      <c r="BQ777" s="2010"/>
      <c r="BR777" s="2010"/>
      <c r="BS777" s="2010"/>
      <c r="BT777" s="2010"/>
      <c r="BU777" s="2010"/>
      <c r="BV777" s="2010"/>
      <c r="BW777" s="2010"/>
      <c r="BX777" s="2010"/>
      <c r="BY777" s="2010"/>
      <c r="BZ777" s="2010"/>
      <c r="CA777" s="2010"/>
      <c r="CB777" s="2010"/>
      <c r="CC777" s="2010"/>
      <c r="CD777" s="2010"/>
      <c r="CE777" s="2010"/>
      <c r="CF777" s="2010"/>
      <c r="CG777" s="2010"/>
      <c r="CH777" s="2010"/>
      <c r="CI777" s="2010"/>
      <c r="CJ777" s="2010"/>
      <c r="CK777" s="2010"/>
      <c r="CL777" s="2010"/>
      <c r="CM777" s="2010"/>
      <c r="CN777" s="2010"/>
      <c r="CO777" s="2010"/>
      <c r="CP777" s="2010"/>
      <c r="CQ777" s="2010"/>
      <c r="CR777" s="2010"/>
      <c r="CS777" s="2010"/>
      <c r="CT777" s="2010"/>
      <c r="CU777" s="2010"/>
      <c r="CV777" s="2010"/>
      <c r="CW777" s="2010"/>
      <c r="CX777" s="2010"/>
      <c r="CY777" s="2010"/>
      <c r="CZ777" s="2010"/>
      <c r="DA777" s="2010"/>
      <c r="DB777" s="2010"/>
      <c r="DC777" s="2010"/>
      <c r="DD777" s="2010"/>
      <c r="DE777" s="2010"/>
    </row>
    <row r="778" spans="1:109" s="2014" customFormat="1" x14ac:dyDescent="0.2">
      <c r="A778" s="2013"/>
      <c r="B778" s="2013"/>
      <c r="C778" s="2013"/>
      <c r="D778" s="2013"/>
      <c r="AB778" s="2010"/>
      <c r="AU778" s="2010"/>
      <c r="AV778" s="2010"/>
      <c r="AW778" s="2010"/>
      <c r="AX778" s="2010"/>
      <c r="AY778" s="2010"/>
      <c r="AZ778" s="2010"/>
      <c r="BA778" s="2010"/>
      <c r="BB778" s="2010"/>
      <c r="BC778" s="2010"/>
      <c r="BD778" s="2010"/>
      <c r="BE778" s="2010"/>
      <c r="BF778" s="2010"/>
      <c r="BG778" s="2010"/>
      <c r="BH778" s="2010"/>
      <c r="BI778" s="2010"/>
      <c r="BJ778" s="2010"/>
      <c r="BK778" s="2010"/>
      <c r="BL778" s="2010"/>
      <c r="BM778" s="2010"/>
      <c r="BN778" s="2010"/>
      <c r="BO778" s="2010"/>
      <c r="BP778" s="2010"/>
      <c r="BQ778" s="2010"/>
      <c r="BR778" s="2010"/>
      <c r="BS778" s="2010"/>
      <c r="BT778" s="2010"/>
      <c r="BU778" s="2010"/>
      <c r="BV778" s="2010"/>
      <c r="BW778" s="2010"/>
      <c r="BX778" s="2010"/>
      <c r="BY778" s="2010"/>
      <c r="BZ778" s="2010"/>
      <c r="CA778" s="2010"/>
      <c r="CB778" s="2010"/>
      <c r="CC778" s="2010"/>
      <c r="CD778" s="2010"/>
      <c r="CE778" s="2010"/>
      <c r="CF778" s="2010"/>
      <c r="CG778" s="2010"/>
      <c r="CH778" s="2010"/>
      <c r="CI778" s="2010"/>
      <c r="CJ778" s="2010"/>
      <c r="CK778" s="2010"/>
      <c r="CL778" s="2010"/>
      <c r="CM778" s="2010"/>
      <c r="CN778" s="2010"/>
      <c r="CO778" s="2010"/>
      <c r="CP778" s="2010"/>
      <c r="CQ778" s="2010"/>
      <c r="CR778" s="2010"/>
      <c r="CS778" s="2010"/>
      <c r="CT778" s="2010"/>
      <c r="CU778" s="2010"/>
      <c r="CV778" s="2010"/>
      <c r="CW778" s="2010"/>
      <c r="CX778" s="2010"/>
      <c r="CY778" s="2010"/>
      <c r="CZ778" s="2010"/>
      <c r="DA778" s="2010"/>
      <c r="DB778" s="2010"/>
      <c r="DC778" s="2010"/>
      <c r="DD778" s="2010"/>
      <c r="DE778" s="2010"/>
    </row>
    <row r="779" spans="1:109" s="2014" customFormat="1" x14ac:dyDescent="0.2">
      <c r="A779" s="2013"/>
      <c r="B779" s="2013"/>
      <c r="C779" s="2013"/>
      <c r="D779" s="2013"/>
      <c r="AB779" s="2010"/>
      <c r="AU779" s="2010"/>
      <c r="AV779" s="2010"/>
      <c r="AW779" s="2010"/>
      <c r="AX779" s="2010"/>
      <c r="AY779" s="2010"/>
      <c r="AZ779" s="2010"/>
      <c r="BA779" s="2010"/>
      <c r="BB779" s="2010"/>
      <c r="BC779" s="2010"/>
      <c r="BD779" s="2010"/>
      <c r="BE779" s="2010"/>
      <c r="BF779" s="2010"/>
      <c r="BG779" s="2010"/>
      <c r="BH779" s="2010"/>
      <c r="BI779" s="2010"/>
      <c r="BJ779" s="2010"/>
      <c r="BK779" s="2010"/>
      <c r="BL779" s="2010"/>
      <c r="BM779" s="2010"/>
      <c r="BN779" s="2010"/>
      <c r="BO779" s="2010"/>
      <c r="BP779" s="2010"/>
      <c r="BQ779" s="2010"/>
      <c r="BR779" s="2010"/>
      <c r="BS779" s="2010"/>
      <c r="BT779" s="2010"/>
      <c r="BU779" s="2010"/>
      <c r="BV779" s="2010"/>
      <c r="BW779" s="2010"/>
      <c r="BX779" s="2010"/>
      <c r="BY779" s="2010"/>
      <c r="BZ779" s="2010"/>
      <c r="CA779" s="2010"/>
      <c r="CB779" s="2010"/>
      <c r="CC779" s="2010"/>
      <c r="CD779" s="2010"/>
      <c r="CE779" s="2010"/>
      <c r="CF779" s="2010"/>
      <c r="CG779" s="2010"/>
      <c r="CH779" s="2010"/>
      <c r="CI779" s="2010"/>
      <c r="CJ779" s="2010"/>
      <c r="CK779" s="2010"/>
      <c r="CL779" s="2010"/>
      <c r="CM779" s="2010"/>
      <c r="CN779" s="2010"/>
      <c r="CO779" s="2010"/>
      <c r="CP779" s="2010"/>
      <c r="CQ779" s="2010"/>
      <c r="CR779" s="2010"/>
      <c r="CS779" s="2010"/>
      <c r="CT779" s="2010"/>
      <c r="CU779" s="2010"/>
      <c r="CV779" s="2010"/>
      <c r="CW779" s="2010"/>
      <c r="CX779" s="2010"/>
      <c r="CY779" s="2010"/>
      <c r="CZ779" s="2010"/>
      <c r="DA779" s="2010"/>
      <c r="DB779" s="2010"/>
      <c r="DC779" s="2010"/>
      <c r="DD779" s="2010"/>
      <c r="DE779" s="2010"/>
    </row>
    <row r="780" spans="1:109" s="2014" customFormat="1" x14ac:dyDescent="0.2">
      <c r="A780" s="2013"/>
      <c r="B780" s="2013"/>
      <c r="C780" s="2013"/>
      <c r="D780" s="2013"/>
      <c r="AB780" s="2010"/>
      <c r="AU780" s="2010"/>
      <c r="AV780" s="2010"/>
      <c r="AW780" s="2010"/>
      <c r="AX780" s="2010"/>
      <c r="AY780" s="2010"/>
      <c r="AZ780" s="2010"/>
      <c r="BA780" s="2010"/>
      <c r="BB780" s="2010"/>
      <c r="BC780" s="2010"/>
      <c r="BD780" s="2010"/>
      <c r="BE780" s="2010"/>
      <c r="BF780" s="2010"/>
      <c r="BG780" s="2010"/>
      <c r="BH780" s="2010"/>
      <c r="BI780" s="2010"/>
      <c r="BJ780" s="2010"/>
      <c r="BK780" s="2010"/>
      <c r="BL780" s="2010"/>
      <c r="BM780" s="2010"/>
      <c r="BN780" s="2010"/>
      <c r="BO780" s="2010"/>
      <c r="BP780" s="2010"/>
      <c r="BQ780" s="2010"/>
      <c r="BR780" s="2010"/>
      <c r="BS780" s="2010"/>
      <c r="BT780" s="2010"/>
      <c r="BU780" s="2010"/>
      <c r="BV780" s="2010"/>
      <c r="BW780" s="2010"/>
      <c r="BX780" s="2010"/>
      <c r="BY780" s="2010"/>
      <c r="BZ780" s="2010"/>
      <c r="CA780" s="2010"/>
      <c r="CB780" s="2010"/>
      <c r="CC780" s="2010"/>
      <c r="CD780" s="2010"/>
      <c r="CE780" s="2010"/>
      <c r="CF780" s="2010"/>
      <c r="CG780" s="2010"/>
      <c r="CH780" s="2010"/>
      <c r="CI780" s="2010"/>
      <c r="CJ780" s="2010"/>
      <c r="CK780" s="2010"/>
      <c r="CL780" s="2010"/>
      <c r="CM780" s="2010"/>
      <c r="CN780" s="2010"/>
      <c r="CO780" s="2010"/>
      <c r="CP780" s="2010"/>
      <c r="CQ780" s="2010"/>
      <c r="CR780" s="2010"/>
      <c r="CS780" s="2010"/>
      <c r="CT780" s="2010"/>
      <c r="CU780" s="2010"/>
      <c r="CV780" s="2010"/>
      <c r="CW780" s="2010"/>
      <c r="CX780" s="2010"/>
      <c r="CY780" s="2010"/>
      <c r="CZ780" s="2010"/>
      <c r="DA780" s="2010"/>
      <c r="DB780" s="2010"/>
      <c r="DC780" s="2010"/>
      <c r="DD780" s="2010"/>
      <c r="DE780" s="2010"/>
    </row>
    <row r="781" spans="1:109" s="2014" customFormat="1" x14ac:dyDescent="0.2">
      <c r="A781" s="2013"/>
      <c r="B781" s="2013"/>
      <c r="C781" s="2013"/>
      <c r="D781" s="2013"/>
      <c r="AB781" s="2010"/>
      <c r="AU781" s="2010"/>
      <c r="AV781" s="2010"/>
      <c r="AW781" s="2010"/>
      <c r="AX781" s="2010"/>
      <c r="AY781" s="2010"/>
      <c r="AZ781" s="2010"/>
      <c r="BA781" s="2010"/>
      <c r="BB781" s="2010"/>
      <c r="BC781" s="2010"/>
      <c r="BD781" s="2010"/>
      <c r="BE781" s="2010"/>
      <c r="BF781" s="2010"/>
      <c r="BG781" s="2010"/>
      <c r="BH781" s="2010"/>
      <c r="BI781" s="2010"/>
      <c r="BJ781" s="2010"/>
      <c r="BK781" s="2010"/>
      <c r="BL781" s="2010"/>
      <c r="BM781" s="2010"/>
      <c r="BN781" s="2010"/>
      <c r="BO781" s="2010"/>
      <c r="BP781" s="2010"/>
      <c r="BQ781" s="2010"/>
      <c r="BR781" s="2010"/>
      <c r="BS781" s="2010"/>
      <c r="BT781" s="2010"/>
      <c r="BU781" s="2010"/>
      <c r="BV781" s="2010"/>
      <c r="BW781" s="2010"/>
      <c r="BX781" s="2010"/>
      <c r="BY781" s="2010"/>
      <c r="BZ781" s="2010"/>
      <c r="CA781" s="2010"/>
      <c r="CB781" s="2010"/>
      <c r="CC781" s="2010"/>
      <c r="CD781" s="2010"/>
      <c r="CE781" s="2010"/>
      <c r="CF781" s="2010"/>
      <c r="CG781" s="2010"/>
      <c r="CH781" s="2010"/>
      <c r="CI781" s="2010"/>
      <c r="CJ781" s="2010"/>
      <c r="CK781" s="2010"/>
      <c r="CL781" s="2010"/>
      <c r="CM781" s="2010"/>
      <c r="CN781" s="2010"/>
      <c r="CO781" s="2010"/>
      <c r="CP781" s="2010"/>
      <c r="CQ781" s="2010"/>
      <c r="CR781" s="2010"/>
      <c r="CS781" s="2010"/>
      <c r="CT781" s="2010"/>
      <c r="CU781" s="2010"/>
      <c r="CV781" s="2010"/>
      <c r="CW781" s="2010"/>
      <c r="CX781" s="2010"/>
      <c r="CY781" s="2010"/>
      <c r="CZ781" s="2010"/>
      <c r="DA781" s="2010"/>
      <c r="DB781" s="2010"/>
      <c r="DC781" s="2010"/>
      <c r="DD781" s="2010"/>
      <c r="DE781" s="2010"/>
    </row>
    <row r="782" spans="1:109" s="2014" customFormat="1" x14ac:dyDescent="0.2">
      <c r="A782" s="2013"/>
      <c r="B782" s="2013"/>
      <c r="C782" s="2013"/>
      <c r="D782" s="2013"/>
      <c r="AB782" s="2010"/>
      <c r="AU782" s="2010"/>
      <c r="AV782" s="2010"/>
      <c r="AW782" s="2010"/>
      <c r="AX782" s="2010"/>
      <c r="AY782" s="2010"/>
      <c r="AZ782" s="2010"/>
      <c r="BA782" s="2010"/>
      <c r="BB782" s="2010"/>
      <c r="BC782" s="2010"/>
      <c r="BD782" s="2010"/>
      <c r="BE782" s="2010"/>
      <c r="BF782" s="2010"/>
      <c r="BG782" s="2010"/>
      <c r="BH782" s="2010"/>
      <c r="BI782" s="2010"/>
      <c r="BJ782" s="2010"/>
      <c r="BK782" s="2010"/>
      <c r="BL782" s="2010"/>
      <c r="BM782" s="2010"/>
      <c r="BN782" s="2010"/>
      <c r="BO782" s="2010"/>
      <c r="BP782" s="2010"/>
      <c r="BQ782" s="2010"/>
      <c r="BR782" s="2010"/>
      <c r="BS782" s="2010"/>
      <c r="BT782" s="2010"/>
      <c r="BU782" s="2010"/>
      <c r="BV782" s="2010"/>
      <c r="BW782" s="2010"/>
      <c r="BX782" s="2010"/>
      <c r="BY782" s="2010"/>
      <c r="BZ782" s="2010"/>
      <c r="CA782" s="2010"/>
      <c r="CB782" s="2010"/>
      <c r="CC782" s="2010"/>
      <c r="CD782" s="2010"/>
      <c r="CE782" s="2010"/>
      <c r="CF782" s="2010"/>
      <c r="CG782" s="2010"/>
      <c r="CH782" s="2010"/>
      <c r="CI782" s="2010"/>
      <c r="CJ782" s="2010"/>
      <c r="CK782" s="2010"/>
      <c r="CL782" s="2010"/>
      <c r="CM782" s="2010"/>
      <c r="CN782" s="2010"/>
      <c r="CO782" s="2010"/>
      <c r="CP782" s="2010"/>
      <c r="CQ782" s="2010"/>
      <c r="CR782" s="2010"/>
      <c r="CS782" s="2010"/>
      <c r="CT782" s="2010"/>
      <c r="CU782" s="2010"/>
      <c r="CV782" s="2010"/>
      <c r="CW782" s="2010"/>
      <c r="CX782" s="2010"/>
      <c r="CY782" s="2010"/>
      <c r="CZ782" s="2010"/>
      <c r="DA782" s="2010"/>
      <c r="DB782" s="2010"/>
      <c r="DC782" s="2010"/>
      <c r="DD782" s="2010"/>
      <c r="DE782" s="2010"/>
    </row>
    <row r="783" spans="1:109" s="2014" customFormat="1" x14ac:dyDescent="0.2">
      <c r="A783" s="2013"/>
      <c r="B783" s="2013"/>
      <c r="C783" s="2013"/>
      <c r="D783" s="2013"/>
      <c r="AB783" s="2010"/>
      <c r="AU783" s="2010"/>
      <c r="AV783" s="2010"/>
      <c r="AW783" s="2010"/>
      <c r="AX783" s="2010"/>
      <c r="AY783" s="2010"/>
      <c r="AZ783" s="2010"/>
      <c r="BA783" s="2010"/>
      <c r="BB783" s="2010"/>
      <c r="BC783" s="2010"/>
      <c r="BD783" s="2010"/>
      <c r="BE783" s="2010"/>
      <c r="BF783" s="2010"/>
      <c r="BG783" s="2010"/>
      <c r="BH783" s="2010"/>
      <c r="BI783" s="2010"/>
      <c r="BJ783" s="2010"/>
      <c r="BK783" s="2010"/>
      <c r="BL783" s="2010"/>
      <c r="BM783" s="2010"/>
      <c r="BN783" s="2010"/>
      <c r="BO783" s="2010"/>
      <c r="BP783" s="2010"/>
      <c r="BQ783" s="2010"/>
      <c r="BR783" s="2010"/>
      <c r="BS783" s="2010"/>
      <c r="BT783" s="2010"/>
      <c r="BU783" s="2010"/>
      <c r="BV783" s="2010"/>
      <c r="BW783" s="2010"/>
      <c r="BX783" s="2010"/>
      <c r="BY783" s="2010"/>
      <c r="BZ783" s="2010"/>
      <c r="CA783" s="2010"/>
      <c r="CB783" s="2010"/>
      <c r="CC783" s="2010"/>
      <c r="CD783" s="2010"/>
      <c r="CE783" s="2010"/>
      <c r="CF783" s="2010"/>
      <c r="CG783" s="2010"/>
      <c r="CH783" s="2010"/>
      <c r="CI783" s="2010"/>
      <c r="CJ783" s="2010"/>
      <c r="CK783" s="2010"/>
      <c r="CL783" s="2010"/>
      <c r="CM783" s="2010"/>
      <c r="CN783" s="2010"/>
      <c r="CO783" s="2010"/>
      <c r="CP783" s="2010"/>
      <c r="CQ783" s="2010"/>
      <c r="CR783" s="2010"/>
      <c r="CS783" s="2010"/>
      <c r="CT783" s="2010"/>
      <c r="CU783" s="2010"/>
      <c r="CV783" s="2010"/>
      <c r="CW783" s="2010"/>
      <c r="CX783" s="2010"/>
      <c r="CY783" s="2010"/>
      <c r="CZ783" s="2010"/>
      <c r="DA783" s="2010"/>
      <c r="DB783" s="2010"/>
      <c r="DC783" s="2010"/>
      <c r="DD783" s="2010"/>
      <c r="DE783" s="2010"/>
    </row>
    <row r="784" spans="1:109" s="2014" customFormat="1" x14ac:dyDescent="0.2">
      <c r="A784" s="2013"/>
      <c r="B784" s="2013"/>
      <c r="C784" s="2013"/>
      <c r="D784" s="2013"/>
      <c r="AB784" s="2010"/>
      <c r="AU784" s="2010"/>
      <c r="AV784" s="2010"/>
      <c r="AW784" s="2010"/>
      <c r="AX784" s="2010"/>
      <c r="AY784" s="2010"/>
      <c r="AZ784" s="2010"/>
      <c r="BA784" s="2010"/>
      <c r="BB784" s="2010"/>
      <c r="BC784" s="2010"/>
      <c r="BD784" s="2010"/>
      <c r="BE784" s="2010"/>
      <c r="BF784" s="2010"/>
      <c r="BG784" s="2010"/>
      <c r="BH784" s="2010"/>
      <c r="BI784" s="2010"/>
      <c r="BJ784" s="2010"/>
      <c r="BK784" s="2010"/>
      <c r="BL784" s="2010"/>
      <c r="BM784" s="2010"/>
      <c r="BN784" s="2010"/>
      <c r="BO784" s="2010"/>
      <c r="BP784" s="2010"/>
      <c r="BQ784" s="2010"/>
      <c r="BR784" s="2010"/>
      <c r="BS784" s="2010"/>
      <c r="BT784" s="2010"/>
      <c r="BU784" s="2010"/>
      <c r="BV784" s="2010"/>
      <c r="BW784" s="2010"/>
      <c r="BX784" s="2010"/>
      <c r="BY784" s="2010"/>
      <c r="BZ784" s="2010"/>
      <c r="CA784" s="2010"/>
      <c r="CB784" s="2010"/>
      <c r="CC784" s="2010"/>
      <c r="CD784" s="2010"/>
      <c r="CE784" s="2010"/>
      <c r="CF784" s="2010"/>
      <c r="CG784" s="2010"/>
      <c r="CH784" s="2010"/>
      <c r="CI784" s="2010"/>
      <c r="CJ784" s="2010"/>
      <c r="CK784" s="2010"/>
      <c r="CL784" s="2010"/>
      <c r="CM784" s="2010"/>
      <c r="CN784" s="2010"/>
      <c r="CO784" s="2010"/>
      <c r="CP784" s="2010"/>
      <c r="CQ784" s="2010"/>
      <c r="CR784" s="2010"/>
      <c r="CS784" s="2010"/>
      <c r="CT784" s="2010"/>
      <c r="CU784" s="2010"/>
      <c r="CV784" s="2010"/>
      <c r="CW784" s="2010"/>
      <c r="CX784" s="2010"/>
      <c r="CY784" s="2010"/>
      <c r="CZ784" s="2010"/>
      <c r="DA784" s="2010"/>
      <c r="DB784" s="2010"/>
      <c r="DC784" s="2010"/>
      <c r="DD784" s="2010"/>
      <c r="DE784" s="2010"/>
    </row>
    <row r="785" spans="1:109" s="2014" customFormat="1" x14ac:dyDescent="0.2">
      <c r="A785" s="2013"/>
      <c r="B785" s="2013"/>
      <c r="C785" s="2013"/>
      <c r="D785" s="2013"/>
      <c r="AB785" s="2010"/>
      <c r="AU785" s="2010"/>
      <c r="AV785" s="2010"/>
      <c r="AW785" s="2010"/>
      <c r="AX785" s="2010"/>
      <c r="AY785" s="2010"/>
      <c r="AZ785" s="2010"/>
      <c r="BA785" s="2010"/>
      <c r="BB785" s="2010"/>
      <c r="BC785" s="2010"/>
      <c r="BD785" s="2010"/>
      <c r="BE785" s="2010"/>
      <c r="BF785" s="2010"/>
      <c r="BG785" s="2010"/>
      <c r="BH785" s="2010"/>
      <c r="BI785" s="2010"/>
      <c r="BJ785" s="2010"/>
      <c r="BK785" s="2010"/>
      <c r="BL785" s="2010"/>
      <c r="BM785" s="2010"/>
      <c r="BN785" s="2010"/>
      <c r="BO785" s="2010"/>
      <c r="BP785" s="2010"/>
      <c r="BQ785" s="2010"/>
      <c r="BR785" s="2010"/>
      <c r="BS785" s="2010"/>
      <c r="BT785" s="2010"/>
      <c r="BU785" s="2010"/>
      <c r="BV785" s="2010"/>
      <c r="BW785" s="2010"/>
      <c r="BX785" s="2010"/>
      <c r="BY785" s="2010"/>
      <c r="BZ785" s="2010"/>
      <c r="CA785" s="2010"/>
      <c r="CB785" s="2010"/>
      <c r="CC785" s="2010"/>
      <c r="CD785" s="2010"/>
      <c r="CE785" s="2010"/>
      <c r="CF785" s="2010"/>
      <c r="CG785" s="2010"/>
      <c r="CH785" s="2010"/>
      <c r="CI785" s="2010"/>
      <c r="CJ785" s="2010"/>
      <c r="CK785" s="2010"/>
      <c r="CL785" s="2010"/>
      <c r="CM785" s="2010"/>
      <c r="CN785" s="2010"/>
      <c r="CO785" s="2010"/>
      <c r="CP785" s="2010"/>
      <c r="CQ785" s="2010"/>
      <c r="CR785" s="2010"/>
      <c r="CS785" s="2010"/>
      <c r="CT785" s="2010"/>
      <c r="CU785" s="2010"/>
      <c r="CV785" s="2010"/>
      <c r="CW785" s="2010"/>
      <c r="CX785" s="2010"/>
      <c r="CY785" s="2010"/>
      <c r="CZ785" s="2010"/>
      <c r="DA785" s="2010"/>
      <c r="DB785" s="2010"/>
      <c r="DC785" s="2010"/>
      <c r="DD785" s="2010"/>
      <c r="DE785" s="2010"/>
    </row>
    <row r="786" spans="1:109" s="2014" customFormat="1" x14ac:dyDescent="0.2">
      <c r="A786" s="2013"/>
      <c r="B786" s="2013"/>
      <c r="C786" s="2013"/>
      <c r="D786" s="2013"/>
      <c r="AB786" s="2010"/>
      <c r="AU786" s="2010"/>
      <c r="AV786" s="2010"/>
      <c r="AW786" s="2010"/>
      <c r="AX786" s="2010"/>
      <c r="AY786" s="2010"/>
      <c r="AZ786" s="2010"/>
      <c r="BA786" s="2010"/>
      <c r="BB786" s="2010"/>
      <c r="BC786" s="2010"/>
      <c r="BD786" s="2010"/>
      <c r="BE786" s="2010"/>
      <c r="BF786" s="2010"/>
      <c r="BG786" s="2010"/>
      <c r="BH786" s="2010"/>
      <c r="BI786" s="2010"/>
      <c r="BJ786" s="2010"/>
      <c r="BK786" s="2010"/>
      <c r="BL786" s="2010"/>
      <c r="BM786" s="2010"/>
      <c r="BN786" s="2010"/>
      <c r="BO786" s="2010"/>
      <c r="BP786" s="2010"/>
      <c r="BQ786" s="2010"/>
      <c r="BR786" s="2010"/>
      <c r="BS786" s="2010"/>
      <c r="BT786" s="2010"/>
      <c r="BU786" s="2010"/>
      <c r="BV786" s="2010"/>
      <c r="BW786" s="2010"/>
      <c r="BX786" s="2010"/>
      <c r="BY786" s="2010"/>
      <c r="BZ786" s="2010"/>
      <c r="CA786" s="2010"/>
      <c r="CB786" s="2010"/>
      <c r="CC786" s="2010"/>
      <c r="CD786" s="2010"/>
      <c r="CE786" s="2010"/>
      <c r="CF786" s="2010"/>
      <c r="CG786" s="2010"/>
      <c r="CH786" s="2010"/>
      <c r="CI786" s="2010"/>
      <c r="CJ786" s="2010"/>
      <c r="CK786" s="2010"/>
      <c r="CL786" s="2010"/>
      <c r="CM786" s="2010"/>
      <c r="CN786" s="2010"/>
      <c r="CO786" s="2010"/>
      <c r="CP786" s="2010"/>
      <c r="CQ786" s="2010"/>
      <c r="CR786" s="2010"/>
      <c r="CS786" s="2010"/>
      <c r="CT786" s="2010"/>
      <c r="CU786" s="2010"/>
      <c r="CV786" s="2010"/>
      <c r="CW786" s="2010"/>
      <c r="CX786" s="2010"/>
      <c r="CY786" s="2010"/>
      <c r="CZ786" s="2010"/>
      <c r="DA786" s="2010"/>
      <c r="DB786" s="2010"/>
      <c r="DC786" s="2010"/>
      <c r="DD786" s="2010"/>
      <c r="DE786" s="2010"/>
    </row>
    <row r="787" spans="1:109" s="2014" customFormat="1" x14ac:dyDescent="0.2">
      <c r="A787" s="2013"/>
      <c r="B787" s="2013"/>
      <c r="C787" s="2013"/>
      <c r="D787" s="2013"/>
      <c r="AB787" s="2010"/>
      <c r="AU787" s="2010"/>
      <c r="AV787" s="2010"/>
      <c r="AW787" s="2010"/>
      <c r="AX787" s="2010"/>
      <c r="AY787" s="2010"/>
      <c r="AZ787" s="2010"/>
      <c r="BA787" s="2010"/>
      <c r="BB787" s="2010"/>
      <c r="BC787" s="2010"/>
      <c r="BD787" s="2010"/>
      <c r="BE787" s="2010"/>
      <c r="BF787" s="2010"/>
      <c r="BG787" s="2010"/>
      <c r="BH787" s="2010"/>
      <c r="BI787" s="2010"/>
      <c r="BJ787" s="2010"/>
      <c r="BK787" s="2010"/>
      <c r="BL787" s="2010"/>
      <c r="BM787" s="2010"/>
      <c r="BN787" s="2010"/>
      <c r="BO787" s="2010"/>
      <c r="BP787" s="2010"/>
      <c r="BQ787" s="2010"/>
      <c r="BR787" s="2010"/>
      <c r="BS787" s="2010"/>
      <c r="BT787" s="2010"/>
      <c r="BU787" s="2010"/>
      <c r="BV787" s="2010"/>
      <c r="BW787" s="2010"/>
      <c r="BX787" s="2010"/>
      <c r="BY787" s="2010"/>
      <c r="BZ787" s="2010"/>
      <c r="CA787" s="2010"/>
      <c r="CB787" s="2010"/>
      <c r="CC787" s="2010"/>
      <c r="CD787" s="2010"/>
      <c r="CE787" s="2010"/>
      <c r="CF787" s="2010"/>
      <c r="CG787" s="2010"/>
      <c r="CH787" s="2010"/>
      <c r="CI787" s="2010"/>
      <c r="CJ787" s="2010"/>
      <c r="CK787" s="2010"/>
      <c r="CL787" s="2010"/>
      <c r="CM787" s="2010"/>
      <c r="CN787" s="2010"/>
      <c r="CO787" s="2010"/>
      <c r="CP787" s="2010"/>
      <c r="CQ787" s="2010"/>
      <c r="CR787" s="2010"/>
      <c r="CS787" s="2010"/>
      <c r="CT787" s="2010"/>
      <c r="CU787" s="2010"/>
      <c r="CV787" s="2010"/>
      <c r="CW787" s="2010"/>
      <c r="CX787" s="2010"/>
      <c r="CY787" s="2010"/>
      <c r="CZ787" s="2010"/>
      <c r="DA787" s="2010"/>
      <c r="DB787" s="2010"/>
      <c r="DC787" s="2010"/>
      <c r="DD787" s="2010"/>
      <c r="DE787" s="2010"/>
    </row>
    <row r="788" spans="1:109" s="2014" customFormat="1" x14ac:dyDescent="0.2">
      <c r="A788" s="2013"/>
      <c r="B788" s="2013"/>
      <c r="C788" s="2013"/>
      <c r="D788" s="2013"/>
      <c r="AB788" s="2010"/>
      <c r="AU788" s="2010"/>
      <c r="AV788" s="2010"/>
      <c r="AW788" s="2010"/>
      <c r="AX788" s="2010"/>
      <c r="AY788" s="2010"/>
      <c r="AZ788" s="2010"/>
      <c r="BA788" s="2010"/>
      <c r="BB788" s="2010"/>
      <c r="BC788" s="2010"/>
      <c r="BD788" s="2010"/>
      <c r="BE788" s="2010"/>
      <c r="BF788" s="2010"/>
      <c r="BG788" s="2010"/>
      <c r="BH788" s="2010"/>
      <c r="BI788" s="2010"/>
      <c r="BJ788" s="2010"/>
      <c r="BK788" s="2010"/>
      <c r="BL788" s="2010"/>
      <c r="BM788" s="2010"/>
      <c r="BN788" s="2010"/>
      <c r="BO788" s="2010"/>
      <c r="BP788" s="2010"/>
      <c r="BQ788" s="2010"/>
      <c r="BR788" s="2010"/>
      <c r="BS788" s="2010"/>
      <c r="BT788" s="2010"/>
      <c r="BU788" s="2010"/>
      <c r="BV788" s="2010"/>
      <c r="BW788" s="2010"/>
      <c r="BX788" s="2010"/>
      <c r="BY788" s="2010"/>
      <c r="BZ788" s="2010"/>
      <c r="CA788" s="2010"/>
      <c r="CB788" s="2010"/>
      <c r="CC788" s="2010"/>
      <c r="CD788" s="2010"/>
      <c r="CE788" s="2010"/>
      <c r="CF788" s="2010"/>
      <c r="CG788" s="2010"/>
      <c r="CH788" s="2010"/>
      <c r="CI788" s="2010"/>
      <c r="CJ788" s="2010"/>
      <c r="CK788" s="2010"/>
      <c r="CL788" s="2010"/>
      <c r="CM788" s="2010"/>
      <c r="CN788" s="2010"/>
      <c r="CO788" s="2010"/>
      <c r="CP788" s="2010"/>
      <c r="CQ788" s="2010"/>
      <c r="CR788" s="2010"/>
      <c r="CS788" s="2010"/>
      <c r="CT788" s="2010"/>
      <c r="CU788" s="2010"/>
      <c r="CV788" s="2010"/>
      <c r="CW788" s="2010"/>
      <c r="CX788" s="2010"/>
      <c r="CY788" s="2010"/>
      <c r="CZ788" s="2010"/>
      <c r="DA788" s="2010"/>
      <c r="DB788" s="2010"/>
      <c r="DC788" s="2010"/>
      <c r="DD788" s="2010"/>
      <c r="DE788" s="2010"/>
    </row>
    <row r="789" spans="1:109" s="2014" customFormat="1" x14ac:dyDescent="0.2">
      <c r="A789" s="2013"/>
      <c r="B789" s="2013"/>
      <c r="C789" s="2013"/>
      <c r="D789" s="2013"/>
      <c r="AB789" s="2010"/>
      <c r="AU789" s="2010"/>
      <c r="AV789" s="2010"/>
      <c r="AW789" s="2010"/>
      <c r="AX789" s="2010"/>
      <c r="AY789" s="2010"/>
      <c r="AZ789" s="2010"/>
      <c r="BA789" s="2010"/>
      <c r="BB789" s="2010"/>
      <c r="BC789" s="2010"/>
      <c r="BD789" s="2010"/>
      <c r="BE789" s="2010"/>
      <c r="BF789" s="2010"/>
      <c r="BG789" s="2010"/>
      <c r="BH789" s="2010"/>
      <c r="BI789" s="2010"/>
      <c r="BJ789" s="2010"/>
      <c r="BK789" s="2010"/>
      <c r="BL789" s="2010"/>
      <c r="BM789" s="2010"/>
      <c r="BN789" s="2010"/>
      <c r="BO789" s="2010"/>
      <c r="BP789" s="2010"/>
      <c r="BQ789" s="2010"/>
      <c r="BR789" s="2010"/>
      <c r="BS789" s="2010"/>
      <c r="BT789" s="2010"/>
      <c r="BU789" s="2010"/>
      <c r="BV789" s="2010"/>
      <c r="BW789" s="2010"/>
      <c r="BX789" s="2010"/>
      <c r="BY789" s="2010"/>
      <c r="BZ789" s="2010"/>
      <c r="CA789" s="2010"/>
      <c r="CB789" s="2010"/>
      <c r="CC789" s="2010"/>
      <c r="CD789" s="2010"/>
      <c r="CE789" s="2010"/>
      <c r="CF789" s="2010"/>
      <c r="CG789" s="2010"/>
      <c r="CH789" s="2010"/>
      <c r="CI789" s="2010"/>
      <c r="CJ789" s="2010"/>
      <c r="CK789" s="2010"/>
      <c r="CL789" s="2010"/>
      <c r="CM789" s="2010"/>
      <c r="CN789" s="2010"/>
      <c r="CO789" s="2010"/>
      <c r="CP789" s="2010"/>
      <c r="CQ789" s="2010"/>
      <c r="CR789" s="2010"/>
      <c r="CS789" s="2010"/>
      <c r="CT789" s="2010"/>
      <c r="CU789" s="2010"/>
      <c r="CV789" s="2010"/>
      <c r="CW789" s="2010"/>
      <c r="CX789" s="2010"/>
      <c r="CY789" s="2010"/>
      <c r="CZ789" s="2010"/>
      <c r="DA789" s="2010"/>
      <c r="DB789" s="2010"/>
      <c r="DC789" s="2010"/>
      <c r="DD789" s="2010"/>
      <c r="DE789" s="2010"/>
    </row>
    <row r="790" spans="1:109" s="2014" customFormat="1" x14ac:dyDescent="0.2">
      <c r="A790" s="2013"/>
      <c r="B790" s="2013"/>
      <c r="C790" s="2013"/>
      <c r="D790" s="2013"/>
      <c r="AB790" s="2010"/>
      <c r="AU790" s="2010"/>
      <c r="AV790" s="2010"/>
      <c r="AW790" s="2010"/>
      <c r="AX790" s="2010"/>
      <c r="AY790" s="2010"/>
      <c r="AZ790" s="2010"/>
      <c r="BA790" s="2010"/>
      <c r="BB790" s="2010"/>
      <c r="BC790" s="2010"/>
      <c r="BD790" s="2010"/>
      <c r="BE790" s="2010"/>
      <c r="BF790" s="2010"/>
      <c r="BG790" s="2010"/>
      <c r="BH790" s="2010"/>
      <c r="BI790" s="2010"/>
      <c r="BJ790" s="2010"/>
      <c r="BK790" s="2010"/>
      <c r="BL790" s="2010"/>
      <c r="BM790" s="2010"/>
      <c r="BN790" s="2010"/>
      <c r="BO790" s="2010"/>
      <c r="BP790" s="2010"/>
      <c r="BQ790" s="2010"/>
      <c r="BR790" s="2010"/>
      <c r="BS790" s="2010"/>
      <c r="BT790" s="2010"/>
      <c r="BU790" s="2010"/>
      <c r="BV790" s="2010"/>
      <c r="BW790" s="2010"/>
      <c r="BX790" s="2010"/>
      <c r="BY790" s="2010"/>
      <c r="BZ790" s="2010"/>
      <c r="CA790" s="2010"/>
      <c r="CB790" s="2010"/>
      <c r="CC790" s="2010"/>
      <c r="CD790" s="2010"/>
      <c r="CE790" s="2010"/>
      <c r="CF790" s="2010"/>
      <c r="CG790" s="2010"/>
      <c r="CH790" s="2010"/>
      <c r="CI790" s="2010"/>
      <c r="CJ790" s="2010"/>
      <c r="CK790" s="2010"/>
      <c r="CL790" s="2010"/>
      <c r="CM790" s="2010"/>
      <c r="CN790" s="2010"/>
      <c r="CO790" s="2010"/>
      <c r="CP790" s="2010"/>
      <c r="CQ790" s="2010"/>
      <c r="CR790" s="2010"/>
      <c r="CS790" s="2010"/>
      <c r="CT790" s="2010"/>
      <c r="CU790" s="2010"/>
      <c r="CV790" s="2010"/>
      <c r="CW790" s="2010"/>
      <c r="CX790" s="2010"/>
      <c r="CY790" s="2010"/>
      <c r="CZ790" s="2010"/>
      <c r="DA790" s="2010"/>
      <c r="DB790" s="2010"/>
      <c r="DC790" s="2010"/>
      <c r="DD790" s="2010"/>
      <c r="DE790" s="2010"/>
    </row>
    <row r="791" spans="1:109" s="2014" customFormat="1" x14ac:dyDescent="0.2">
      <c r="A791" s="2013"/>
      <c r="B791" s="2013"/>
      <c r="C791" s="2013"/>
      <c r="D791" s="2013"/>
      <c r="AB791" s="2010"/>
      <c r="AU791" s="2010"/>
      <c r="AV791" s="2010"/>
      <c r="AW791" s="2010"/>
      <c r="AX791" s="2010"/>
      <c r="AY791" s="2010"/>
      <c r="AZ791" s="2010"/>
      <c r="BA791" s="2010"/>
      <c r="BB791" s="2010"/>
      <c r="BC791" s="2010"/>
      <c r="BD791" s="2010"/>
      <c r="BE791" s="2010"/>
      <c r="BF791" s="2010"/>
      <c r="BG791" s="2010"/>
      <c r="BH791" s="2010"/>
      <c r="BI791" s="2010"/>
      <c r="BJ791" s="2010"/>
      <c r="BK791" s="2010"/>
      <c r="BL791" s="2010"/>
      <c r="BM791" s="2010"/>
      <c r="BN791" s="2010"/>
      <c r="BO791" s="2010"/>
      <c r="BP791" s="2010"/>
      <c r="BQ791" s="2010"/>
      <c r="BR791" s="2010"/>
      <c r="BS791" s="2010"/>
      <c r="BT791" s="2010"/>
      <c r="BU791" s="2010"/>
      <c r="BV791" s="2010"/>
      <c r="BW791" s="2010"/>
      <c r="BX791" s="2010"/>
      <c r="BY791" s="2010"/>
      <c r="BZ791" s="2010"/>
      <c r="CA791" s="2010"/>
      <c r="CB791" s="2010"/>
      <c r="CC791" s="2010"/>
      <c r="CD791" s="2010"/>
      <c r="CE791" s="2010"/>
      <c r="CF791" s="2010"/>
      <c r="CG791" s="2010"/>
      <c r="CH791" s="2010"/>
      <c r="CI791" s="2010"/>
      <c r="CJ791" s="2010"/>
      <c r="CK791" s="2010"/>
      <c r="CL791" s="2010"/>
      <c r="CM791" s="2010"/>
      <c r="CN791" s="2010"/>
      <c r="CO791" s="2010"/>
      <c r="CP791" s="2010"/>
      <c r="CQ791" s="2010"/>
      <c r="CR791" s="2010"/>
      <c r="CS791" s="2010"/>
      <c r="CT791" s="2010"/>
      <c r="CU791" s="2010"/>
      <c r="CV791" s="2010"/>
      <c r="CW791" s="2010"/>
      <c r="CX791" s="2010"/>
      <c r="CY791" s="2010"/>
      <c r="CZ791" s="2010"/>
      <c r="DA791" s="2010"/>
      <c r="DB791" s="2010"/>
      <c r="DC791" s="2010"/>
      <c r="DD791" s="2010"/>
      <c r="DE791" s="2010"/>
    </row>
    <row r="792" spans="1:109" s="2014" customFormat="1" x14ac:dyDescent="0.2">
      <c r="A792" s="2013"/>
      <c r="B792" s="2013"/>
      <c r="C792" s="2013"/>
      <c r="D792" s="2013"/>
      <c r="AB792" s="2010"/>
      <c r="AU792" s="2010"/>
      <c r="AV792" s="2010"/>
      <c r="AW792" s="2010"/>
      <c r="AX792" s="2010"/>
      <c r="AY792" s="2010"/>
      <c r="AZ792" s="2010"/>
      <c r="BA792" s="2010"/>
      <c r="BB792" s="2010"/>
      <c r="BC792" s="2010"/>
      <c r="BD792" s="2010"/>
      <c r="BE792" s="2010"/>
      <c r="BF792" s="2010"/>
      <c r="BG792" s="2010"/>
      <c r="BH792" s="2010"/>
      <c r="BI792" s="2010"/>
      <c r="BJ792" s="2010"/>
      <c r="BK792" s="2010"/>
      <c r="BL792" s="2010"/>
      <c r="BM792" s="2010"/>
      <c r="BN792" s="2010"/>
      <c r="BO792" s="2010"/>
      <c r="BP792" s="2010"/>
      <c r="BQ792" s="2010"/>
      <c r="BR792" s="2010"/>
      <c r="BS792" s="2010"/>
      <c r="BT792" s="2010"/>
      <c r="BU792" s="2010"/>
      <c r="BV792" s="2010"/>
      <c r="BW792" s="2010"/>
      <c r="BX792" s="2010"/>
      <c r="BY792" s="2010"/>
      <c r="BZ792" s="2010"/>
      <c r="CA792" s="2010"/>
      <c r="CB792" s="2010"/>
      <c r="CC792" s="2010"/>
      <c r="CD792" s="2010"/>
      <c r="CE792" s="2010"/>
      <c r="CF792" s="2010"/>
      <c r="CG792" s="2010"/>
      <c r="CH792" s="2010"/>
      <c r="CI792" s="2010"/>
      <c r="CJ792" s="2010"/>
      <c r="CK792" s="2010"/>
      <c r="CL792" s="2010"/>
      <c r="CM792" s="2010"/>
      <c r="CN792" s="2010"/>
      <c r="CO792" s="2010"/>
      <c r="CP792" s="2010"/>
      <c r="CQ792" s="2010"/>
      <c r="CR792" s="2010"/>
      <c r="CS792" s="2010"/>
      <c r="CT792" s="2010"/>
      <c r="CU792" s="2010"/>
      <c r="CV792" s="2010"/>
      <c r="CW792" s="2010"/>
      <c r="CX792" s="2010"/>
      <c r="CY792" s="2010"/>
      <c r="CZ792" s="2010"/>
      <c r="DA792" s="2010"/>
      <c r="DB792" s="2010"/>
      <c r="DC792" s="2010"/>
      <c r="DD792" s="2010"/>
      <c r="DE792" s="2010"/>
    </row>
    <row r="793" spans="1:109" s="2014" customFormat="1" x14ac:dyDescent="0.2">
      <c r="A793" s="2013"/>
      <c r="B793" s="2013"/>
      <c r="C793" s="2013"/>
      <c r="D793" s="2013"/>
      <c r="AB793" s="2010"/>
      <c r="AU793" s="2010"/>
      <c r="AV793" s="2010"/>
      <c r="AW793" s="2010"/>
      <c r="AX793" s="2010"/>
      <c r="AY793" s="2010"/>
      <c r="AZ793" s="2010"/>
      <c r="BA793" s="2010"/>
      <c r="BB793" s="2010"/>
      <c r="BC793" s="2010"/>
      <c r="BD793" s="2010"/>
      <c r="BE793" s="2010"/>
      <c r="BF793" s="2010"/>
      <c r="BG793" s="2010"/>
      <c r="BH793" s="2010"/>
      <c r="BI793" s="2010"/>
      <c r="BJ793" s="2010"/>
      <c r="BK793" s="2010"/>
      <c r="BL793" s="2010"/>
      <c r="BM793" s="2010"/>
      <c r="BN793" s="2010"/>
      <c r="BO793" s="2010"/>
      <c r="BP793" s="2010"/>
      <c r="BQ793" s="2010"/>
      <c r="BR793" s="2010"/>
      <c r="BS793" s="2010"/>
      <c r="BT793" s="2010"/>
      <c r="BU793" s="2010"/>
      <c r="BV793" s="2010"/>
      <c r="BW793" s="2010"/>
      <c r="BX793" s="2010"/>
      <c r="BY793" s="2010"/>
      <c r="BZ793" s="2010"/>
      <c r="CA793" s="2010"/>
      <c r="CB793" s="2010"/>
      <c r="CC793" s="2010"/>
      <c r="CD793" s="2010"/>
      <c r="CE793" s="2010"/>
      <c r="CF793" s="2010"/>
      <c r="CG793" s="2010"/>
      <c r="CH793" s="2010"/>
      <c r="CI793" s="2010"/>
      <c r="CJ793" s="2010"/>
      <c r="CK793" s="2010"/>
      <c r="CL793" s="2010"/>
      <c r="CM793" s="2010"/>
      <c r="CN793" s="2010"/>
      <c r="CO793" s="2010"/>
      <c r="CP793" s="2010"/>
      <c r="CQ793" s="2010"/>
      <c r="CR793" s="2010"/>
      <c r="CS793" s="2010"/>
      <c r="CT793" s="2010"/>
      <c r="CU793" s="2010"/>
      <c r="CV793" s="2010"/>
      <c r="CW793" s="2010"/>
      <c r="CX793" s="2010"/>
      <c r="CY793" s="2010"/>
      <c r="CZ793" s="2010"/>
      <c r="DA793" s="2010"/>
      <c r="DB793" s="2010"/>
      <c r="DC793" s="2010"/>
      <c r="DD793" s="2010"/>
      <c r="DE793" s="2010"/>
    </row>
    <row r="794" spans="1:109" s="2014" customFormat="1" x14ac:dyDescent="0.2">
      <c r="A794" s="2013"/>
      <c r="B794" s="2013"/>
      <c r="C794" s="2013"/>
      <c r="D794" s="2013"/>
      <c r="AB794" s="2010"/>
      <c r="AU794" s="2010"/>
      <c r="AV794" s="2010"/>
      <c r="AW794" s="2010"/>
      <c r="AX794" s="2010"/>
      <c r="AY794" s="2010"/>
      <c r="AZ794" s="2010"/>
      <c r="BA794" s="2010"/>
      <c r="BB794" s="2010"/>
      <c r="BC794" s="2010"/>
      <c r="BD794" s="2010"/>
      <c r="BE794" s="2010"/>
      <c r="BF794" s="2010"/>
      <c r="BG794" s="2010"/>
      <c r="BH794" s="2010"/>
      <c r="BI794" s="2010"/>
      <c r="BJ794" s="2010"/>
      <c r="BK794" s="2010"/>
      <c r="BL794" s="2010"/>
      <c r="BM794" s="2010"/>
      <c r="BN794" s="2010"/>
      <c r="BO794" s="2010"/>
      <c r="BP794" s="2010"/>
      <c r="BQ794" s="2010"/>
      <c r="BR794" s="2010"/>
      <c r="BS794" s="2010"/>
      <c r="BT794" s="2010"/>
      <c r="BU794" s="2010"/>
      <c r="BV794" s="2010"/>
      <c r="BW794" s="2010"/>
      <c r="BX794" s="2010"/>
      <c r="BY794" s="2010"/>
      <c r="BZ794" s="2010"/>
      <c r="CA794" s="2010"/>
      <c r="CB794" s="2010"/>
      <c r="CC794" s="2010"/>
      <c r="CD794" s="2010"/>
      <c r="CE794" s="2010"/>
      <c r="CF794" s="2010"/>
      <c r="CG794" s="2010"/>
      <c r="CH794" s="2010"/>
      <c r="CI794" s="2010"/>
      <c r="CJ794" s="2010"/>
      <c r="CK794" s="2010"/>
      <c r="CL794" s="2010"/>
      <c r="CM794" s="2010"/>
      <c r="CN794" s="2010"/>
      <c r="CO794" s="2010"/>
      <c r="CP794" s="2010"/>
      <c r="CQ794" s="2010"/>
      <c r="CR794" s="2010"/>
      <c r="CS794" s="2010"/>
      <c r="CT794" s="2010"/>
      <c r="CU794" s="2010"/>
      <c r="CV794" s="2010"/>
      <c r="CW794" s="2010"/>
      <c r="CX794" s="2010"/>
      <c r="CY794" s="2010"/>
      <c r="CZ794" s="2010"/>
      <c r="DA794" s="2010"/>
      <c r="DB794" s="2010"/>
      <c r="DC794" s="2010"/>
      <c r="DD794" s="2010"/>
      <c r="DE794" s="2010"/>
    </row>
    <row r="795" spans="1:109" s="2014" customFormat="1" x14ac:dyDescent="0.2">
      <c r="A795" s="2013"/>
      <c r="B795" s="2013"/>
      <c r="C795" s="2013"/>
      <c r="D795" s="2013"/>
      <c r="AB795" s="2010"/>
      <c r="AU795" s="2010"/>
      <c r="AV795" s="2010"/>
      <c r="AW795" s="2010"/>
      <c r="AX795" s="2010"/>
      <c r="AY795" s="2010"/>
      <c r="AZ795" s="2010"/>
      <c r="BA795" s="2010"/>
      <c r="BB795" s="2010"/>
      <c r="BC795" s="2010"/>
      <c r="BD795" s="2010"/>
      <c r="BE795" s="2010"/>
      <c r="BF795" s="2010"/>
      <c r="BG795" s="2010"/>
      <c r="BH795" s="2010"/>
      <c r="BI795" s="2010"/>
      <c r="BJ795" s="2010"/>
      <c r="BK795" s="2010"/>
      <c r="BL795" s="2010"/>
      <c r="BM795" s="2010"/>
      <c r="BN795" s="2010"/>
      <c r="BO795" s="2010"/>
      <c r="BP795" s="2010"/>
      <c r="BQ795" s="2010"/>
      <c r="BR795" s="2010"/>
      <c r="BS795" s="2010"/>
      <c r="BT795" s="2010"/>
      <c r="BU795" s="2010"/>
      <c r="BV795" s="2010"/>
      <c r="BW795" s="2010"/>
      <c r="BX795" s="2010"/>
      <c r="BY795" s="2010"/>
      <c r="BZ795" s="2010"/>
      <c r="CA795" s="2010"/>
      <c r="CB795" s="2010"/>
      <c r="CC795" s="2010"/>
      <c r="CD795" s="2010"/>
      <c r="CE795" s="2010"/>
      <c r="CF795" s="2010"/>
      <c r="CG795" s="2010"/>
      <c r="CH795" s="2010"/>
      <c r="CI795" s="2010"/>
      <c r="CJ795" s="2010"/>
      <c r="CK795" s="2010"/>
      <c r="CL795" s="2010"/>
      <c r="CM795" s="2010"/>
      <c r="CN795" s="2010"/>
      <c r="CO795" s="2010"/>
      <c r="CP795" s="2010"/>
      <c r="CQ795" s="2010"/>
      <c r="CR795" s="2010"/>
      <c r="CS795" s="2010"/>
      <c r="CT795" s="2010"/>
      <c r="CU795" s="2010"/>
      <c r="CV795" s="2010"/>
      <c r="CW795" s="2010"/>
      <c r="CX795" s="2010"/>
      <c r="CY795" s="2010"/>
      <c r="CZ795" s="2010"/>
      <c r="DA795" s="2010"/>
      <c r="DB795" s="2010"/>
      <c r="DC795" s="2010"/>
      <c r="DD795" s="2010"/>
      <c r="DE795" s="2010"/>
    </row>
    <row r="796" spans="1:109" s="2014" customFormat="1" x14ac:dyDescent="0.2">
      <c r="A796" s="2013"/>
      <c r="B796" s="2013"/>
      <c r="C796" s="2013"/>
      <c r="D796" s="2013"/>
      <c r="AB796" s="2010"/>
      <c r="AU796" s="2010"/>
      <c r="AV796" s="2010"/>
      <c r="AW796" s="2010"/>
      <c r="AX796" s="2010"/>
      <c r="AY796" s="2010"/>
      <c r="AZ796" s="2010"/>
      <c r="BA796" s="2010"/>
      <c r="BB796" s="2010"/>
      <c r="BC796" s="2010"/>
      <c r="BD796" s="2010"/>
      <c r="BE796" s="2010"/>
      <c r="BF796" s="2010"/>
      <c r="BG796" s="2010"/>
      <c r="BH796" s="2010"/>
      <c r="BI796" s="2010"/>
      <c r="BJ796" s="2010"/>
      <c r="BK796" s="2010"/>
      <c r="BL796" s="2010"/>
      <c r="BM796" s="2010"/>
      <c r="BN796" s="2010"/>
      <c r="BO796" s="2010"/>
      <c r="BP796" s="2010"/>
      <c r="BQ796" s="2010"/>
      <c r="BR796" s="2010"/>
      <c r="BS796" s="2010"/>
      <c r="BT796" s="2010"/>
      <c r="BU796" s="2010"/>
      <c r="BV796" s="2010"/>
      <c r="BW796" s="2010"/>
      <c r="BX796" s="2010"/>
      <c r="BY796" s="2010"/>
      <c r="BZ796" s="2010"/>
      <c r="CA796" s="2010"/>
      <c r="CB796" s="2010"/>
      <c r="CC796" s="2010"/>
      <c r="CD796" s="2010"/>
      <c r="CE796" s="2010"/>
      <c r="CF796" s="2010"/>
      <c r="CG796" s="2010"/>
      <c r="CH796" s="2010"/>
      <c r="CI796" s="2010"/>
      <c r="CJ796" s="2010"/>
      <c r="CK796" s="2010"/>
      <c r="CL796" s="2010"/>
      <c r="CM796" s="2010"/>
      <c r="CN796" s="2010"/>
      <c r="CO796" s="2010"/>
      <c r="CP796" s="2010"/>
      <c r="CQ796" s="2010"/>
      <c r="CR796" s="2010"/>
      <c r="CS796" s="2010"/>
      <c r="CT796" s="2010"/>
      <c r="CU796" s="2010"/>
      <c r="CV796" s="2010"/>
      <c r="CW796" s="2010"/>
      <c r="CX796" s="2010"/>
      <c r="CY796" s="2010"/>
      <c r="CZ796" s="2010"/>
      <c r="DA796" s="2010"/>
      <c r="DB796" s="2010"/>
      <c r="DC796" s="2010"/>
      <c r="DD796" s="2010"/>
      <c r="DE796" s="2010"/>
    </row>
    <row r="797" spans="1:109" s="2014" customFormat="1" x14ac:dyDescent="0.2">
      <c r="A797" s="2013"/>
      <c r="B797" s="2013"/>
      <c r="C797" s="2013"/>
      <c r="D797" s="2013"/>
      <c r="AB797" s="2010"/>
      <c r="AU797" s="2010"/>
      <c r="AV797" s="2010"/>
      <c r="AW797" s="2010"/>
      <c r="AX797" s="2010"/>
      <c r="AY797" s="2010"/>
      <c r="AZ797" s="2010"/>
      <c r="BA797" s="2010"/>
      <c r="BB797" s="2010"/>
      <c r="BC797" s="2010"/>
      <c r="BD797" s="2010"/>
      <c r="BE797" s="2010"/>
      <c r="BF797" s="2010"/>
      <c r="BG797" s="2010"/>
      <c r="BH797" s="2010"/>
      <c r="BI797" s="2010"/>
      <c r="BJ797" s="2010"/>
      <c r="BK797" s="2010"/>
      <c r="BL797" s="2010"/>
      <c r="BM797" s="2010"/>
      <c r="BN797" s="2010"/>
      <c r="BO797" s="2010"/>
      <c r="BP797" s="2010"/>
      <c r="BQ797" s="2010"/>
      <c r="BR797" s="2010"/>
      <c r="BS797" s="2010"/>
      <c r="BT797" s="2010"/>
      <c r="BU797" s="2010"/>
      <c r="BV797" s="2010"/>
      <c r="BW797" s="2010"/>
      <c r="BX797" s="2010"/>
      <c r="BY797" s="2010"/>
      <c r="BZ797" s="2010"/>
      <c r="CA797" s="2010"/>
      <c r="CB797" s="2010"/>
      <c r="CC797" s="2010"/>
      <c r="CD797" s="2010"/>
      <c r="CE797" s="2010"/>
      <c r="CF797" s="2010"/>
      <c r="CG797" s="2010"/>
      <c r="CH797" s="2010"/>
      <c r="CI797" s="2010"/>
      <c r="CJ797" s="2010"/>
      <c r="CK797" s="2010"/>
      <c r="CL797" s="2010"/>
      <c r="CM797" s="2010"/>
      <c r="CN797" s="2010"/>
      <c r="CO797" s="2010"/>
      <c r="CP797" s="2010"/>
      <c r="CQ797" s="2010"/>
      <c r="CR797" s="2010"/>
      <c r="CS797" s="2010"/>
      <c r="CT797" s="2010"/>
      <c r="CU797" s="2010"/>
      <c r="CV797" s="2010"/>
      <c r="CW797" s="2010"/>
      <c r="CX797" s="2010"/>
      <c r="CY797" s="2010"/>
      <c r="CZ797" s="2010"/>
      <c r="DA797" s="2010"/>
      <c r="DB797" s="2010"/>
      <c r="DC797" s="2010"/>
      <c r="DD797" s="2010"/>
      <c r="DE797" s="2010"/>
    </row>
    <row r="798" spans="1:109" s="2014" customFormat="1" x14ac:dyDescent="0.2">
      <c r="A798" s="2013"/>
      <c r="B798" s="2013"/>
      <c r="C798" s="2013"/>
      <c r="D798" s="2013"/>
      <c r="AB798" s="2010"/>
      <c r="AU798" s="2010"/>
      <c r="AV798" s="2010"/>
      <c r="AW798" s="2010"/>
      <c r="AX798" s="2010"/>
      <c r="AY798" s="2010"/>
      <c r="AZ798" s="2010"/>
      <c r="BA798" s="2010"/>
      <c r="BB798" s="2010"/>
      <c r="BC798" s="2010"/>
      <c r="BD798" s="2010"/>
      <c r="BE798" s="2010"/>
      <c r="BF798" s="2010"/>
      <c r="BG798" s="2010"/>
      <c r="BH798" s="2010"/>
      <c r="BI798" s="2010"/>
      <c r="BJ798" s="2010"/>
      <c r="BK798" s="2010"/>
      <c r="BL798" s="2010"/>
      <c r="BM798" s="2010"/>
      <c r="BN798" s="2010"/>
      <c r="BO798" s="2010"/>
      <c r="BP798" s="2010"/>
      <c r="BQ798" s="2010"/>
      <c r="BR798" s="2010"/>
      <c r="BS798" s="2010"/>
      <c r="BT798" s="2010"/>
      <c r="BU798" s="2010"/>
      <c r="BV798" s="2010"/>
      <c r="BW798" s="2010"/>
      <c r="BX798" s="2010"/>
      <c r="BY798" s="2010"/>
      <c r="BZ798" s="2010"/>
      <c r="CA798" s="2010"/>
      <c r="CB798" s="2010"/>
      <c r="CC798" s="2010"/>
      <c r="CD798" s="2010"/>
      <c r="CE798" s="2010"/>
      <c r="CF798" s="2010"/>
      <c r="CG798" s="2010"/>
      <c r="CH798" s="2010"/>
      <c r="CI798" s="2010"/>
      <c r="CJ798" s="2010"/>
      <c r="CK798" s="2010"/>
      <c r="CL798" s="2010"/>
      <c r="CM798" s="2010"/>
      <c r="CN798" s="2010"/>
      <c r="CO798" s="2010"/>
      <c r="CP798" s="2010"/>
      <c r="CQ798" s="2010"/>
      <c r="CR798" s="2010"/>
      <c r="CS798" s="2010"/>
      <c r="CT798" s="2010"/>
      <c r="CU798" s="2010"/>
      <c r="CV798" s="2010"/>
      <c r="CW798" s="2010"/>
      <c r="CX798" s="2010"/>
      <c r="CY798" s="2010"/>
      <c r="CZ798" s="2010"/>
      <c r="DA798" s="2010"/>
      <c r="DB798" s="2010"/>
      <c r="DC798" s="2010"/>
      <c r="DD798" s="2010"/>
      <c r="DE798" s="2010"/>
    </row>
    <row r="799" spans="1:109" s="2014" customFormat="1" x14ac:dyDescent="0.2">
      <c r="A799" s="2013"/>
      <c r="B799" s="2013"/>
      <c r="C799" s="2013"/>
      <c r="D799" s="2013"/>
      <c r="AB799" s="2010"/>
      <c r="AU799" s="2010"/>
      <c r="AV799" s="2010"/>
      <c r="AW799" s="2010"/>
      <c r="AX799" s="2010"/>
      <c r="AY799" s="2010"/>
      <c r="AZ799" s="2010"/>
      <c r="BA799" s="2010"/>
      <c r="BB799" s="2010"/>
      <c r="BC799" s="2010"/>
      <c r="BD799" s="2010"/>
      <c r="BE799" s="2010"/>
      <c r="BF799" s="2010"/>
      <c r="BG799" s="2010"/>
      <c r="BH799" s="2010"/>
      <c r="BI799" s="2010"/>
      <c r="BJ799" s="2010"/>
      <c r="BK799" s="2010"/>
      <c r="BL799" s="2010"/>
      <c r="BM799" s="2010"/>
      <c r="BN799" s="2010"/>
      <c r="BO799" s="2010"/>
      <c r="BP799" s="2010"/>
      <c r="BQ799" s="2010"/>
      <c r="BR799" s="2010"/>
      <c r="BS799" s="2010"/>
      <c r="BT799" s="2010"/>
      <c r="BU799" s="2010"/>
      <c r="BV799" s="2010"/>
      <c r="BW799" s="2010"/>
      <c r="BX799" s="2010"/>
      <c r="BY799" s="2010"/>
      <c r="BZ799" s="2010"/>
      <c r="CA799" s="2010"/>
      <c r="CB799" s="2010"/>
      <c r="CC799" s="2010"/>
      <c r="CD799" s="2010"/>
      <c r="CE799" s="2010"/>
      <c r="CF799" s="2010"/>
      <c r="CG799" s="2010"/>
      <c r="CH799" s="2010"/>
      <c r="CI799" s="2010"/>
      <c r="CJ799" s="2010"/>
      <c r="CK799" s="2010"/>
      <c r="CL799" s="2010"/>
      <c r="CM799" s="2010"/>
      <c r="CN799" s="2010"/>
      <c r="CO799" s="2010"/>
      <c r="CP799" s="2010"/>
      <c r="CQ799" s="2010"/>
      <c r="CR799" s="2010"/>
      <c r="CS799" s="2010"/>
      <c r="CT799" s="2010"/>
      <c r="CU799" s="2010"/>
      <c r="CV799" s="2010"/>
      <c r="CW799" s="2010"/>
      <c r="CX799" s="2010"/>
      <c r="CY799" s="2010"/>
      <c r="CZ799" s="2010"/>
      <c r="DA799" s="2010"/>
      <c r="DB799" s="2010"/>
      <c r="DC799" s="2010"/>
      <c r="DD799" s="2010"/>
      <c r="DE799" s="2010"/>
    </row>
    <row r="800" spans="1:109" s="2014" customFormat="1" x14ac:dyDescent="0.2">
      <c r="A800" s="2013"/>
      <c r="B800" s="2013"/>
      <c r="C800" s="2013"/>
      <c r="D800" s="2013"/>
      <c r="AB800" s="2010"/>
      <c r="AU800" s="2010"/>
      <c r="AV800" s="2010"/>
      <c r="AW800" s="2010"/>
      <c r="AX800" s="2010"/>
      <c r="AY800" s="2010"/>
      <c r="AZ800" s="2010"/>
      <c r="BA800" s="2010"/>
      <c r="BB800" s="2010"/>
      <c r="BC800" s="2010"/>
      <c r="BD800" s="2010"/>
      <c r="BE800" s="2010"/>
      <c r="BF800" s="2010"/>
      <c r="BG800" s="2010"/>
      <c r="BH800" s="2010"/>
      <c r="BI800" s="2010"/>
      <c r="BJ800" s="2010"/>
      <c r="BK800" s="2010"/>
      <c r="BL800" s="2010"/>
      <c r="BM800" s="2010"/>
      <c r="BN800" s="2010"/>
      <c r="BO800" s="2010"/>
      <c r="BP800" s="2010"/>
      <c r="BQ800" s="2010"/>
      <c r="BR800" s="2010"/>
      <c r="BS800" s="2010"/>
      <c r="BT800" s="2010"/>
      <c r="BU800" s="2010"/>
      <c r="BV800" s="2010"/>
      <c r="BW800" s="2010"/>
      <c r="BX800" s="2010"/>
      <c r="BY800" s="2010"/>
      <c r="BZ800" s="2010"/>
      <c r="CA800" s="2010"/>
      <c r="CB800" s="2010"/>
      <c r="CC800" s="2010"/>
      <c r="CD800" s="2010"/>
      <c r="CE800" s="2010"/>
      <c r="CF800" s="2010"/>
      <c r="CG800" s="2010"/>
      <c r="CH800" s="2010"/>
      <c r="CI800" s="2010"/>
      <c r="CJ800" s="2010"/>
      <c r="CK800" s="2010"/>
      <c r="CL800" s="2010"/>
      <c r="CM800" s="2010"/>
      <c r="CN800" s="2010"/>
      <c r="CO800" s="2010"/>
      <c r="CP800" s="2010"/>
      <c r="CQ800" s="2010"/>
      <c r="CR800" s="2010"/>
      <c r="CS800" s="2010"/>
      <c r="CT800" s="2010"/>
      <c r="CU800" s="2010"/>
      <c r="CV800" s="2010"/>
      <c r="CW800" s="2010"/>
      <c r="CX800" s="2010"/>
      <c r="CY800" s="2010"/>
      <c r="CZ800" s="2010"/>
      <c r="DA800" s="2010"/>
      <c r="DB800" s="2010"/>
      <c r="DC800" s="2010"/>
      <c r="DD800" s="2010"/>
      <c r="DE800" s="2010"/>
    </row>
    <row r="801" spans="1:109" s="2014" customFormat="1" x14ac:dyDescent="0.2">
      <c r="A801" s="2013"/>
      <c r="B801" s="2013"/>
      <c r="C801" s="2013"/>
      <c r="D801" s="2013"/>
      <c r="AB801" s="2010"/>
      <c r="AU801" s="2010"/>
      <c r="AV801" s="2010"/>
      <c r="AW801" s="2010"/>
      <c r="AX801" s="2010"/>
      <c r="AY801" s="2010"/>
      <c r="AZ801" s="2010"/>
      <c r="BA801" s="2010"/>
      <c r="BB801" s="2010"/>
      <c r="BC801" s="2010"/>
      <c r="BD801" s="2010"/>
      <c r="BE801" s="2010"/>
      <c r="BF801" s="2010"/>
      <c r="BG801" s="2010"/>
      <c r="BH801" s="2010"/>
      <c r="BI801" s="2010"/>
      <c r="BJ801" s="2010"/>
      <c r="BK801" s="2010"/>
      <c r="BL801" s="2010"/>
      <c r="BM801" s="2010"/>
      <c r="BN801" s="2010"/>
      <c r="BO801" s="2010"/>
      <c r="BP801" s="2010"/>
      <c r="BQ801" s="2010"/>
      <c r="BR801" s="2010"/>
      <c r="BS801" s="2010"/>
      <c r="BT801" s="2010"/>
      <c r="BU801" s="2010"/>
      <c r="BV801" s="2010"/>
      <c r="BW801" s="2010"/>
      <c r="BX801" s="2010"/>
      <c r="BY801" s="2010"/>
      <c r="BZ801" s="2010"/>
      <c r="CA801" s="2010"/>
      <c r="CB801" s="2010"/>
      <c r="CC801" s="2010"/>
      <c r="CD801" s="2010"/>
      <c r="CE801" s="2010"/>
      <c r="CF801" s="2010"/>
      <c r="CG801" s="2010"/>
      <c r="CH801" s="2010"/>
      <c r="CI801" s="2010"/>
      <c r="CJ801" s="2010"/>
      <c r="CK801" s="2010"/>
      <c r="CL801" s="2010"/>
      <c r="CM801" s="2010"/>
      <c r="CN801" s="2010"/>
      <c r="CO801" s="2010"/>
      <c r="CP801" s="2010"/>
      <c r="CQ801" s="2010"/>
      <c r="CR801" s="2010"/>
      <c r="CS801" s="2010"/>
      <c r="CT801" s="2010"/>
      <c r="CU801" s="2010"/>
      <c r="CV801" s="2010"/>
      <c r="CW801" s="2010"/>
      <c r="CX801" s="2010"/>
      <c r="CY801" s="2010"/>
      <c r="CZ801" s="2010"/>
      <c r="DA801" s="2010"/>
      <c r="DB801" s="2010"/>
      <c r="DC801" s="2010"/>
      <c r="DD801" s="2010"/>
      <c r="DE801" s="2010"/>
    </row>
    <row r="802" spans="1:109" s="2014" customFormat="1" x14ac:dyDescent="0.2">
      <c r="A802" s="2013"/>
      <c r="B802" s="2013"/>
      <c r="C802" s="2013"/>
      <c r="D802" s="2013"/>
      <c r="AB802" s="2010"/>
      <c r="AU802" s="2010"/>
      <c r="AV802" s="2010"/>
      <c r="AW802" s="2010"/>
      <c r="AX802" s="2010"/>
      <c r="AY802" s="2010"/>
      <c r="AZ802" s="2010"/>
      <c r="BA802" s="2010"/>
      <c r="BB802" s="2010"/>
      <c r="BC802" s="2010"/>
      <c r="BD802" s="2010"/>
      <c r="BE802" s="2010"/>
      <c r="BF802" s="2010"/>
      <c r="BG802" s="2010"/>
      <c r="BH802" s="2010"/>
      <c r="BI802" s="2010"/>
      <c r="BJ802" s="2010"/>
      <c r="BK802" s="2010"/>
      <c r="BL802" s="2010"/>
      <c r="BM802" s="2010"/>
      <c r="BN802" s="2010"/>
      <c r="BO802" s="2010"/>
      <c r="BP802" s="2010"/>
      <c r="BQ802" s="2010"/>
      <c r="BR802" s="2010"/>
      <c r="BS802" s="2010"/>
      <c r="BT802" s="2010"/>
      <c r="BU802" s="2010"/>
      <c r="BV802" s="2010"/>
      <c r="BW802" s="2010"/>
      <c r="BX802" s="2010"/>
      <c r="BY802" s="2010"/>
      <c r="BZ802" s="2010"/>
      <c r="CA802" s="2010"/>
      <c r="CB802" s="2010"/>
      <c r="CC802" s="2010"/>
      <c r="CD802" s="2010"/>
      <c r="CE802" s="2010"/>
      <c r="CF802" s="2010"/>
      <c r="CG802" s="2010"/>
      <c r="CH802" s="2010"/>
      <c r="CI802" s="2010"/>
      <c r="CJ802" s="2010"/>
      <c r="CK802" s="2010"/>
      <c r="CL802" s="2010"/>
      <c r="CM802" s="2010"/>
      <c r="CN802" s="2010"/>
      <c r="CO802" s="2010"/>
      <c r="CP802" s="2010"/>
      <c r="CQ802" s="2010"/>
      <c r="CR802" s="2010"/>
      <c r="CS802" s="2010"/>
      <c r="CT802" s="2010"/>
      <c r="CU802" s="2010"/>
      <c r="CV802" s="2010"/>
      <c r="CW802" s="2010"/>
      <c r="CX802" s="2010"/>
      <c r="CY802" s="2010"/>
      <c r="CZ802" s="2010"/>
      <c r="DA802" s="2010"/>
      <c r="DB802" s="2010"/>
      <c r="DC802" s="2010"/>
      <c r="DD802" s="2010"/>
      <c r="DE802" s="2010"/>
    </row>
    <row r="803" spans="1:109" s="2014" customFormat="1" x14ac:dyDescent="0.2">
      <c r="A803" s="2013"/>
      <c r="B803" s="2013"/>
      <c r="C803" s="2013"/>
      <c r="D803" s="2013"/>
      <c r="AB803" s="2010"/>
      <c r="AU803" s="2010"/>
      <c r="AV803" s="2010"/>
      <c r="AW803" s="2010"/>
      <c r="AX803" s="2010"/>
      <c r="AY803" s="2010"/>
      <c r="AZ803" s="2010"/>
      <c r="BA803" s="2010"/>
      <c r="BB803" s="2010"/>
      <c r="BC803" s="2010"/>
      <c r="BD803" s="2010"/>
      <c r="BE803" s="2010"/>
      <c r="BF803" s="2010"/>
      <c r="BG803" s="2010"/>
      <c r="BH803" s="2010"/>
      <c r="BI803" s="2010"/>
      <c r="BJ803" s="2010"/>
      <c r="BK803" s="2010"/>
      <c r="BL803" s="2010"/>
      <c r="BM803" s="2010"/>
      <c r="BN803" s="2010"/>
      <c r="BO803" s="2010"/>
      <c r="BP803" s="2010"/>
      <c r="BQ803" s="2010"/>
      <c r="BR803" s="2010"/>
      <c r="BS803" s="2010"/>
      <c r="BT803" s="2010"/>
      <c r="BU803" s="2010"/>
      <c r="BV803" s="2010"/>
      <c r="BW803" s="2010"/>
      <c r="BX803" s="2010"/>
      <c r="BY803" s="2010"/>
      <c r="BZ803" s="2010"/>
      <c r="CA803" s="2010"/>
      <c r="CB803" s="2010"/>
      <c r="CC803" s="2010"/>
      <c r="CD803" s="2010"/>
      <c r="CE803" s="2010"/>
      <c r="CF803" s="2010"/>
      <c r="CG803" s="2010"/>
      <c r="CH803" s="2010"/>
      <c r="CI803" s="2010"/>
      <c r="CJ803" s="2010"/>
      <c r="CK803" s="2010"/>
      <c r="CL803" s="2010"/>
      <c r="CM803" s="2010"/>
      <c r="CN803" s="2010"/>
      <c r="CO803" s="2010"/>
      <c r="CP803" s="2010"/>
      <c r="CQ803" s="2010"/>
      <c r="CR803" s="2010"/>
      <c r="CS803" s="2010"/>
      <c r="CT803" s="2010"/>
      <c r="CU803" s="2010"/>
      <c r="CV803" s="2010"/>
      <c r="CW803" s="2010"/>
      <c r="CX803" s="2010"/>
      <c r="CY803" s="2010"/>
      <c r="CZ803" s="2010"/>
      <c r="DA803" s="2010"/>
      <c r="DB803" s="2010"/>
      <c r="DC803" s="2010"/>
      <c r="DD803" s="2010"/>
      <c r="DE803" s="2010"/>
    </row>
    <row r="804" spans="1:109" s="2014" customFormat="1" x14ac:dyDescent="0.2">
      <c r="A804" s="2013"/>
      <c r="B804" s="2013"/>
      <c r="C804" s="2013"/>
      <c r="D804" s="2013"/>
      <c r="AB804" s="2010"/>
      <c r="AU804" s="2010"/>
      <c r="AV804" s="2010"/>
      <c r="AW804" s="2010"/>
      <c r="AX804" s="2010"/>
      <c r="AY804" s="2010"/>
      <c r="AZ804" s="2010"/>
      <c r="BA804" s="2010"/>
      <c r="BB804" s="2010"/>
      <c r="BC804" s="2010"/>
      <c r="BD804" s="2010"/>
      <c r="BE804" s="2010"/>
      <c r="BF804" s="2010"/>
      <c r="BG804" s="2010"/>
      <c r="BH804" s="2010"/>
      <c r="BI804" s="2010"/>
      <c r="BJ804" s="2010"/>
      <c r="BK804" s="2010"/>
      <c r="BL804" s="2010"/>
      <c r="BM804" s="2010"/>
      <c r="BN804" s="2010"/>
      <c r="BO804" s="2010"/>
      <c r="BP804" s="2010"/>
      <c r="BQ804" s="2010"/>
      <c r="BR804" s="2010"/>
      <c r="BS804" s="2010"/>
      <c r="BT804" s="2010"/>
      <c r="BU804" s="2010"/>
      <c r="BV804" s="2010"/>
      <c r="BW804" s="2010"/>
      <c r="BX804" s="2010"/>
      <c r="BY804" s="2010"/>
      <c r="BZ804" s="2010"/>
      <c r="CA804" s="2010"/>
      <c r="CB804" s="2010"/>
      <c r="CC804" s="2010"/>
      <c r="CD804" s="2010"/>
      <c r="CE804" s="2010"/>
      <c r="CF804" s="2010"/>
      <c r="CG804" s="2010"/>
      <c r="CH804" s="2010"/>
      <c r="CI804" s="2010"/>
      <c r="CJ804" s="2010"/>
      <c r="CK804" s="2010"/>
      <c r="CL804" s="2010"/>
      <c r="CM804" s="2010"/>
      <c r="CN804" s="2010"/>
      <c r="CO804" s="2010"/>
      <c r="CP804" s="2010"/>
      <c r="CQ804" s="2010"/>
      <c r="CR804" s="2010"/>
      <c r="CS804" s="2010"/>
      <c r="CT804" s="2010"/>
      <c r="CU804" s="2010"/>
      <c r="CV804" s="2010"/>
      <c r="CW804" s="2010"/>
      <c r="CX804" s="2010"/>
      <c r="CY804" s="2010"/>
      <c r="CZ804" s="2010"/>
      <c r="DA804" s="2010"/>
      <c r="DB804" s="2010"/>
      <c r="DC804" s="2010"/>
      <c r="DD804" s="2010"/>
      <c r="DE804" s="2010"/>
    </row>
    <row r="805" spans="1:109" s="2014" customFormat="1" x14ac:dyDescent="0.2">
      <c r="A805" s="2013"/>
      <c r="B805" s="2013"/>
      <c r="C805" s="2013"/>
      <c r="D805" s="2013"/>
      <c r="AB805" s="2010"/>
      <c r="AU805" s="2010"/>
      <c r="AV805" s="2010"/>
      <c r="AW805" s="2010"/>
      <c r="AX805" s="2010"/>
      <c r="AY805" s="2010"/>
      <c r="AZ805" s="2010"/>
      <c r="BA805" s="2010"/>
      <c r="BB805" s="2010"/>
      <c r="BC805" s="2010"/>
      <c r="BD805" s="2010"/>
      <c r="BE805" s="2010"/>
      <c r="BF805" s="2010"/>
      <c r="BG805" s="2010"/>
      <c r="BH805" s="2010"/>
      <c r="BI805" s="2010"/>
      <c r="BJ805" s="2010"/>
      <c r="BK805" s="2010"/>
      <c r="BL805" s="2010"/>
      <c r="BM805" s="2010"/>
      <c r="BN805" s="2010"/>
      <c r="BO805" s="2010"/>
      <c r="BP805" s="2010"/>
      <c r="BQ805" s="2010"/>
      <c r="BR805" s="2010"/>
      <c r="BS805" s="2010"/>
      <c r="BT805" s="2010"/>
      <c r="BU805" s="2010"/>
      <c r="BV805" s="2010"/>
      <c r="BW805" s="2010"/>
      <c r="BX805" s="2010"/>
      <c r="BY805" s="2010"/>
      <c r="BZ805" s="2010"/>
      <c r="CA805" s="2010"/>
      <c r="CB805" s="2010"/>
      <c r="CC805" s="2010"/>
      <c r="CD805" s="2010"/>
      <c r="CE805" s="2010"/>
      <c r="CF805" s="2010"/>
      <c r="CG805" s="2010"/>
      <c r="CH805" s="2010"/>
      <c r="CI805" s="2010"/>
      <c r="CJ805" s="2010"/>
      <c r="CK805" s="2010"/>
      <c r="CL805" s="2010"/>
      <c r="CM805" s="2010"/>
      <c r="CN805" s="2010"/>
      <c r="CO805" s="2010"/>
      <c r="CP805" s="2010"/>
      <c r="CQ805" s="2010"/>
      <c r="CR805" s="2010"/>
      <c r="CS805" s="2010"/>
      <c r="CT805" s="2010"/>
      <c r="CU805" s="2010"/>
      <c r="CV805" s="2010"/>
      <c r="CW805" s="2010"/>
      <c r="CX805" s="2010"/>
      <c r="CY805" s="2010"/>
      <c r="CZ805" s="2010"/>
      <c r="DA805" s="2010"/>
      <c r="DB805" s="2010"/>
      <c r="DC805" s="2010"/>
      <c r="DD805" s="2010"/>
      <c r="DE805" s="2010"/>
    </row>
    <row r="806" spans="1:109" s="2014" customFormat="1" x14ac:dyDescent="0.2">
      <c r="A806" s="2013"/>
      <c r="B806" s="2013"/>
      <c r="C806" s="2013"/>
      <c r="D806" s="2013"/>
      <c r="AB806" s="2010"/>
      <c r="AU806" s="2010"/>
      <c r="AV806" s="2010"/>
      <c r="AW806" s="2010"/>
      <c r="AX806" s="2010"/>
      <c r="AY806" s="2010"/>
      <c r="AZ806" s="2010"/>
      <c r="BA806" s="2010"/>
      <c r="BB806" s="2010"/>
      <c r="BC806" s="2010"/>
      <c r="BD806" s="2010"/>
      <c r="BE806" s="2010"/>
      <c r="BF806" s="2010"/>
      <c r="BG806" s="2010"/>
      <c r="BH806" s="2010"/>
      <c r="BI806" s="2010"/>
      <c r="BJ806" s="2010"/>
      <c r="BK806" s="2010"/>
      <c r="BL806" s="2010"/>
      <c r="BM806" s="2010"/>
      <c r="BN806" s="2010"/>
      <c r="BO806" s="2010"/>
      <c r="BP806" s="2010"/>
      <c r="BQ806" s="2010"/>
      <c r="BR806" s="2010"/>
      <c r="BS806" s="2010"/>
      <c r="BT806" s="2010"/>
      <c r="BU806" s="2010"/>
      <c r="BV806" s="2010"/>
      <c r="BW806" s="2010"/>
      <c r="BX806" s="2010"/>
      <c r="BY806" s="2010"/>
      <c r="BZ806" s="2010"/>
      <c r="CA806" s="2010"/>
      <c r="CB806" s="2010"/>
      <c r="CC806" s="2010"/>
      <c r="CD806" s="2010"/>
      <c r="CE806" s="2010"/>
      <c r="CF806" s="2010"/>
      <c r="CG806" s="2010"/>
      <c r="CH806" s="2010"/>
      <c r="CI806" s="2010"/>
      <c r="CJ806" s="2010"/>
      <c r="CK806" s="2010"/>
      <c r="CL806" s="2010"/>
      <c r="CM806" s="2010"/>
      <c r="CN806" s="2010"/>
      <c r="CO806" s="2010"/>
      <c r="CP806" s="2010"/>
      <c r="CQ806" s="2010"/>
      <c r="CR806" s="2010"/>
      <c r="CS806" s="2010"/>
      <c r="CT806" s="2010"/>
      <c r="CU806" s="2010"/>
      <c r="CV806" s="2010"/>
      <c r="CW806" s="2010"/>
      <c r="CX806" s="2010"/>
      <c r="CY806" s="2010"/>
      <c r="CZ806" s="2010"/>
      <c r="DA806" s="2010"/>
      <c r="DB806" s="2010"/>
      <c r="DC806" s="2010"/>
      <c r="DD806" s="2010"/>
      <c r="DE806" s="2010"/>
    </row>
    <row r="807" spans="1:109" s="2014" customFormat="1" x14ac:dyDescent="0.2">
      <c r="A807" s="2013"/>
      <c r="B807" s="2013"/>
      <c r="C807" s="2013"/>
      <c r="D807" s="2013"/>
      <c r="AB807" s="2010"/>
      <c r="AU807" s="2010"/>
      <c r="AV807" s="2010"/>
      <c r="AW807" s="2010"/>
      <c r="AX807" s="2010"/>
      <c r="AY807" s="2010"/>
      <c r="AZ807" s="2010"/>
      <c r="BA807" s="2010"/>
      <c r="BB807" s="2010"/>
      <c r="BC807" s="2010"/>
      <c r="BD807" s="2010"/>
      <c r="BE807" s="2010"/>
      <c r="BF807" s="2010"/>
      <c r="BG807" s="2010"/>
      <c r="BH807" s="2010"/>
      <c r="BI807" s="2010"/>
      <c r="BJ807" s="2010"/>
      <c r="BK807" s="2010"/>
      <c r="BL807" s="2010"/>
      <c r="BM807" s="2010"/>
      <c r="BN807" s="2010"/>
      <c r="BO807" s="2010"/>
      <c r="BP807" s="2010"/>
      <c r="BQ807" s="2010"/>
      <c r="BR807" s="2010"/>
      <c r="BS807" s="2010"/>
      <c r="BT807" s="2010"/>
      <c r="BU807" s="2010"/>
      <c r="BV807" s="2010"/>
      <c r="BW807" s="2010"/>
      <c r="BX807" s="2010"/>
      <c r="BY807" s="2010"/>
      <c r="BZ807" s="2010"/>
      <c r="CA807" s="2010"/>
      <c r="CB807" s="2010"/>
      <c r="CC807" s="2010"/>
      <c r="CD807" s="2010"/>
      <c r="CE807" s="2010"/>
      <c r="CF807" s="2010"/>
      <c r="CG807" s="2010"/>
      <c r="CH807" s="2010"/>
      <c r="CI807" s="2010"/>
      <c r="CJ807" s="2010"/>
      <c r="CK807" s="2010"/>
      <c r="CL807" s="2010"/>
      <c r="CM807" s="2010"/>
      <c r="CN807" s="2010"/>
      <c r="CO807" s="2010"/>
      <c r="CP807" s="2010"/>
      <c r="CQ807" s="2010"/>
      <c r="CR807" s="2010"/>
      <c r="CS807" s="2010"/>
      <c r="CT807" s="2010"/>
      <c r="CU807" s="2010"/>
      <c r="CV807" s="2010"/>
      <c r="CW807" s="2010"/>
      <c r="CX807" s="2010"/>
      <c r="CY807" s="2010"/>
      <c r="CZ807" s="2010"/>
      <c r="DA807" s="2010"/>
      <c r="DB807" s="2010"/>
      <c r="DC807" s="2010"/>
      <c r="DD807" s="2010"/>
      <c r="DE807" s="2010"/>
    </row>
    <row r="808" spans="1:109" s="2014" customFormat="1" x14ac:dyDescent="0.2">
      <c r="A808" s="2013"/>
      <c r="B808" s="2013"/>
      <c r="C808" s="2013"/>
      <c r="D808" s="2013"/>
      <c r="AB808" s="2010"/>
      <c r="AU808" s="2010"/>
      <c r="AV808" s="2010"/>
      <c r="AW808" s="2010"/>
      <c r="AX808" s="2010"/>
      <c r="AY808" s="2010"/>
      <c r="AZ808" s="2010"/>
      <c r="BA808" s="2010"/>
      <c r="BB808" s="2010"/>
      <c r="BC808" s="2010"/>
      <c r="BD808" s="2010"/>
      <c r="BE808" s="2010"/>
      <c r="BF808" s="2010"/>
      <c r="BG808" s="2010"/>
      <c r="BH808" s="2010"/>
      <c r="BI808" s="2010"/>
      <c r="BJ808" s="2010"/>
      <c r="BK808" s="2010"/>
      <c r="BL808" s="2010"/>
      <c r="BM808" s="2010"/>
      <c r="BN808" s="2010"/>
      <c r="BO808" s="2010"/>
      <c r="BP808" s="2010"/>
      <c r="BQ808" s="2010"/>
      <c r="BR808" s="2010"/>
      <c r="BS808" s="2010"/>
      <c r="BT808" s="2010"/>
      <c r="BU808" s="2010"/>
      <c r="BV808" s="2010"/>
      <c r="BW808" s="2010"/>
      <c r="BX808" s="2010"/>
      <c r="BY808" s="2010"/>
      <c r="BZ808" s="2010"/>
      <c r="CA808" s="2010"/>
      <c r="CB808" s="2010"/>
      <c r="CC808" s="2010"/>
      <c r="CD808" s="2010"/>
      <c r="CE808" s="2010"/>
      <c r="CF808" s="2010"/>
      <c r="CG808" s="2010"/>
      <c r="CH808" s="2010"/>
      <c r="CI808" s="2010"/>
      <c r="CJ808" s="2010"/>
      <c r="CK808" s="2010"/>
      <c r="CL808" s="2010"/>
      <c r="CM808" s="2010"/>
      <c r="CN808" s="2010"/>
      <c r="CO808" s="2010"/>
      <c r="CP808" s="2010"/>
      <c r="CQ808" s="2010"/>
      <c r="CR808" s="2010"/>
      <c r="CS808" s="2010"/>
      <c r="CT808" s="2010"/>
      <c r="CU808" s="2010"/>
      <c r="CV808" s="2010"/>
      <c r="CW808" s="2010"/>
      <c r="CX808" s="2010"/>
      <c r="CY808" s="2010"/>
      <c r="CZ808" s="2010"/>
      <c r="DA808" s="2010"/>
      <c r="DB808" s="2010"/>
      <c r="DC808" s="2010"/>
      <c r="DD808" s="2010"/>
      <c r="DE808" s="2010"/>
    </row>
    <row r="809" spans="1:109" s="2014" customFormat="1" x14ac:dyDescent="0.2">
      <c r="A809" s="2013"/>
      <c r="B809" s="2013"/>
      <c r="C809" s="2013"/>
      <c r="D809" s="2013"/>
      <c r="AB809" s="2010"/>
      <c r="AU809" s="2010"/>
      <c r="AV809" s="2010"/>
      <c r="AW809" s="2010"/>
      <c r="AX809" s="2010"/>
      <c r="AY809" s="2010"/>
      <c r="AZ809" s="2010"/>
      <c r="BA809" s="2010"/>
      <c r="BB809" s="2010"/>
      <c r="BC809" s="2010"/>
      <c r="BD809" s="2010"/>
      <c r="BE809" s="2010"/>
      <c r="BF809" s="2010"/>
      <c r="BG809" s="2010"/>
      <c r="BH809" s="2010"/>
      <c r="BI809" s="2010"/>
      <c r="BJ809" s="2010"/>
      <c r="BK809" s="2010"/>
      <c r="BL809" s="2010"/>
      <c r="BM809" s="2010"/>
      <c r="BN809" s="2010"/>
      <c r="BO809" s="2010"/>
      <c r="BP809" s="2010"/>
      <c r="BQ809" s="2010"/>
      <c r="BR809" s="2010"/>
      <c r="BS809" s="2010"/>
      <c r="BT809" s="2010"/>
      <c r="BU809" s="2010"/>
      <c r="BV809" s="2010"/>
      <c r="BW809" s="2010"/>
      <c r="BX809" s="2010"/>
      <c r="BY809" s="2010"/>
      <c r="BZ809" s="2010"/>
      <c r="CA809" s="2010"/>
      <c r="CB809" s="2010"/>
      <c r="CC809" s="2010"/>
      <c r="CD809" s="2010"/>
      <c r="CE809" s="2010"/>
      <c r="CF809" s="2010"/>
      <c r="CG809" s="2010"/>
      <c r="CH809" s="2010"/>
      <c r="CI809" s="2010"/>
      <c r="CJ809" s="2010"/>
      <c r="CK809" s="2010"/>
      <c r="CL809" s="2010"/>
      <c r="CM809" s="2010"/>
      <c r="CN809" s="2010"/>
      <c r="CO809" s="2010"/>
      <c r="CP809" s="2010"/>
      <c r="CQ809" s="2010"/>
      <c r="CR809" s="2010"/>
      <c r="CS809" s="2010"/>
      <c r="CT809" s="2010"/>
      <c r="CU809" s="2010"/>
      <c r="CV809" s="2010"/>
      <c r="CW809" s="2010"/>
      <c r="CX809" s="2010"/>
      <c r="CY809" s="2010"/>
      <c r="CZ809" s="2010"/>
      <c r="DA809" s="2010"/>
      <c r="DB809" s="2010"/>
      <c r="DC809" s="2010"/>
      <c r="DD809" s="2010"/>
      <c r="DE809" s="2010"/>
    </row>
    <row r="810" spans="1:109" s="2014" customFormat="1" x14ac:dyDescent="0.2">
      <c r="A810" s="2013"/>
      <c r="B810" s="2013"/>
      <c r="C810" s="2013"/>
      <c r="D810" s="2013"/>
      <c r="AB810" s="2010"/>
      <c r="AU810" s="2010"/>
      <c r="AV810" s="2010"/>
      <c r="AW810" s="2010"/>
      <c r="AX810" s="2010"/>
      <c r="AY810" s="2010"/>
      <c r="AZ810" s="2010"/>
      <c r="BA810" s="2010"/>
      <c r="BB810" s="2010"/>
      <c r="BC810" s="2010"/>
      <c r="BD810" s="2010"/>
      <c r="BE810" s="2010"/>
      <c r="BF810" s="2010"/>
      <c r="BG810" s="2010"/>
      <c r="BH810" s="2010"/>
      <c r="BI810" s="2010"/>
      <c r="BJ810" s="2010"/>
      <c r="BK810" s="2010"/>
      <c r="BL810" s="2010"/>
      <c r="BM810" s="2010"/>
      <c r="BN810" s="2010"/>
      <c r="BO810" s="2010"/>
      <c r="BP810" s="2010"/>
      <c r="BQ810" s="2010"/>
      <c r="BR810" s="2010"/>
      <c r="BS810" s="2010"/>
      <c r="BT810" s="2010"/>
      <c r="BU810" s="2010"/>
      <c r="BV810" s="2010"/>
      <c r="BW810" s="2010"/>
      <c r="BX810" s="2010"/>
      <c r="BY810" s="2010"/>
      <c r="BZ810" s="2010"/>
      <c r="CA810" s="2010"/>
      <c r="CB810" s="2010"/>
      <c r="CC810" s="2010"/>
      <c r="CD810" s="2010"/>
      <c r="CE810" s="2010"/>
      <c r="CF810" s="2010"/>
      <c r="CG810" s="2010"/>
      <c r="CH810" s="2010"/>
      <c r="CI810" s="2010"/>
      <c r="CJ810" s="2010"/>
      <c r="CK810" s="2010"/>
      <c r="CL810" s="2010"/>
      <c r="CM810" s="2010"/>
      <c r="CN810" s="2010"/>
      <c r="CO810" s="2010"/>
      <c r="CP810" s="2010"/>
      <c r="CQ810" s="2010"/>
      <c r="CR810" s="2010"/>
      <c r="CS810" s="2010"/>
      <c r="CT810" s="2010"/>
      <c r="CU810" s="2010"/>
      <c r="CV810" s="2010"/>
      <c r="CW810" s="2010"/>
      <c r="CX810" s="2010"/>
      <c r="CY810" s="2010"/>
      <c r="CZ810" s="2010"/>
      <c r="DA810" s="2010"/>
      <c r="DB810" s="2010"/>
      <c r="DC810" s="2010"/>
      <c r="DD810" s="2010"/>
      <c r="DE810" s="2010"/>
    </row>
    <row r="811" spans="1:109" s="2014" customFormat="1" x14ac:dyDescent="0.2">
      <c r="A811" s="2013"/>
      <c r="B811" s="2013"/>
      <c r="C811" s="2013"/>
      <c r="D811" s="2013"/>
      <c r="AB811" s="2010"/>
      <c r="AU811" s="2010"/>
      <c r="AV811" s="2010"/>
      <c r="AW811" s="2010"/>
      <c r="AX811" s="2010"/>
      <c r="AY811" s="2010"/>
      <c r="AZ811" s="2010"/>
      <c r="BA811" s="2010"/>
      <c r="BB811" s="2010"/>
      <c r="BC811" s="2010"/>
      <c r="BD811" s="2010"/>
      <c r="BE811" s="2010"/>
      <c r="BF811" s="2010"/>
      <c r="BG811" s="2010"/>
      <c r="BH811" s="2010"/>
      <c r="BI811" s="2010"/>
      <c r="BJ811" s="2010"/>
      <c r="BK811" s="2010"/>
      <c r="BL811" s="2010"/>
      <c r="BM811" s="2010"/>
      <c r="BN811" s="2010"/>
      <c r="BO811" s="2010"/>
      <c r="BP811" s="2010"/>
      <c r="BQ811" s="2010"/>
      <c r="BR811" s="2010"/>
      <c r="BS811" s="2010"/>
      <c r="BT811" s="2010"/>
      <c r="BU811" s="2010"/>
      <c r="BV811" s="2010"/>
      <c r="BW811" s="2010"/>
      <c r="BX811" s="2010"/>
      <c r="BY811" s="2010"/>
      <c r="BZ811" s="2010"/>
      <c r="CA811" s="2010"/>
      <c r="CB811" s="2010"/>
      <c r="CC811" s="2010"/>
      <c r="CD811" s="2010"/>
      <c r="CE811" s="2010"/>
      <c r="CF811" s="2010"/>
      <c r="CG811" s="2010"/>
      <c r="CH811" s="2010"/>
      <c r="CI811" s="2010"/>
      <c r="CJ811" s="2010"/>
      <c r="CK811" s="2010"/>
      <c r="CL811" s="2010"/>
      <c r="CM811" s="2010"/>
      <c r="CN811" s="2010"/>
      <c r="CO811" s="2010"/>
      <c r="CP811" s="2010"/>
      <c r="CQ811" s="2010"/>
      <c r="CR811" s="2010"/>
      <c r="CS811" s="2010"/>
      <c r="CT811" s="2010"/>
      <c r="CU811" s="2010"/>
      <c r="CV811" s="2010"/>
      <c r="CW811" s="2010"/>
      <c r="CX811" s="2010"/>
      <c r="CY811" s="2010"/>
      <c r="CZ811" s="2010"/>
      <c r="DA811" s="2010"/>
      <c r="DB811" s="2010"/>
      <c r="DC811" s="2010"/>
      <c r="DD811" s="2010"/>
      <c r="DE811" s="2010"/>
    </row>
    <row r="812" spans="1:109" s="2014" customFormat="1" x14ac:dyDescent="0.2">
      <c r="A812" s="2013"/>
      <c r="B812" s="2013"/>
      <c r="C812" s="2013"/>
      <c r="D812" s="2013"/>
      <c r="AB812" s="2010"/>
      <c r="AU812" s="2010"/>
      <c r="AV812" s="2010"/>
      <c r="AW812" s="2010"/>
      <c r="AX812" s="2010"/>
      <c r="AY812" s="2010"/>
      <c r="AZ812" s="2010"/>
      <c r="BA812" s="2010"/>
      <c r="BB812" s="2010"/>
      <c r="BC812" s="2010"/>
      <c r="BD812" s="2010"/>
      <c r="BE812" s="2010"/>
      <c r="BF812" s="2010"/>
      <c r="BG812" s="2010"/>
      <c r="BH812" s="2010"/>
      <c r="BI812" s="2010"/>
      <c r="BJ812" s="2010"/>
      <c r="BK812" s="2010"/>
      <c r="BL812" s="2010"/>
      <c r="BM812" s="2010"/>
      <c r="BN812" s="2010"/>
      <c r="BO812" s="2010"/>
      <c r="BP812" s="2010"/>
      <c r="BQ812" s="2010"/>
      <c r="BR812" s="2010"/>
      <c r="BS812" s="2010"/>
      <c r="BT812" s="2010"/>
      <c r="BU812" s="2010"/>
      <c r="BV812" s="2010"/>
      <c r="BW812" s="2010"/>
      <c r="BX812" s="2010"/>
      <c r="BY812" s="2010"/>
      <c r="BZ812" s="2010"/>
      <c r="CA812" s="2010"/>
      <c r="CB812" s="2010"/>
      <c r="CC812" s="2010"/>
      <c r="CD812" s="2010"/>
      <c r="CE812" s="2010"/>
      <c r="CF812" s="2010"/>
      <c r="CG812" s="2010"/>
      <c r="CH812" s="2010"/>
      <c r="CI812" s="2010"/>
      <c r="CJ812" s="2010"/>
      <c r="CK812" s="2010"/>
      <c r="CL812" s="2010"/>
      <c r="CM812" s="2010"/>
      <c r="CN812" s="2010"/>
      <c r="CO812" s="2010"/>
      <c r="CP812" s="2010"/>
      <c r="CQ812" s="2010"/>
      <c r="CR812" s="2010"/>
      <c r="CS812" s="2010"/>
      <c r="CT812" s="2010"/>
      <c r="CU812" s="2010"/>
      <c r="CV812" s="2010"/>
      <c r="CW812" s="2010"/>
      <c r="CX812" s="2010"/>
      <c r="CY812" s="2010"/>
      <c r="CZ812" s="2010"/>
      <c r="DA812" s="2010"/>
      <c r="DB812" s="2010"/>
      <c r="DC812" s="2010"/>
      <c r="DD812" s="2010"/>
      <c r="DE812" s="2010"/>
    </row>
    <row r="813" spans="1:109" s="2014" customFormat="1" x14ac:dyDescent="0.2">
      <c r="A813" s="2013"/>
      <c r="B813" s="2013"/>
      <c r="C813" s="2013"/>
      <c r="D813" s="2013"/>
      <c r="AB813" s="2010"/>
      <c r="AU813" s="2010"/>
      <c r="AV813" s="2010"/>
      <c r="AW813" s="2010"/>
      <c r="AX813" s="2010"/>
      <c r="AY813" s="2010"/>
      <c r="AZ813" s="2010"/>
      <c r="BA813" s="2010"/>
      <c r="BB813" s="2010"/>
      <c r="BC813" s="2010"/>
      <c r="BD813" s="2010"/>
      <c r="BE813" s="2010"/>
      <c r="BF813" s="2010"/>
      <c r="BG813" s="2010"/>
      <c r="BH813" s="2010"/>
      <c r="BI813" s="2010"/>
      <c r="BJ813" s="2010"/>
      <c r="BK813" s="2010"/>
      <c r="BL813" s="2010"/>
      <c r="BM813" s="2010"/>
      <c r="BN813" s="2010"/>
      <c r="BO813" s="2010"/>
      <c r="BP813" s="2010"/>
      <c r="BQ813" s="2010"/>
      <c r="BR813" s="2010"/>
      <c r="BS813" s="2010"/>
      <c r="BT813" s="2010"/>
      <c r="BU813" s="2010"/>
      <c r="BV813" s="2010"/>
      <c r="BW813" s="2010"/>
      <c r="BX813" s="2010"/>
      <c r="BY813" s="2010"/>
      <c r="BZ813" s="2010"/>
      <c r="CA813" s="2010"/>
      <c r="CB813" s="2010"/>
      <c r="CC813" s="2010"/>
      <c r="CD813" s="2010"/>
      <c r="CE813" s="2010"/>
      <c r="CF813" s="2010"/>
      <c r="CG813" s="2010"/>
      <c r="CH813" s="2010"/>
      <c r="CI813" s="2010"/>
      <c r="CJ813" s="2010"/>
      <c r="CK813" s="2010"/>
      <c r="CL813" s="2010"/>
      <c r="CM813" s="2010"/>
      <c r="CN813" s="2010"/>
      <c r="CO813" s="2010"/>
      <c r="CP813" s="2010"/>
      <c r="CQ813" s="2010"/>
      <c r="CR813" s="2010"/>
      <c r="CS813" s="2010"/>
      <c r="CT813" s="2010"/>
      <c r="CU813" s="2010"/>
      <c r="CV813" s="2010"/>
      <c r="CW813" s="2010"/>
      <c r="CX813" s="2010"/>
      <c r="CY813" s="2010"/>
      <c r="CZ813" s="2010"/>
      <c r="DA813" s="2010"/>
      <c r="DB813" s="2010"/>
      <c r="DC813" s="2010"/>
      <c r="DD813" s="2010"/>
      <c r="DE813" s="2010"/>
    </row>
    <row r="814" spans="1:109" s="2014" customFormat="1" x14ac:dyDescent="0.2">
      <c r="A814" s="2013"/>
      <c r="B814" s="2013"/>
      <c r="C814" s="2013"/>
      <c r="D814" s="2013"/>
      <c r="AB814" s="2010"/>
      <c r="AU814" s="2010"/>
      <c r="AV814" s="2010"/>
      <c r="AW814" s="2010"/>
      <c r="AX814" s="2010"/>
      <c r="AY814" s="2010"/>
      <c r="AZ814" s="2010"/>
      <c r="BA814" s="2010"/>
      <c r="BB814" s="2010"/>
      <c r="BC814" s="2010"/>
      <c r="BD814" s="2010"/>
      <c r="BE814" s="2010"/>
      <c r="BF814" s="2010"/>
      <c r="BG814" s="2010"/>
      <c r="BH814" s="2010"/>
      <c r="BI814" s="2010"/>
      <c r="BJ814" s="2010"/>
      <c r="BK814" s="2010"/>
      <c r="BL814" s="2010"/>
      <c r="BM814" s="2010"/>
      <c r="BN814" s="2010"/>
      <c r="BO814" s="2010"/>
      <c r="BP814" s="2010"/>
      <c r="BQ814" s="2010"/>
      <c r="BR814" s="2010"/>
      <c r="BS814" s="2010"/>
      <c r="BT814" s="2010"/>
      <c r="BU814" s="2010"/>
      <c r="BV814" s="2010"/>
      <c r="BW814" s="2010"/>
      <c r="BX814" s="2010"/>
      <c r="BY814" s="2010"/>
      <c r="BZ814" s="2010"/>
      <c r="CA814" s="2010"/>
      <c r="CB814" s="2010"/>
      <c r="CC814" s="2010"/>
      <c r="CD814" s="2010"/>
      <c r="CE814" s="2010"/>
      <c r="CF814" s="2010"/>
      <c r="CG814" s="2010"/>
      <c r="CH814" s="2010"/>
      <c r="CI814" s="2010"/>
      <c r="CJ814" s="2010"/>
      <c r="CK814" s="2010"/>
      <c r="CL814" s="2010"/>
      <c r="CM814" s="2010"/>
      <c r="CN814" s="2010"/>
      <c r="CO814" s="2010"/>
      <c r="CP814" s="2010"/>
      <c r="CQ814" s="2010"/>
      <c r="CR814" s="2010"/>
      <c r="CS814" s="2010"/>
      <c r="CT814" s="2010"/>
      <c r="CU814" s="2010"/>
      <c r="CV814" s="2010"/>
      <c r="CW814" s="2010"/>
      <c r="CX814" s="2010"/>
      <c r="CY814" s="2010"/>
      <c r="CZ814" s="2010"/>
      <c r="DA814" s="2010"/>
      <c r="DB814" s="2010"/>
      <c r="DC814" s="2010"/>
      <c r="DD814" s="2010"/>
      <c r="DE814" s="2010"/>
    </row>
    <row r="815" spans="1:109" s="2014" customFormat="1" x14ac:dyDescent="0.2">
      <c r="A815" s="2013"/>
      <c r="B815" s="2013"/>
      <c r="C815" s="2013"/>
      <c r="D815" s="2013"/>
      <c r="AB815" s="2010"/>
      <c r="AU815" s="2010"/>
      <c r="AV815" s="2010"/>
      <c r="AW815" s="2010"/>
      <c r="AX815" s="2010"/>
      <c r="AY815" s="2010"/>
      <c r="AZ815" s="2010"/>
      <c r="BA815" s="2010"/>
      <c r="BB815" s="2010"/>
      <c r="BC815" s="2010"/>
      <c r="BD815" s="2010"/>
      <c r="BE815" s="2010"/>
      <c r="BF815" s="2010"/>
      <c r="BG815" s="2010"/>
      <c r="BH815" s="2010"/>
      <c r="BI815" s="2010"/>
      <c r="BJ815" s="2010"/>
      <c r="BK815" s="2010"/>
      <c r="BL815" s="2010"/>
      <c r="BM815" s="2010"/>
      <c r="BN815" s="2010"/>
      <c r="BO815" s="2010"/>
      <c r="BP815" s="2010"/>
      <c r="BQ815" s="2010"/>
      <c r="BR815" s="2010"/>
      <c r="BS815" s="2010"/>
      <c r="BT815" s="2010"/>
      <c r="BU815" s="2010"/>
      <c r="BV815" s="2010"/>
      <c r="BW815" s="2010"/>
      <c r="BX815" s="2010"/>
      <c r="BY815" s="2010"/>
      <c r="BZ815" s="2010"/>
      <c r="CA815" s="2010"/>
      <c r="CB815" s="2010"/>
      <c r="CC815" s="2010"/>
      <c r="CD815" s="2010"/>
      <c r="CE815" s="2010"/>
      <c r="CF815" s="2010"/>
      <c r="CG815" s="2010"/>
      <c r="CH815" s="2010"/>
      <c r="CI815" s="2010"/>
      <c r="CJ815" s="2010"/>
      <c r="CK815" s="2010"/>
      <c r="CL815" s="2010"/>
      <c r="CM815" s="2010"/>
      <c r="CN815" s="2010"/>
      <c r="CO815" s="2010"/>
      <c r="CP815" s="2010"/>
      <c r="CQ815" s="2010"/>
      <c r="CR815" s="2010"/>
      <c r="CS815" s="2010"/>
      <c r="CT815" s="2010"/>
      <c r="CU815" s="2010"/>
      <c r="CV815" s="2010"/>
      <c r="CW815" s="2010"/>
      <c r="CX815" s="2010"/>
      <c r="CY815" s="2010"/>
      <c r="CZ815" s="2010"/>
      <c r="DA815" s="2010"/>
      <c r="DB815" s="2010"/>
      <c r="DC815" s="2010"/>
      <c r="DD815" s="2010"/>
      <c r="DE815" s="2010"/>
    </row>
    <row r="816" spans="1:109" s="2014" customFormat="1" x14ac:dyDescent="0.2">
      <c r="A816" s="2013"/>
      <c r="B816" s="2013"/>
      <c r="C816" s="2013"/>
      <c r="D816" s="2013"/>
      <c r="AB816" s="2010"/>
      <c r="AU816" s="2010"/>
      <c r="AV816" s="2010"/>
      <c r="AW816" s="2010"/>
      <c r="AX816" s="2010"/>
      <c r="AY816" s="2010"/>
      <c r="AZ816" s="2010"/>
      <c r="BA816" s="2010"/>
      <c r="BB816" s="2010"/>
      <c r="BC816" s="2010"/>
      <c r="BD816" s="2010"/>
      <c r="BE816" s="2010"/>
      <c r="BF816" s="2010"/>
      <c r="BG816" s="2010"/>
      <c r="BH816" s="2010"/>
      <c r="BI816" s="2010"/>
      <c r="BJ816" s="2010"/>
      <c r="BK816" s="2010"/>
      <c r="BL816" s="2010"/>
      <c r="BM816" s="2010"/>
      <c r="BN816" s="2010"/>
      <c r="BO816" s="2010"/>
      <c r="BP816" s="2010"/>
      <c r="BQ816" s="2010"/>
      <c r="BR816" s="2010"/>
      <c r="BS816" s="2010"/>
      <c r="BT816" s="2010"/>
      <c r="BU816" s="2010"/>
      <c r="BV816" s="2010"/>
      <c r="BW816" s="2010"/>
      <c r="BX816" s="2010"/>
      <c r="BY816" s="2010"/>
      <c r="BZ816" s="2010"/>
      <c r="CA816" s="2010"/>
      <c r="CB816" s="2010"/>
      <c r="CC816" s="2010"/>
      <c r="CD816" s="2010"/>
      <c r="CE816" s="2010"/>
      <c r="CF816" s="2010"/>
      <c r="CG816" s="2010"/>
      <c r="CH816" s="2010"/>
      <c r="CI816" s="2010"/>
      <c r="CJ816" s="2010"/>
      <c r="CK816" s="2010"/>
      <c r="CL816" s="2010"/>
      <c r="CM816" s="2010"/>
      <c r="CN816" s="2010"/>
      <c r="CO816" s="2010"/>
      <c r="CP816" s="2010"/>
      <c r="CQ816" s="2010"/>
      <c r="CR816" s="2010"/>
      <c r="CS816" s="2010"/>
      <c r="CT816" s="2010"/>
      <c r="CU816" s="2010"/>
      <c r="CV816" s="2010"/>
      <c r="CW816" s="2010"/>
      <c r="CX816" s="2010"/>
      <c r="CY816" s="2010"/>
      <c r="CZ816" s="2010"/>
      <c r="DA816" s="2010"/>
      <c r="DB816" s="2010"/>
      <c r="DC816" s="2010"/>
      <c r="DD816" s="2010"/>
      <c r="DE816" s="2010"/>
    </row>
    <row r="817" spans="1:109" s="2014" customFormat="1" x14ac:dyDescent="0.2">
      <c r="A817" s="2013"/>
      <c r="B817" s="2013"/>
      <c r="C817" s="2013"/>
      <c r="D817" s="2013"/>
      <c r="AB817" s="2010"/>
      <c r="AU817" s="2010"/>
      <c r="AV817" s="2010"/>
      <c r="AW817" s="2010"/>
      <c r="AX817" s="2010"/>
      <c r="AY817" s="2010"/>
      <c r="AZ817" s="2010"/>
      <c r="BA817" s="2010"/>
      <c r="BB817" s="2010"/>
      <c r="BC817" s="2010"/>
      <c r="BD817" s="2010"/>
      <c r="BE817" s="2010"/>
      <c r="BF817" s="2010"/>
      <c r="BG817" s="2010"/>
      <c r="BH817" s="2010"/>
      <c r="BI817" s="2010"/>
      <c r="BJ817" s="2010"/>
      <c r="BK817" s="2010"/>
      <c r="BL817" s="2010"/>
      <c r="BM817" s="2010"/>
      <c r="BN817" s="2010"/>
      <c r="BO817" s="2010"/>
      <c r="BP817" s="2010"/>
      <c r="BQ817" s="2010"/>
      <c r="BR817" s="2010"/>
      <c r="BS817" s="2010"/>
      <c r="BT817" s="2010"/>
      <c r="BU817" s="2010"/>
      <c r="BV817" s="2010"/>
      <c r="BW817" s="2010"/>
      <c r="BX817" s="2010"/>
      <c r="BY817" s="2010"/>
      <c r="BZ817" s="2010"/>
      <c r="CA817" s="2010"/>
      <c r="CB817" s="2010"/>
      <c r="CC817" s="2010"/>
      <c r="CD817" s="2010"/>
      <c r="CE817" s="2010"/>
      <c r="CF817" s="2010"/>
      <c r="CG817" s="2010"/>
      <c r="CH817" s="2010"/>
      <c r="CI817" s="2010"/>
      <c r="CJ817" s="2010"/>
      <c r="CK817" s="2010"/>
      <c r="CL817" s="2010"/>
      <c r="CM817" s="2010"/>
      <c r="CN817" s="2010"/>
      <c r="CO817" s="2010"/>
      <c r="CP817" s="2010"/>
      <c r="CQ817" s="2010"/>
      <c r="CR817" s="2010"/>
      <c r="CS817" s="2010"/>
      <c r="CT817" s="2010"/>
      <c r="CU817" s="2010"/>
      <c r="CV817" s="2010"/>
      <c r="CW817" s="2010"/>
      <c r="CX817" s="2010"/>
      <c r="CY817" s="2010"/>
      <c r="CZ817" s="2010"/>
      <c r="DA817" s="2010"/>
      <c r="DB817" s="2010"/>
      <c r="DC817" s="2010"/>
      <c r="DD817" s="2010"/>
      <c r="DE817" s="2010"/>
    </row>
    <row r="818" spans="1:109" s="2014" customFormat="1" x14ac:dyDescent="0.2">
      <c r="A818" s="2013"/>
      <c r="B818" s="2013"/>
      <c r="C818" s="2013"/>
      <c r="D818" s="2013"/>
      <c r="AB818" s="2010"/>
      <c r="AU818" s="2010"/>
      <c r="AV818" s="2010"/>
      <c r="AW818" s="2010"/>
      <c r="AX818" s="2010"/>
      <c r="AY818" s="2010"/>
      <c r="AZ818" s="2010"/>
      <c r="BA818" s="2010"/>
      <c r="BB818" s="2010"/>
      <c r="BC818" s="2010"/>
      <c r="BD818" s="2010"/>
      <c r="BE818" s="2010"/>
      <c r="BF818" s="2010"/>
      <c r="BG818" s="2010"/>
      <c r="BH818" s="2010"/>
      <c r="BI818" s="2010"/>
      <c r="BJ818" s="2010"/>
      <c r="BK818" s="2010"/>
      <c r="BL818" s="2010"/>
      <c r="BM818" s="2010"/>
      <c r="BN818" s="2010"/>
      <c r="BO818" s="2010"/>
      <c r="BP818" s="2010"/>
      <c r="BQ818" s="2010"/>
      <c r="BR818" s="2010"/>
      <c r="BS818" s="2010"/>
      <c r="BT818" s="2010"/>
      <c r="BU818" s="2010"/>
      <c r="BV818" s="2010"/>
      <c r="BW818" s="2010"/>
      <c r="BX818" s="2010"/>
      <c r="BY818" s="2010"/>
      <c r="BZ818" s="2010"/>
      <c r="CA818" s="2010"/>
      <c r="CB818" s="2010"/>
      <c r="CC818" s="2010"/>
      <c r="CD818" s="2010"/>
      <c r="CE818" s="2010"/>
      <c r="CF818" s="2010"/>
      <c r="CG818" s="2010"/>
      <c r="CH818" s="2010"/>
      <c r="CI818" s="2010"/>
      <c r="CJ818" s="2010"/>
      <c r="CK818" s="2010"/>
      <c r="CL818" s="2010"/>
      <c r="CM818" s="2010"/>
      <c r="CN818" s="2010"/>
      <c r="CO818" s="2010"/>
      <c r="CP818" s="2010"/>
      <c r="CQ818" s="2010"/>
      <c r="CR818" s="2010"/>
      <c r="CS818" s="2010"/>
      <c r="CT818" s="2010"/>
      <c r="CU818" s="2010"/>
      <c r="CV818" s="2010"/>
      <c r="CW818" s="2010"/>
      <c r="CX818" s="2010"/>
      <c r="CY818" s="2010"/>
      <c r="CZ818" s="2010"/>
      <c r="DA818" s="2010"/>
      <c r="DB818" s="2010"/>
      <c r="DC818" s="2010"/>
      <c r="DD818" s="2010"/>
      <c r="DE818" s="2010"/>
    </row>
    <row r="819" spans="1:109" s="2014" customFormat="1" x14ac:dyDescent="0.2">
      <c r="A819" s="2013"/>
      <c r="B819" s="2013"/>
      <c r="C819" s="2013"/>
      <c r="D819" s="2013"/>
      <c r="AB819" s="2010"/>
      <c r="AU819" s="2010"/>
      <c r="AV819" s="2010"/>
      <c r="AW819" s="2010"/>
      <c r="AX819" s="2010"/>
      <c r="AY819" s="2010"/>
      <c r="AZ819" s="2010"/>
      <c r="BA819" s="2010"/>
      <c r="BB819" s="2010"/>
      <c r="BC819" s="2010"/>
      <c r="BD819" s="2010"/>
      <c r="BE819" s="2010"/>
      <c r="BF819" s="2010"/>
      <c r="BG819" s="2010"/>
      <c r="BH819" s="2010"/>
      <c r="BI819" s="2010"/>
      <c r="BJ819" s="2010"/>
      <c r="BK819" s="2010"/>
      <c r="BL819" s="2010"/>
      <c r="BM819" s="2010"/>
      <c r="BN819" s="2010"/>
      <c r="BO819" s="2010"/>
      <c r="BP819" s="2010"/>
      <c r="BQ819" s="2010"/>
      <c r="BR819" s="2010"/>
      <c r="BS819" s="2010"/>
      <c r="BT819" s="2010"/>
      <c r="BU819" s="2010"/>
      <c r="BV819" s="2010"/>
      <c r="BW819" s="2010"/>
      <c r="BX819" s="2010"/>
      <c r="BY819" s="2010"/>
      <c r="BZ819" s="2010"/>
      <c r="CA819" s="2010"/>
      <c r="CB819" s="2010"/>
      <c r="CC819" s="2010"/>
      <c r="CD819" s="2010"/>
      <c r="CE819" s="2010"/>
      <c r="CF819" s="2010"/>
      <c r="CG819" s="2010"/>
      <c r="CH819" s="2010"/>
      <c r="CI819" s="2010"/>
      <c r="CJ819" s="2010"/>
      <c r="CK819" s="2010"/>
      <c r="CL819" s="2010"/>
      <c r="CM819" s="2010"/>
      <c r="CN819" s="2010"/>
      <c r="CO819" s="2010"/>
      <c r="CP819" s="2010"/>
      <c r="CQ819" s="2010"/>
      <c r="CR819" s="2010"/>
      <c r="CS819" s="2010"/>
      <c r="CT819" s="2010"/>
      <c r="CU819" s="2010"/>
      <c r="CV819" s="2010"/>
      <c r="CW819" s="2010"/>
      <c r="CX819" s="2010"/>
      <c r="CY819" s="2010"/>
      <c r="CZ819" s="2010"/>
      <c r="DA819" s="2010"/>
      <c r="DB819" s="2010"/>
      <c r="DC819" s="2010"/>
      <c r="DD819" s="2010"/>
      <c r="DE819" s="2010"/>
    </row>
    <row r="820" spans="1:109" s="2014" customFormat="1" x14ac:dyDescent="0.2">
      <c r="A820" s="2013"/>
      <c r="B820" s="2013"/>
      <c r="C820" s="2013"/>
      <c r="D820" s="2013"/>
      <c r="AB820" s="2010"/>
      <c r="AU820" s="2010"/>
      <c r="AV820" s="2010"/>
      <c r="AW820" s="2010"/>
      <c r="AX820" s="2010"/>
      <c r="AY820" s="2010"/>
      <c r="AZ820" s="2010"/>
      <c r="BA820" s="2010"/>
      <c r="BB820" s="2010"/>
      <c r="BC820" s="2010"/>
      <c r="BD820" s="2010"/>
      <c r="BE820" s="2010"/>
      <c r="BF820" s="2010"/>
      <c r="BG820" s="2010"/>
      <c r="BH820" s="2010"/>
      <c r="BI820" s="2010"/>
      <c r="BJ820" s="2010"/>
      <c r="BK820" s="2010"/>
      <c r="BL820" s="2010"/>
      <c r="BM820" s="2010"/>
      <c r="BN820" s="2010"/>
      <c r="BO820" s="2010"/>
      <c r="BP820" s="2010"/>
      <c r="BQ820" s="2010"/>
      <c r="BR820" s="2010"/>
      <c r="BS820" s="2010"/>
      <c r="BT820" s="2010"/>
      <c r="BU820" s="2010"/>
      <c r="BV820" s="2010"/>
      <c r="BW820" s="2010"/>
      <c r="BX820" s="2010"/>
      <c r="BY820" s="2010"/>
      <c r="BZ820" s="2010"/>
      <c r="CA820" s="2010"/>
      <c r="CB820" s="2010"/>
      <c r="CC820" s="2010"/>
      <c r="CD820" s="2010"/>
      <c r="CE820" s="2010"/>
      <c r="CF820" s="2010"/>
      <c r="CG820" s="2010"/>
      <c r="CH820" s="2010"/>
      <c r="CI820" s="2010"/>
      <c r="CJ820" s="2010"/>
      <c r="CK820" s="2010"/>
      <c r="CL820" s="2010"/>
      <c r="CM820" s="2010"/>
      <c r="CN820" s="2010"/>
      <c r="CO820" s="2010"/>
      <c r="CP820" s="2010"/>
      <c r="CQ820" s="2010"/>
      <c r="CR820" s="2010"/>
      <c r="CS820" s="2010"/>
      <c r="CT820" s="2010"/>
      <c r="CU820" s="2010"/>
      <c r="CV820" s="2010"/>
      <c r="CW820" s="2010"/>
      <c r="CX820" s="2010"/>
      <c r="CY820" s="2010"/>
      <c r="CZ820" s="2010"/>
      <c r="DA820" s="2010"/>
      <c r="DB820" s="2010"/>
      <c r="DC820" s="2010"/>
      <c r="DD820" s="2010"/>
      <c r="DE820" s="2010"/>
    </row>
    <row r="821" spans="1:109" s="2014" customFormat="1" x14ac:dyDescent="0.2">
      <c r="A821" s="2013"/>
      <c r="B821" s="2013"/>
      <c r="C821" s="2013"/>
      <c r="D821" s="2013"/>
      <c r="AB821" s="2010"/>
      <c r="AU821" s="2010"/>
      <c r="AV821" s="2010"/>
      <c r="AW821" s="2010"/>
      <c r="AX821" s="2010"/>
      <c r="AY821" s="2010"/>
      <c r="AZ821" s="2010"/>
      <c r="BA821" s="2010"/>
      <c r="BB821" s="2010"/>
      <c r="BC821" s="2010"/>
      <c r="BD821" s="2010"/>
      <c r="BE821" s="2010"/>
      <c r="BF821" s="2010"/>
      <c r="BG821" s="2010"/>
      <c r="BH821" s="2010"/>
      <c r="BI821" s="2010"/>
      <c r="BJ821" s="2010"/>
      <c r="BK821" s="2010"/>
      <c r="BL821" s="2010"/>
      <c r="BM821" s="2010"/>
      <c r="BN821" s="2010"/>
      <c r="BO821" s="2010"/>
      <c r="BP821" s="2010"/>
      <c r="BQ821" s="2010"/>
      <c r="BR821" s="2010"/>
      <c r="BS821" s="2010"/>
      <c r="BT821" s="2010"/>
      <c r="BU821" s="2010"/>
      <c r="BV821" s="2010"/>
      <c r="BW821" s="2010"/>
      <c r="BX821" s="2010"/>
      <c r="BY821" s="2010"/>
      <c r="BZ821" s="2010"/>
      <c r="CA821" s="2010"/>
      <c r="CB821" s="2010"/>
      <c r="CC821" s="2010"/>
      <c r="CD821" s="2010"/>
      <c r="CE821" s="2010"/>
      <c r="CF821" s="2010"/>
      <c r="CG821" s="2010"/>
      <c r="CH821" s="2010"/>
      <c r="CI821" s="2010"/>
      <c r="CJ821" s="2010"/>
      <c r="CK821" s="2010"/>
      <c r="CL821" s="2010"/>
      <c r="CM821" s="2010"/>
      <c r="CN821" s="2010"/>
      <c r="CO821" s="2010"/>
      <c r="CP821" s="2010"/>
      <c r="CQ821" s="2010"/>
      <c r="CR821" s="2010"/>
      <c r="CS821" s="2010"/>
      <c r="CT821" s="2010"/>
      <c r="CU821" s="2010"/>
      <c r="CV821" s="2010"/>
      <c r="CW821" s="2010"/>
      <c r="CX821" s="2010"/>
      <c r="CY821" s="2010"/>
      <c r="CZ821" s="2010"/>
      <c r="DA821" s="2010"/>
      <c r="DB821" s="2010"/>
      <c r="DC821" s="2010"/>
      <c r="DD821" s="2010"/>
      <c r="DE821" s="2010"/>
    </row>
    <row r="822" spans="1:109" s="2014" customFormat="1" x14ac:dyDescent="0.2">
      <c r="A822" s="2013"/>
      <c r="B822" s="2013"/>
      <c r="C822" s="2013"/>
      <c r="D822" s="2013"/>
      <c r="AB822" s="2010"/>
      <c r="AU822" s="2010"/>
      <c r="AV822" s="2010"/>
      <c r="AW822" s="2010"/>
      <c r="AX822" s="2010"/>
      <c r="AY822" s="2010"/>
      <c r="AZ822" s="2010"/>
      <c r="BA822" s="2010"/>
      <c r="BB822" s="2010"/>
      <c r="BC822" s="2010"/>
      <c r="BD822" s="2010"/>
      <c r="BE822" s="2010"/>
      <c r="BF822" s="2010"/>
      <c r="BG822" s="2010"/>
      <c r="BH822" s="2010"/>
      <c r="BI822" s="2010"/>
      <c r="BJ822" s="2010"/>
      <c r="BK822" s="2010"/>
      <c r="BL822" s="2010"/>
      <c r="BM822" s="2010"/>
      <c r="BN822" s="2010"/>
      <c r="BO822" s="2010"/>
      <c r="BP822" s="2010"/>
      <c r="BQ822" s="2010"/>
      <c r="BR822" s="2010"/>
      <c r="BS822" s="2010"/>
      <c r="BT822" s="2010"/>
      <c r="BU822" s="2010"/>
      <c r="BV822" s="2010"/>
      <c r="BW822" s="2010"/>
      <c r="BX822" s="2010"/>
      <c r="BY822" s="2010"/>
      <c r="BZ822" s="2010"/>
      <c r="CA822" s="2010"/>
      <c r="CB822" s="2010"/>
      <c r="CC822" s="2010"/>
      <c r="CD822" s="2010"/>
      <c r="CE822" s="2010"/>
      <c r="CF822" s="2010"/>
      <c r="CG822" s="2010"/>
      <c r="CH822" s="2010"/>
      <c r="CI822" s="2010"/>
      <c r="CJ822" s="2010"/>
      <c r="CK822" s="2010"/>
      <c r="CL822" s="2010"/>
      <c r="CM822" s="2010"/>
      <c r="CN822" s="2010"/>
      <c r="CO822" s="2010"/>
      <c r="CP822" s="2010"/>
      <c r="CQ822" s="2010"/>
      <c r="CR822" s="2010"/>
      <c r="CS822" s="2010"/>
      <c r="CT822" s="2010"/>
      <c r="CU822" s="2010"/>
      <c r="CV822" s="2010"/>
      <c r="CW822" s="2010"/>
      <c r="CX822" s="2010"/>
      <c r="CY822" s="2010"/>
      <c r="CZ822" s="2010"/>
      <c r="DA822" s="2010"/>
      <c r="DB822" s="2010"/>
      <c r="DC822" s="2010"/>
      <c r="DD822" s="2010"/>
      <c r="DE822" s="2010"/>
    </row>
    <row r="823" spans="1:109" s="2014" customFormat="1" x14ac:dyDescent="0.2">
      <c r="A823" s="2013"/>
      <c r="B823" s="2013"/>
      <c r="C823" s="2013"/>
      <c r="D823" s="2013"/>
      <c r="AB823" s="2010"/>
      <c r="AU823" s="2010"/>
      <c r="AV823" s="2010"/>
      <c r="AW823" s="2010"/>
      <c r="AX823" s="2010"/>
      <c r="AY823" s="2010"/>
      <c r="AZ823" s="2010"/>
      <c r="BA823" s="2010"/>
      <c r="BB823" s="2010"/>
      <c r="BC823" s="2010"/>
      <c r="BD823" s="2010"/>
      <c r="BE823" s="2010"/>
      <c r="BF823" s="2010"/>
      <c r="BG823" s="2010"/>
      <c r="BH823" s="2010"/>
      <c r="BI823" s="2010"/>
      <c r="BJ823" s="2010"/>
      <c r="BK823" s="2010"/>
      <c r="BL823" s="2010"/>
      <c r="BM823" s="2010"/>
      <c r="BN823" s="2010"/>
      <c r="BO823" s="2010"/>
      <c r="BP823" s="2010"/>
      <c r="BQ823" s="2010"/>
      <c r="BR823" s="2010"/>
      <c r="BS823" s="2010"/>
      <c r="BT823" s="2010"/>
      <c r="BU823" s="2010"/>
      <c r="BV823" s="2010"/>
      <c r="BW823" s="2010"/>
      <c r="BX823" s="2010"/>
      <c r="BY823" s="2010"/>
      <c r="BZ823" s="2010"/>
      <c r="CA823" s="2010"/>
      <c r="CB823" s="2010"/>
      <c r="CC823" s="2010"/>
      <c r="CD823" s="2010"/>
      <c r="CE823" s="2010"/>
      <c r="CF823" s="2010"/>
      <c r="CG823" s="2010"/>
      <c r="CH823" s="2010"/>
      <c r="CI823" s="2010"/>
      <c r="CJ823" s="2010"/>
      <c r="CK823" s="2010"/>
      <c r="CL823" s="2010"/>
      <c r="CM823" s="2010"/>
      <c r="CN823" s="2010"/>
      <c r="CO823" s="2010"/>
      <c r="CP823" s="2010"/>
      <c r="CQ823" s="2010"/>
      <c r="CR823" s="2010"/>
      <c r="CS823" s="2010"/>
      <c r="CT823" s="2010"/>
      <c r="CU823" s="2010"/>
      <c r="CV823" s="2010"/>
      <c r="CW823" s="2010"/>
      <c r="CX823" s="2010"/>
      <c r="CY823" s="2010"/>
      <c r="CZ823" s="2010"/>
      <c r="DA823" s="2010"/>
      <c r="DB823" s="2010"/>
      <c r="DC823" s="2010"/>
      <c r="DD823" s="2010"/>
      <c r="DE823" s="2010"/>
    </row>
    <row r="824" spans="1:109" s="2014" customFormat="1" x14ac:dyDescent="0.2">
      <c r="A824" s="2013"/>
      <c r="B824" s="2013"/>
      <c r="C824" s="2013"/>
      <c r="D824" s="2013"/>
      <c r="AB824" s="2010"/>
      <c r="AU824" s="2010"/>
      <c r="AV824" s="2010"/>
      <c r="AW824" s="2010"/>
      <c r="AX824" s="2010"/>
      <c r="AY824" s="2010"/>
      <c r="AZ824" s="2010"/>
      <c r="BA824" s="2010"/>
      <c r="BB824" s="2010"/>
      <c r="BC824" s="2010"/>
      <c r="BD824" s="2010"/>
      <c r="BE824" s="2010"/>
      <c r="BF824" s="2010"/>
      <c r="BG824" s="2010"/>
      <c r="BH824" s="2010"/>
      <c r="BI824" s="2010"/>
      <c r="BJ824" s="2010"/>
      <c r="BK824" s="2010"/>
      <c r="BL824" s="2010"/>
      <c r="BM824" s="2010"/>
      <c r="BN824" s="2010"/>
      <c r="BO824" s="2010"/>
      <c r="BP824" s="2010"/>
      <c r="BQ824" s="2010"/>
      <c r="BR824" s="2010"/>
      <c r="BS824" s="2010"/>
      <c r="BT824" s="2010"/>
      <c r="BU824" s="2010"/>
      <c r="BV824" s="2010"/>
      <c r="BW824" s="2010"/>
      <c r="BX824" s="2010"/>
      <c r="BY824" s="2010"/>
      <c r="BZ824" s="2010"/>
      <c r="CA824" s="2010"/>
      <c r="CB824" s="2010"/>
      <c r="CC824" s="2010"/>
      <c r="CD824" s="2010"/>
      <c r="CE824" s="2010"/>
      <c r="CF824" s="2010"/>
      <c r="CG824" s="2010"/>
      <c r="CH824" s="2010"/>
      <c r="CI824" s="2010"/>
      <c r="CJ824" s="2010"/>
      <c r="CK824" s="2010"/>
      <c r="CL824" s="2010"/>
      <c r="CM824" s="2010"/>
      <c r="CN824" s="2010"/>
      <c r="CO824" s="2010"/>
      <c r="CP824" s="2010"/>
      <c r="CQ824" s="2010"/>
      <c r="CR824" s="2010"/>
      <c r="CS824" s="2010"/>
      <c r="CT824" s="2010"/>
      <c r="CU824" s="2010"/>
      <c r="CV824" s="2010"/>
      <c r="CW824" s="2010"/>
      <c r="CX824" s="2010"/>
      <c r="CY824" s="2010"/>
      <c r="CZ824" s="2010"/>
      <c r="DA824" s="2010"/>
      <c r="DB824" s="2010"/>
      <c r="DC824" s="2010"/>
      <c r="DD824" s="2010"/>
      <c r="DE824" s="2010"/>
    </row>
    <row r="825" spans="1:109" s="2014" customFormat="1" x14ac:dyDescent="0.2">
      <c r="A825" s="2013"/>
      <c r="B825" s="2013"/>
      <c r="C825" s="2013"/>
      <c r="D825" s="2013"/>
      <c r="AB825" s="2010"/>
      <c r="AU825" s="2010"/>
      <c r="AV825" s="2010"/>
      <c r="AW825" s="2010"/>
      <c r="AX825" s="2010"/>
      <c r="AY825" s="2010"/>
      <c r="AZ825" s="2010"/>
      <c r="BA825" s="2010"/>
      <c r="BB825" s="2010"/>
      <c r="BC825" s="2010"/>
      <c r="BD825" s="2010"/>
      <c r="BE825" s="2010"/>
      <c r="BF825" s="2010"/>
      <c r="BG825" s="2010"/>
      <c r="BH825" s="2010"/>
      <c r="BI825" s="2010"/>
      <c r="BJ825" s="2010"/>
      <c r="BK825" s="2010"/>
      <c r="BL825" s="2010"/>
      <c r="BM825" s="2010"/>
      <c r="BN825" s="2010"/>
      <c r="BO825" s="2010"/>
      <c r="BP825" s="2010"/>
      <c r="BQ825" s="2010"/>
      <c r="BR825" s="2010"/>
      <c r="BS825" s="2010"/>
      <c r="BT825" s="2010"/>
      <c r="BU825" s="2010"/>
      <c r="BV825" s="2010"/>
      <c r="BW825" s="2010"/>
      <c r="BX825" s="2010"/>
      <c r="BY825" s="2010"/>
      <c r="BZ825" s="2010"/>
      <c r="CA825" s="2010"/>
      <c r="CB825" s="2010"/>
      <c r="CC825" s="2010"/>
      <c r="CD825" s="2010"/>
      <c r="CE825" s="2010"/>
      <c r="CF825" s="2010"/>
      <c r="CG825" s="2010"/>
      <c r="CH825" s="2010"/>
      <c r="CI825" s="2010"/>
      <c r="CJ825" s="2010"/>
      <c r="CK825" s="2010"/>
      <c r="CL825" s="2010"/>
      <c r="CM825" s="2010"/>
      <c r="CN825" s="2010"/>
      <c r="CO825" s="2010"/>
      <c r="CP825" s="2010"/>
      <c r="CQ825" s="2010"/>
      <c r="CR825" s="2010"/>
      <c r="CS825" s="2010"/>
      <c r="CT825" s="2010"/>
      <c r="CU825" s="2010"/>
      <c r="CV825" s="2010"/>
      <c r="CW825" s="2010"/>
      <c r="CX825" s="2010"/>
      <c r="CY825" s="2010"/>
      <c r="CZ825" s="2010"/>
      <c r="DA825" s="2010"/>
      <c r="DB825" s="2010"/>
      <c r="DC825" s="2010"/>
      <c r="DD825" s="2010"/>
      <c r="DE825" s="2010"/>
    </row>
    <row r="826" spans="1:109" s="2014" customFormat="1" x14ac:dyDescent="0.2">
      <c r="A826" s="2013"/>
      <c r="B826" s="2013"/>
      <c r="C826" s="2013"/>
      <c r="D826" s="2013"/>
      <c r="AB826" s="2010"/>
      <c r="AU826" s="2010"/>
      <c r="AV826" s="2010"/>
      <c r="AW826" s="2010"/>
      <c r="AX826" s="2010"/>
      <c r="AY826" s="2010"/>
      <c r="AZ826" s="2010"/>
      <c r="BA826" s="2010"/>
      <c r="BB826" s="2010"/>
      <c r="BC826" s="2010"/>
      <c r="BD826" s="2010"/>
      <c r="BE826" s="2010"/>
      <c r="BF826" s="2010"/>
      <c r="BG826" s="2010"/>
      <c r="BH826" s="2010"/>
      <c r="BI826" s="2010"/>
      <c r="BJ826" s="2010"/>
      <c r="BK826" s="2010"/>
      <c r="BL826" s="2010"/>
      <c r="BM826" s="2010"/>
      <c r="BN826" s="2010"/>
      <c r="BO826" s="2010"/>
      <c r="BP826" s="2010"/>
      <c r="BQ826" s="2010"/>
      <c r="BR826" s="2010"/>
      <c r="BS826" s="2010"/>
      <c r="BT826" s="2010"/>
      <c r="BU826" s="2010"/>
      <c r="BV826" s="2010"/>
      <c r="BW826" s="2010"/>
      <c r="BX826" s="2010"/>
      <c r="BY826" s="2010"/>
      <c r="BZ826" s="2010"/>
      <c r="CA826" s="2010"/>
      <c r="CB826" s="2010"/>
      <c r="CC826" s="2010"/>
      <c r="CD826" s="2010"/>
      <c r="CE826" s="2010"/>
      <c r="CF826" s="2010"/>
      <c r="CG826" s="2010"/>
      <c r="CH826" s="2010"/>
      <c r="CI826" s="2010"/>
      <c r="CJ826" s="2010"/>
      <c r="CK826" s="2010"/>
      <c r="CL826" s="2010"/>
      <c r="CM826" s="2010"/>
      <c r="CN826" s="2010"/>
      <c r="CO826" s="2010"/>
      <c r="CP826" s="2010"/>
      <c r="CQ826" s="2010"/>
      <c r="CR826" s="2010"/>
      <c r="CS826" s="2010"/>
      <c r="CT826" s="2010"/>
      <c r="CU826" s="2010"/>
      <c r="CV826" s="2010"/>
      <c r="CW826" s="2010"/>
      <c r="CX826" s="2010"/>
      <c r="CY826" s="2010"/>
      <c r="CZ826" s="2010"/>
      <c r="DA826" s="2010"/>
      <c r="DB826" s="2010"/>
      <c r="DC826" s="2010"/>
      <c r="DD826" s="2010"/>
      <c r="DE826" s="2010"/>
    </row>
    <row r="827" spans="1:109" s="2014" customFormat="1" x14ac:dyDescent="0.2">
      <c r="A827" s="2013"/>
      <c r="B827" s="2013"/>
      <c r="C827" s="2013"/>
      <c r="D827" s="2013"/>
      <c r="AB827" s="2010"/>
      <c r="AU827" s="2010"/>
      <c r="AV827" s="2010"/>
      <c r="AW827" s="2010"/>
      <c r="AX827" s="2010"/>
      <c r="AY827" s="2010"/>
      <c r="AZ827" s="2010"/>
      <c r="BA827" s="2010"/>
      <c r="BB827" s="2010"/>
      <c r="BC827" s="2010"/>
      <c r="BD827" s="2010"/>
      <c r="BE827" s="2010"/>
      <c r="BF827" s="2010"/>
      <c r="BG827" s="2010"/>
      <c r="BH827" s="2010"/>
      <c r="BI827" s="2010"/>
      <c r="BJ827" s="2010"/>
      <c r="BK827" s="2010"/>
      <c r="BL827" s="2010"/>
      <c r="BM827" s="2010"/>
      <c r="BN827" s="2010"/>
      <c r="BO827" s="2010"/>
      <c r="BP827" s="2010"/>
      <c r="BQ827" s="2010"/>
      <c r="BR827" s="2010"/>
      <c r="BS827" s="2010"/>
      <c r="BT827" s="2010"/>
      <c r="BU827" s="2010"/>
      <c r="BV827" s="2010"/>
      <c r="BW827" s="2010"/>
      <c r="BX827" s="2010"/>
      <c r="BY827" s="2010"/>
      <c r="BZ827" s="2010"/>
      <c r="CA827" s="2010"/>
      <c r="CB827" s="2010"/>
      <c r="CC827" s="2010"/>
      <c r="CD827" s="2010"/>
      <c r="CE827" s="2010"/>
      <c r="CF827" s="2010"/>
      <c r="CG827" s="2010"/>
      <c r="CH827" s="2010"/>
      <c r="CI827" s="2010"/>
      <c r="CJ827" s="2010"/>
      <c r="CK827" s="2010"/>
      <c r="CL827" s="2010"/>
      <c r="CM827" s="2010"/>
      <c r="CN827" s="2010"/>
      <c r="CO827" s="2010"/>
      <c r="CP827" s="2010"/>
      <c r="CQ827" s="2010"/>
      <c r="CR827" s="2010"/>
      <c r="CS827" s="2010"/>
      <c r="CT827" s="2010"/>
      <c r="CU827" s="2010"/>
      <c r="CV827" s="2010"/>
      <c r="CW827" s="2010"/>
      <c r="CX827" s="2010"/>
      <c r="CY827" s="2010"/>
      <c r="CZ827" s="2010"/>
      <c r="DA827" s="2010"/>
      <c r="DB827" s="2010"/>
      <c r="DC827" s="2010"/>
      <c r="DD827" s="2010"/>
      <c r="DE827" s="2010"/>
    </row>
    <row r="828" spans="1:109" s="2014" customFormat="1" x14ac:dyDescent="0.2">
      <c r="A828" s="2013"/>
      <c r="B828" s="2013"/>
      <c r="C828" s="2013"/>
      <c r="D828" s="2013"/>
      <c r="AB828" s="2010"/>
      <c r="AU828" s="2010"/>
      <c r="AV828" s="2010"/>
      <c r="AW828" s="2010"/>
      <c r="AX828" s="2010"/>
      <c r="AY828" s="2010"/>
      <c r="AZ828" s="2010"/>
      <c r="BA828" s="2010"/>
      <c r="BB828" s="2010"/>
      <c r="BC828" s="2010"/>
      <c r="BD828" s="2010"/>
      <c r="BE828" s="2010"/>
      <c r="BF828" s="2010"/>
      <c r="BG828" s="2010"/>
      <c r="BH828" s="2010"/>
      <c r="BI828" s="2010"/>
      <c r="BJ828" s="2010"/>
      <c r="BK828" s="2010"/>
      <c r="BL828" s="2010"/>
      <c r="BM828" s="2010"/>
      <c r="BN828" s="2010"/>
      <c r="BO828" s="2010"/>
      <c r="BP828" s="2010"/>
      <c r="BQ828" s="2010"/>
      <c r="BR828" s="2010"/>
      <c r="BS828" s="2010"/>
      <c r="BT828" s="2010"/>
      <c r="BU828" s="2010"/>
      <c r="BV828" s="2010"/>
      <c r="BW828" s="2010"/>
      <c r="BX828" s="2010"/>
      <c r="BY828" s="2010"/>
      <c r="BZ828" s="2010"/>
      <c r="CA828" s="2010"/>
      <c r="CB828" s="2010"/>
      <c r="CC828" s="2010"/>
      <c r="CD828" s="2010"/>
      <c r="CE828" s="2010"/>
      <c r="CF828" s="2010"/>
      <c r="CG828" s="2010"/>
      <c r="CH828" s="2010"/>
      <c r="CI828" s="2010"/>
      <c r="CJ828" s="2010"/>
      <c r="CK828" s="2010"/>
      <c r="CL828" s="2010"/>
      <c r="CM828" s="2010"/>
      <c r="CN828" s="2010"/>
      <c r="CO828" s="2010"/>
      <c r="CP828" s="2010"/>
      <c r="CQ828" s="2010"/>
      <c r="CR828" s="2010"/>
      <c r="CS828" s="2010"/>
      <c r="CT828" s="2010"/>
      <c r="CU828" s="2010"/>
      <c r="CV828" s="2010"/>
      <c r="CW828" s="2010"/>
      <c r="CX828" s="2010"/>
      <c r="CY828" s="2010"/>
      <c r="CZ828" s="2010"/>
      <c r="DA828" s="2010"/>
      <c r="DB828" s="2010"/>
      <c r="DC828" s="2010"/>
      <c r="DD828" s="2010"/>
      <c r="DE828" s="2010"/>
    </row>
    <row r="829" spans="1:109" s="2014" customFormat="1" x14ac:dyDescent="0.2">
      <c r="A829" s="2013"/>
      <c r="B829" s="2013"/>
      <c r="C829" s="2013"/>
      <c r="D829" s="2013"/>
      <c r="AB829" s="2010"/>
      <c r="AU829" s="2010"/>
      <c r="AV829" s="2010"/>
      <c r="AW829" s="2010"/>
      <c r="AX829" s="2010"/>
      <c r="AY829" s="2010"/>
      <c r="AZ829" s="2010"/>
      <c r="BA829" s="2010"/>
      <c r="BB829" s="2010"/>
      <c r="BC829" s="2010"/>
      <c r="BD829" s="2010"/>
      <c r="BE829" s="2010"/>
      <c r="BF829" s="2010"/>
      <c r="BG829" s="2010"/>
      <c r="BH829" s="2010"/>
      <c r="BI829" s="2010"/>
      <c r="BJ829" s="2010"/>
      <c r="BK829" s="2010"/>
      <c r="BL829" s="2010"/>
      <c r="BM829" s="2010"/>
      <c r="BN829" s="2010"/>
      <c r="BO829" s="2010"/>
      <c r="BP829" s="2010"/>
      <c r="BQ829" s="2010"/>
      <c r="BR829" s="2010"/>
      <c r="BS829" s="2010"/>
      <c r="BT829" s="2010"/>
      <c r="BU829" s="2010"/>
      <c r="BV829" s="2010"/>
      <c r="BW829" s="2010"/>
      <c r="BX829" s="2010"/>
      <c r="BY829" s="2010"/>
      <c r="BZ829" s="2010"/>
      <c r="CA829" s="2010"/>
      <c r="CB829" s="2010"/>
      <c r="CC829" s="2010"/>
      <c r="CD829" s="2010"/>
      <c r="CE829" s="2010"/>
      <c r="CF829" s="2010"/>
      <c r="CG829" s="2010"/>
      <c r="CH829" s="2010"/>
      <c r="CI829" s="2010"/>
      <c r="CJ829" s="2010"/>
      <c r="CK829" s="2010"/>
      <c r="CL829" s="2010"/>
      <c r="CM829" s="2010"/>
      <c r="CN829" s="2010"/>
      <c r="CO829" s="2010"/>
      <c r="CP829" s="2010"/>
      <c r="CQ829" s="2010"/>
      <c r="CR829" s="2010"/>
      <c r="CS829" s="2010"/>
      <c r="CT829" s="2010"/>
      <c r="CU829" s="2010"/>
      <c r="CV829" s="2010"/>
      <c r="CW829" s="2010"/>
      <c r="CX829" s="2010"/>
      <c r="CY829" s="2010"/>
      <c r="CZ829" s="2010"/>
      <c r="DA829" s="2010"/>
      <c r="DB829" s="2010"/>
      <c r="DC829" s="2010"/>
      <c r="DD829" s="2010"/>
      <c r="DE829" s="2010"/>
    </row>
    <row r="830" spans="1:109" s="2014" customFormat="1" x14ac:dyDescent="0.2">
      <c r="A830" s="2013"/>
      <c r="B830" s="2013"/>
      <c r="C830" s="2013"/>
      <c r="D830" s="2013"/>
      <c r="AB830" s="2010"/>
      <c r="AU830" s="2010"/>
      <c r="AV830" s="2010"/>
      <c r="AW830" s="2010"/>
      <c r="AX830" s="2010"/>
      <c r="AY830" s="2010"/>
      <c r="AZ830" s="2010"/>
      <c r="BA830" s="2010"/>
      <c r="BB830" s="2010"/>
      <c r="BC830" s="2010"/>
      <c r="BD830" s="2010"/>
      <c r="BE830" s="2010"/>
      <c r="BF830" s="2010"/>
      <c r="BG830" s="2010"/>
      <c r="BH830" s="2010"/>
      <c r="BI830" s="2010"/>
      <c r="BJ830" s="2010"/>
      <c r="BK830" s="2010"/>
      <c r="BL830" s="2010"/>
      <c r="BM830" s="2010"/>
      <c r="BN830" s="2010"/>
      <c r="BO830" s="2010"/>
      <c r="BP830" s="2010"/>
      <c r="BQ830" s="2010"/>
      <c r="BR830" s="2010"/>
      <c r="BS830" s="2010"/>
      <c r="BT830" s="2010"/>
      <c r="BU830" s="2010"/>
      <c r="BV830" s="2010"/>
      <c r="BW830" s="2010"/>
      <c r="BX830" s="2010"/>
      <c r="BY830" s="2010"/>
      <c r="BZ830" s="2010"/>
      <c r="CA830" s="2010"/>
      <c r="CB830" s="2010"/>
      <c r="CC830" s="2010"/>
      <c r="CD830" s="2010"/>
      <c r="CE830" s="2010"/>
      <c r="CF830" s="2010"/>
      <c r="CG830" s="2010"/>
      <c r="CH830" s="2010"/>
      <c r="CI830" s="2010"/>
      <c r="CJ830" s="2010"/>
      <c r="CK830" s="2010"/>
      <c r="CL830" s="2010"/>
      <c r="CM830" s="2010"/>
      <c r="CN830" s="2010"/>
      <c r="CO830" s="2010"/>
      <c r="CP830" s="2010"/>
      <c r="CQ830" s="2010"/>
      <c r="CR830" s="2010"/>
      <c r="CS830" s="2010"/>
      <c r="CT830" s="2010"/>
      <c r="CU830" s="2010"/>
      <c r="CV830" s="2010"/>
      <c r="CW830" s="2010"/>
      <c r="CX830" s="2010"/>
      <c r="CY830" s="2010"/>
      <c r="CZ830" s="2010"/>
      <c r="DA830" s="2010"/>
      <c r="DB830" s="2010"/>
      <c r="DC830" s="2010"/>
      <c r="DD830" s="2010"/>
      <c r="DE830" s="2010"/>
    </row>
    <row r="831" spans="1:109" s="2014" customFormat="1" x14ac:dyDescent="0.2">
      <c r="A831" s="2013"/>
      <c r="B831" s="2013"/>
      <c r="C831" s="2013"/>
      <c r="D831" s="2013"/>
      <c r="AB831" s="2010"/>
      <c r="AU831" s="2010"/>
      <c r="AV831" s="2010"/>
      <c r="AW831" s="2010"/>
      <c r="AX831" s="2010"/>
      <c r="AY831" s="2010"/>
      <c r="AZ831" s="2010"/>
      <c r="BA831" s="2010"/>
      <c r="BB831" s="2010"/>
      <c r="BC831" s="2010"/>
      <c r="BD831" s="2010"/>
      <c r="BE831" s="2010"/>
      <c r="BF831" s="2010"/>
      <c r="BG831" s="2010"/>
      <c r="BH831" s="2010"/>
      <c r="BI831" s="2010"/>
      <c r="BJ831" s="2010"/>
      <c r="BK831" s="2010"/>
      <c r="BL831" s="2010"/>
      <c r="BM831" s="2010"/>
      <c r="BN831" s="2010"/>
      <c r="BO831" s="2010"/>
      <c r="BP831" s="2010"/>
      <c r="BQ831" s="2010"/>
      <c r="BR831" s="2010"/>
      <c r="BS831" s="2010"/>
      <c r="BT831" s="2010"/>
      <c r="BU831" s="2010"/>
      <c r="BV831" s="2010"/>
      <c r="BW831" s="2010"/>
      <c r="BX831" s="2010"/>
      <c r="BY831" s="2010"/>
      <c r="BZ831" s="2010"/>
      <c r="CA831" s="2010"/>
      <c r="CB831" s="2010"/>
      <c r="CC831" s="2010"/>
      <c r="CD831" s="2010"/>
      <c r="CE831" s="2010"/>
      <c r="CF831" s="2010"/>
      <c r="CG831" s="2010"/>
      <c r="CH831" s="2010"/>
      <c r="CI831" s="2010"/>
      <c r="CJ831" s="2010"/>
      <c r="CK831" s="2010"/>
      <c r="CL831" s="2010"/>
      <c r="CM831" s="2010"/>
      <c r="CN831" s="2010"/>
      <c r="CO831" s="2010"/>
      <c r="CP831" s="2010"/>
      <c r="CQ831" s="2010"/>
      <c r="CR831" s="2010"/>
      <c r="CS831" s="2010"/>
      <c r="CT831" s="2010"/>
      <c r="CU831" s="2010"/>
      <c r="CV831" s="2010"/>
      <c r="CW831" s="2010"/>
      <c r="CX831" s="2010"/>
      <c r="CY831" s="2010"/>
      <c r="CZ831" s="2010"/>
      <c r="DA831" s="2010"/>
      <c r="DB831" s="2010"/>
      <c r="DC831" s="2010"/>
      <c r="DD831" s="2010"/>
      <c r="DE831" s="2010"/>
    </row>
    <row r="832" spans="1:109" s="2014" customFormat="1" x14ac:dyDescent="0.2">
      <c r="A832" s="2013"/>
      <c r="B832" s="2013"/>
      <c r="C832" s="2013"/>
      <c r="D832" s="2013"/>
      <c r="AB832" s="2010"/>
      <c r="AU832" s="2010"/>
      <c r="AV832" s="2010"/>
      <c r="AW832" s="2010"/>
      <c r="AX832" s="2010"/>
      <c r="AY832" s="2010"/>
      <c r="AZ832" s="2010"/>
      <c r="BA832" s="2010"/>
      <c r="BB832" s="2010"/>
      <c r="BC832" s="2010"/>
      <c r="BD832" s="2010"/>
      <c r="BE832" s="2010"/>
      <c r="BF832" s="2010"/>
      <c r="BG832" s="2010"/>
      <c r="BH832" s="2010"/>
      <c r="BI832" s="2010"/>
      <c r="BJ832" s="2010"/>
      <c r="BK832" s="2010"/>
      <c r="BL832" s="2010"/>
      <c r="BM832" s="2010"/>
      <c r="BN832" s="2010"/>
      <c r="BO832" s="2010"/>
      <c r="BP832" s="2010"/>
      <c r="BQ832" s="2010"/>
      <c r="BR832" s="2010"/>
      <c r="BS832" s="2010"/>
      <c r="BT832" s="2010"/>
      <c r="BU832" s="2010"/>
      <c r="BV832" s="2010"/>
      <c r="BW832" s="2010"/>
      <c r="BX832" s="2010"/>
      <c r="BY832" s="2010"/>
      <c r="BZ832" s="2010"/>
      <c r="CA832" s="2010"/>
      <c r="CB832" s="2010"/>
      <c r="CC832" s="2010"/>
      <c r="CD832" s="2010"/>
      <c r="CE832" s="2010"/>
      <c r="CF832" s="2010"/>
      <c r="CG832" s="2010"/>
      <c r="CH832" s="2010"/>
      <c r="CI832" s="2010"/>
      <c r="CJ832" s="2010"/>
      <c r="CK832" s="2010"/>
      <c r="CL832" s="2010"/>
      <c r="CM832" s="2010"/>
      <c r="CN832" s="2010"/>
      <c r="CO832" s="2010"/>
      <c r="CP832" s="2010"/>
      <c r="CQ832" s="2010"/>
      <c r="CR832" s="2010"/>
      <c r="CS832" s="2010"/>
      <c r="CT832" s="2010"/>
      <c r="CU832" s="2010"/>
      <c r="CV832" s="2010"/>
      <c r="CW832" s="2010"/>
      <c r="CX832" s="2010"/>
      <c r="CY832" s="2010"/>
      <c r="CZ832" s="2010"/>
      <c r="DA832" s="2010"/>
      <c r="DB832" s="2010"/>
      <c r="DC832" s="2010"/>
      <c r="DD832" s="2010"/>
      <c r="DE832" s="2010"/>
    </row>
    <row r="833" spans="1:109" s="2014" customFormat="1" x14ac:dyDescent="0.2">
      <c r="A833" s="2013"/>
      <c r="B833" s="2013"/>
      <c r="C833" s="2013"/>
      <c r="D833" s="2013"/>
      <c r="AB833" s="2010"/>
      <c r="AU833" s="2010"/>
      <c r="AV833" s="2010"/>
      <c r="AW833" s="2010"/>
      <c r="AX833" s="2010"/>
      <c r="AY833" s="2010"/>
      <c r="AZ833" s="2010"/>
      <c r="BA833" s="2010"/>
      <c r="BB833" s="2010"/>
      <c r="BC833" s="2010"/>
      <c r="BD833" s="2010"/>
      <c r="BE833" s="2010"/>
      <c r="BF833" s="2010"/>
      <c r="BG833" s="2010"/>
      <c r="BH833" s="2010"/>
      <c r="BI833" s="2010"/>
      <c r="BJ833" s="2010"/>
      <c r="BK833" s="2010"/>
      <c r="BL833" s="2010"/>
      <c r="BM833" s="2010"/>
      <c r="BN833" s="2010"/>
      <c r="BO833" s="2010"/>
      <c r="BP833" s="2010"/>
      <c r="BQ833" s="2010"/>
      <c r="BR833" s="2010"/>
      <c r="BS833" s="2010"/>
      <c r="BT833" s="2010"/>
      <c r="BU833" s="2010"/>
      <c r="BV833" s="2010"/>
      <c r="BW833" s="2010"/>
      <c r="BX833" s="2010"/>
      <c r="BY833" s="2010"/>
      <c r="BZ833" s="2010"/>
      <c r="CA833" s="2010"/>
      <c r="CB833" s="2010"/>
      <c r="CC833" s="2010"/>
      <c r="CD833" s="2010"/>
      <c r="CE833" s="2010"/>
      <c r="CF833" s="2010"/>
      <c r="CG833" s="2010"/>
      <c r="CH833" s="2010"/>
      <c r="CI833" s="2010"/>
      <c r="CJ833" s="2010"/>
      <c r="CK833" s="2010"/>
      <c r="CL833" s="2010"/>
      <c r="CM833" s="2010"/>
      <c r="CN833" s="2010"/>
      <c r="CO833" s="2010"/>
      <c r="CP833" s="2010"/>
      <c r="CQ833" s="2010"/>
      <c r="CR833" s="2010"/>
      <c r="CS833" s="2010"/>
      <c r="CT833" s="2010"/>
      <c r="CU833" s="2010"/>
      <c r="CV833" s="2010"/>
      <c r="CW833" s="2010"/>
      <c r="CX833" s="2010"/>
      <c r="CY833" s="2010"/>
      <c r="CZ833" s="2010"/>
      <c r="DA833" s="2010"/>
      <c r="DB833" s="2010"/>
      <c r="DC833" s="2010"/>
      <c r="DD833" s="2010"/>
      <c r="DE833" s="2010"/>
    </row>
    <row r="834" spans="1:109" s="2014" customFormat="1" x14ac:dyDescent="0.2">
      <c r="A834" s="2013"/>
      <c r="B834" s="2013"/>
      <c r="C834" s="2013"/>
      <c r="D834" s="2013"/>
      <c r="AB834" s="2010"/>
      <c r="AU834" s="2010"/>
      <c r="AV834" s="2010"/>
      <c r="AW834" s="2010"/>
      <c r="AX834" s="2010"/>
      <c r="AY834" s="2010"/>
      <c r="AZ834" s="2010"/>
      <c r="BA834" s="2010"/>
      <c r="BB834" s="2010"/>
      <c r="BC834" s="2010"/>
      <c r="BD834" s="2010"/>
      <c r="BE834" s="2010"/>
      <c r="BF834" s="2010"/>
      <c r="BG834" s="2010"/>
      <c r="BH834" s="2010"/>
      <c r="BI834" s="2010"/>
      <c r="BJ834" s="2010"/>
      <c r="BK834" s="2010"/>
      <c r="BL834" s="2010"/>
      <c r="BM834" s="2010"/>
      <c r="BN834" s="2010"/>
      <c r="BO834" s="2010"/>
      <c r="BP834" s="2010"/>
      <c r="BQ834" s="2010"/>
      <c r="BR834" s="2010"/>
      <c r="BS834" s="2010"/>
      <c r="BT834" s="2010"/>
      <c r="BU834" s="2010"/>
      <c r="BV834" s="2010"/>
      <c r="BW834" s="2010"/>
      <c r="BX834" s="2010"/>
      <c r="BY834" s="2010"/>
      <c r="BZ834" s="2010"/>
      <c r="CA834" s="2010"/>
      <c r="CB834" s="2010"/>
      <c r="CC834" s="2010"/>
      <c r="CD834" s="2010"/>
      <c r="CE834" s="2010"/>
      <c r="CF834" s="2010"/>
      <c r="CG834" s="2010"/>
      <c r="CH834" s="2010"/>
      <c r="CI834" s="2010"/>
      <c r="CJ834" s="2010"/>
      <c r="CK834" s="2010"/>
      <c r="CL834" s="2010"/>
      <c r="CM834" s="2010"/>
      <c r="CN834" s="2010"/>
      <c r="CO834" s="2010"/>
      <c r="CP834" s="2010"/>
      <c r="CQ834" s="2010"/>
      <c r="CR834" s="2010"/>
      <c r="CS834" s="2010"/>
      <c r="CT834" s="2010"/>
      <c r="CU834" s="2010"/>
      <c r="CV834" s="2010"/>
      <c r="CW834" s="2010"/>
      <c r="CX834" s="2010"/>
      <c r="CY834" s="2010"/>
      <c r="CZ834" s="2010"/>
      <c r="DA834" s="2010"/>
      <c r="DB834" s="2010"/>
      <c r="DC834" s="2010"/>
      <c r="DD834" s="2010"/>
      <c r="DE834" s="2010"/>
    </row>
    <row r="835" spans="1:109" s="2014" customFormat="1" x14ac:dyDescent="0.2">
      <c r="A835" s="2013"/>
      <c r="B835" s="2013"/>
      <c r="C835" s="2013"/>
      <c r="D835" s="2013"/>
      <c r="AB835" s="2010"/>
      <c r="AU835" s="2010"/>
      <c r="AV835" s="2010"/>
      <c r="AW835" s="2010"/>
      <c r="AX835" s="2010"/>
      <c r="AY835" s="2010"/>
      <c r="AZ835" s="2010"/>
      <c r="BA835" s="2010"/>
      <c r="BB835" s="2010"/>
      <c r="BC835" s="2010"/>
      <c r="BD835" s="2010"/>
      <c r="BE835" s="2010"/>
      <c r="BF835" s="2010"/>
      <c r="BG835" s="2010"/>
      <c r="BH835" s="2010"/>
      <c r="BI835" s="2010"/>
      <c r="BJ835" s="2010"/>
      <c r="BK835" s="2010"/>
      <c r="BL835" s="2010"/>
      <c r="BM835" s="2010"/>
      <c r="BN835" s="2010"/>
      <c r="BO835" s="2010"/>
      <c r="BP835" s="2010"/>
      <c r="BQ835" s="2010"/>
      <c r="BR835" s="2010"/>
      <c r="BS835" s="2010"/>
      <c r="BT835" s="2010"/>
      <c r="BU835" s="2010"/>
      <c r="BV835" s="2010"/>
      <c r="BW835" s="2010"/>
      <c r="BX835" s="2010"/>
      <c r="BY835" s="2010"/>
      <c r="BZ835" s="2010"/>
      <c r="CA835" s="2010"/>
      <c r="CB835" s="2010"/>
      <c r="CC835" s="2010"/>
      <c r="CD835" s="2010"/>
      <c r="CE835" s="2010"/>
      <c r="CF835" s="2010"/>
      <c r="CG835" s="2010"/>
      <c r="CH835" s="2010"/>
      <c r="CI835" s="2010"/>
      <c r="CJ835" s="2010"/>
      <c r="CK835" s="2010"/>
      <c r="CL835" s="2010"/>
      <c r="CM835" s="2010"/>
      <c r="CN835" s="2010"/>
      <c r="CO835" s="2010"/>
      <c r="CP835" s="2010"/>
      <c r="CQ835" s="2010"/>
      <c r="CR835" s="2010"/>
      <c r="CS835" s="2010"/>
      <c r="CT835" s="2010"/>
      <c r="CU835" s="2010"/>
      <c r="CV835" s="2010"/>
      <c r="CW835" s="2010"/>
      <c r="CX835" s="2010"/>
      <c r="CY835" s="2010"/>
      <c r="CZ835" s="2010"/>
      <c r="DA835" s="2010"/>
      <c r="DB835" s="2010"/>
      <c r="DC835" s="2010"/>
      <c r="DD835" s="2010"/>
      <c r="DE835" s="2010"/>
    </row>
    <row r="836" spans="1:109" s="2014" customFormat="1" x14ac:dyDescent="0.2">
      <c r="A836" s="2013"/>
      <c r="B836" s="2013"/>
      <c r="C836" s="2013"/>
      <c r="D836" s="2013"/>
      <c r="AB836" s="2010"/>
      <c r="AU836" s="2010"/>
      <c r="AV836" s="2010"/>
      <c r="AW836" s="2010"/>
      <c r="AX836" s="2010"/>
      <c r="AY836" s="2010"/>
      <c r="AZ836" s="2010"/>
      <c r="BA836" s="2010"/>
      <c r="BB836" s="2010"/>
      <c r="BC836" s="2010"/>
      <c r="BD836" s="2010"/>
      <c r="BE836" s="2010"/>
      <c r="BF836" s="2010"/>
      <c r="BG836" s="2010"/>
      <c r="BH836" s="2010"/>
      <c r="BI836" s="2010"/>
      <c r="BJ836" s="2010"/>
      <c r="BK836" s="2010"/>
      <c r="BL836" s="2010"/>
      <c r="BM836" s="2010"/>
      <c r="BN836" s="2010"/>
      <c r="BO836" s="2010"/>
      <c r="BP836" s="2010"/>
      <c r="BQ836" s="2010"/>
      <c r="BR836" s="2010"/>
      <c r="BS836" s="2010"/>
      <c r="BT836" s="2010"/>
      <c r="BU836" s="2010"/>
      <c r="BV836" s="2010"/>
      <c r="BW836" s="2010"/>
      <c r="BX836" s="2010"/>
      <c r="BY836" s="2010"/>
      <c r="BZ836" s="2010"/>
      <c r="CA836" s="2010"/>
      <c r="CB836" s="2010"/>
      <c r="CC836" s="2010"/>
      <c r="CD836" s="2010"/>
      <c r="CE836" s="2010"/>
      <c r="CF836" s="2010"/>
      <c r="CG836" s="2010"/>
      <c r="CH836" s="2010"/>
      <c r="CI836" s="2010"/>
      <c r="CJ836" s="2010"/>
      <c r="CK836" s="2010"/>
      <c r="CL836" s="2010"/>
      <c r="CM836" s="2010"/>
      <c r="CN836" s="2010"/>
      <c r="CO836" s="2010"/>
      <c r="CP836" s="2010"/>
      <c r="CQ836" s="2010"/>
      <c r="CR836" s="2010"/>
      <c r="CS836" s="2010"/>
      <c r="CT836" s="2010"/>
      <c r="CU836" s="2010"/>
      <c r="CV836" s="2010"/>
      <c r="CW836" s="2010"/>
      <c r="CX836" s="2010"/>
      <c r="CY836" s="2010"/>
      <c r="CZ836" s="2010"/>
      <c r="DA836" s="2010"/>
      <c r="DB836" s="2010"/>
      <c r="DC836" s="2010"/>
      <c r="DD836" s="2010"/>
      <c r="DE836" s="2010"/>
    </row>
    <row r="837" spans="1:109" s="2014" customFormat="1" x14ac:dyDescent="0.2">
      <c r="A837" s="2013"/>
      <c r="B837" s="2013"/>
      <c r="C837" s="2013"/>
      <c r="D837" s="2013"/>
      <c r="AB837" s="2010"/>
      <c r="AU837" s="2010"/>
      <c r="AV837" s="2010"/>
      <c r="AW837" s="2010"/>
      <c r="AX837" s="2010"/>
      <c r="AY837" s="2010"/>
      <c r="AZ837" s="2010"/>
      <c r="BA837" s="2010"/>
      <c r="BB837" s="2010"/>
      <c r="BC837" s="2010"/>
      <c r="BD837" s="2010"/>
      <c r="BE837" s="2010"/>
      <c r="BF837" s="2010"/>
      <c r="BG837" s="2010"/>
      <c r="BH837" s="2010"/>
      <c r="BI837" s="2010"/>
      <c r="BJ837" s="2010"/>
      <c r="BK837" s="2010"/>
      <c r="BL837" s="2010"/>
      <c r="BM837" s="2010"/>
      <c r="BN837" s="2010"/>
      <c r="BO837" s="2010"/>
      <c r="BP837" s="2010"/>
      <c r="BQ837" s="2010"/>
      <c r="BR837" s="2010"/>
      <c r="BS837" s="2010"/>
      <c r="BT837" s="2010"/>
      <c r="BU837" s="2010"/>
      <c r="BV837" s="2010"/>
      <c r="BW837" s="2010"/>
      <c r="BX837" s="2010"/>
      <c r="BY837" s="2010"/>
      <c r="BZ837" s="2010"/>
      <c r="CA837" s="2010"/>
      <c r="CB837" s="2010"/>
      <c r="CC837" s="2010"/>
      <c r="CD837" s="2010"/>
      <c r="CE837" s="2010"/>
      <c r="CF837" s="2010"/>
      <c r="CG837" s="2010"/>
      <c r="CH837" s="2010"/>
      <c r="CI837" s="2010"/>
      <c r="CJ837" s="2010"/>
      <c r="CK837" s="2010"/>
      <c r="CL837" s="2010"/>
      <c r="CM837" s="2010"/>
      <c r="CN837" s="2010"/>
      <c r="CO837" s="2010"/>
      <c r="CP837" s="2010"/>
      <c r="CQ837" s="2010"/>
      <c r="CR837" s="2010"/>
      <c r="CS837" s="2010"/>
      <c r="CT837" s="2010"/>
      <c r="CU837" s="2010"/>
      <c r="CV837" s="2010"/>
      <c r="CW837" s="2010"/>
      <c r="CX837" s="2010"/>
      <c r="CY837" s="2010"/>
      <c r="CZ837" s="2010"/>
      <c r="DA837" s="2010"/>
      <c r="DB837" s="2010"/>
      <c r="DC837" s="2010"/>
      <c r="DD837" s="2010"/>
      <c r="DE837" s="2010"/>
    </row>
    <row r="838" spans="1:109" s="2014" customFormat="1" x14ac:dyDescent="0.2">
      <c r="A838" s="2013"/>
      <c r="B838" s="2013"/>
      <c r="C838" s="2013"/>
      <c r="D838" s="2013"/>
      <c r="AB838" s="2010"/>
      <c r="AU838" s="2010"/>
      <c r="AV838" s="2010"/>
      <c r="AW838" s="2010"/>
      <c r="AX838" s="2010"/>
      <c r="AY838" s="2010"/>
      <c r="AZ838" s="2010"/>
      <c r="BA838" s="2010"/>
      <c r="BB838" s="2010"/>
      <c r="BC838" s="2010"/>
      <c r="BD838" s="2010"/>
      <c r="BE838" s="2010"/>
      <c r="BF838" s="2010"/>
      <c r="BG838" s="2010"/>
      <c r="BH838" s="2010"/>
      <c r="BI838" s="2010"/>
      <c r="BJ838" s="2010"/>
      <c r="BK838" s="2010"/>
      <c r="BL838" s="2010"/>
      <c r="BM838" s="2010"/>
      <c r="BN838" s="2010"/>
      <c r="BO838" s="2010"/>
      <c r="BP838" s="2010"/>
      <c r="BQ838" s="2010"/>
      <c r="BR838" s="2010"/>
      <c r="BS838" s="2010"/>
      <c r="BT838" s="2010"/>
      <c r="BU838" s="2010"/>
      <c r="BV838" s="2010"/>
      <c r="BW838" s="2010"/>
      <c r="BX838" s="2010"/>
      <c r="BY838" s="2010"/>
      <c r="BZ838" s="2010"/>
      <c r="CA838" s="2010"/>
      <c r="CB838" s="2010"/>
      <c r="CC838" s="2010"/>
      <c r="CD838" s="2010"/>
      <c r="CE838" s="2010"/>
      <c r="CF838" s="2010"/>
      <c r="CG838" s="2010"/>
      <c r="CH838" s="2010"/>
      <c r="CI838" s="2010"/>
      <c r="CJ838" s="2010"/>
      <c r="CK838" s="2010"/>
      <c r="CL838" s="2010"/>
      <c r="CM838" s="2010"/>
      <c r="CN838" s="2010"/>
      <c r="CO838" s="2010"/>
      <c r="CP838" s="2010"/>
      <c r="CQ838" s="2010"/>
      <c r="CR838" s="2010"/>
      <c r="CS838" s="2010"/>
      <c r="CT838" s="2010"/>
      <c r="CU838" s="2010"/>
      <c r="CV838" s="2010"/>
      <c r="CW838" s="2010"/>
      <c r="CX838" s="2010"/>
      <c r="CY838" s="2010"/>
      <c r="CZ838" s="2010"/>
      <c r="DA838" s="2010"/>
      <c r="DB838" s="2010"/>
      <c r="DC838" s="2010"/>
      <c r="DD838" s="2010"/>
      <c r="DE838" s="2010"/>
    </row>
    <row r="839" spans="1:109" s="2014" customFormat="1" x14ac:dyDescent="0.2">
      <c r="A839" s="2013"/>
      <c r="B839" s="2013"/>
      <c r="C839" s="2013"/>
      <c r="D839" s="2013"/>
      <c r="AB839" s="2010"/>
      <c r="AU839" s="2010"/>
      <c r="AV839" s="2010"/>
      <c r="AW839" s="2010"/>
      <c r="AX839" s="2010"/>
      <c r="AY839" s="2010"/>
      <c r="AZ839" s="2010"/>
      <c r="BA839" s="2010"/>
      <c r="BB839" s="2010"/>
      <c r="BC839" s="2010"/>
      <c r="BD839" s="2010"/>
      <c r="BE839" s="2010"/>
      <c r="BF839" s="2010"/>
      <c r="BG839" s="2010"/>
      <c r="BH839" s="2010"/>
      <c r="BI839" s="2010"/>
      <c r="BJ839" s="2010"/>
      <c r="BK839" s="2010"/>
      <c r="BL839" s="2010"/>
      <c r="BM839" s="2010"/>
      <c r="BN839" s="2010"/>
      <c r="BO839" s="2010"/>
      <c r="BP839" s="2010"/>
      <c r="BQ839" s="2010"/>
      <c r="BR839" s="2010"/>
      <c r="BS839" s="2010"/>
      <c r="BT839" s="2010"/>
      <c r="BU839" s="2010"/>
      <c r="BV839" s="2010"/>
      <c r="BW839" s="2010"/>
      <c r="BX839" s="2010"/>
      <c r="BY839" s="2010"/>
      <c r="BZ839" s="2010"/>
      <c r="CA839" s="2010"/>
      <c r="CB839" s="2010"/>
      <c r="CC839" s="2010"/>
      <c r="CD839" s="2010"/>
      <c r="CE839" s="2010"/>
      <c r="CF839" s="2010"/>
      <c r="CG839" s="2010"/>
      <c r="CH839" s="2010"/>
      <c r="CI839" s="2010"/>
      <c r="CJ839" s="2010"/>
      <c r="CK839" s="2010"/>
      <c r="CL839" s="2010"/>
      <c r="CM839" s="2010"/>
      <c r="CN839" s="2010"/>
      <c r="CO839" s="2010"/>
      <c r="CP839" s="2010"/>
      <c r="CQ839" s="2010"/>
      <c r="CR839" s="2010"/>
      <c r="CS839" s="2010"/>
      <c r="CT839" s="2010"/>
      <c r="CU839" s="2010"/>
      <c r="CV839" s="2010"/>
      <c r="CW839" s="2010"/>
      <c r="CX839" s="2010"/>
      <c r="CY839" s="2010"/>
      <c r="CZ839" s="2010"/>
      <c r="DA839" s="2010"/>
      <c r="DB839" s="2010"/>
      <c r="DC839" s="2010"/>
      <c r="DD839" s="2010"/>
      <c r="DE839" s="2010"/>
    </row>
    <row r="840" spans="1:109" s="2014" customFormat="1" x14ac:dyDescent="0.2">
      <c r="A840" s="2013"/>
      <c r="B840" s="2013"/>
      <c r="C840" s="2013"/>
      <c r="D840" s="2013"/>
      <c r="AB840" s="2010"/>
      <c r="AU840" s="2010"/>
      <c r="AV840" s="2010"/>
      <c r="AW840" s="2010"/>
      <c r="AX840" s="2010"/>
      <c r="AY840" s="2010"/>
      <c r="AZ840" s="2010"/>
      <c r="BA840" s="2010"/>
      <c r="BB840" s="2010"/>
      <c r="BC840" s="2010"/>
      <c r="BD840" s="2010"/>
      <c r="BE840" s="2010"/>
      <c r="BF840" s="2010"/>
      <c r="BG840" s="2010"/>
      <c r="BH840" s="2010"/>
      <c r="BI840" s="2010"/>
      <c r="BJ840" s="2010"/>
      <c r="BK840" s="2010"/>
      <c r="BL840" s="2010"/>
      <c r="BM840" s="2010"/>
      <c r="BN840" s="2010"/>
      <c r="BO840" s="2010"/>
      <c r="BP840" s="2010"/>
      <c r="BQ840" s="2010"/>
      <c r="BR840" s="2010"/>
      <c r="BS840" s="2010"/>
      <c r="BT840" s="2010"/>
      <c r="BU840" s="2010"/>
      <c r="BV840" s="2010"/>
      <c r="BW840" s="2010"/>
      <c r="BX840" s="2010"/>
      <c r="BY840" s="2010"/>
      <c r="BZ840" s="2010"/>
      <c r="CA840" s="2010"/>
      <c r="CB840" s="2010"/>
      <c r="CC840" s="2010"/>
      <c r="CD840" s="2010"/>
      <c r="CE840" s="2010"/>
      <c r="CF840" s="2010"/>
      <c r="CG840" s="2010"/>
      <c r="CH840" s="2010"/>
      <c r="CI840" s="2010"/>
      <c r="CJ840" s="2010"/>
      <c r="CK840" s="2010"/>
      <c r="CL840" s="2010"/>
      <c r="CM840" s="2010"/>
      <c r="CN840" s="2010"/>
      <c r="CO840" s="2010"/>
      <c r="CP840" s="2010"/>
      <c r="CQ840" s="2010"/>
      <c r="CR840" s="2010"/>
      <c r="CS840" s="2010"/>
      <c r="CT840" s="2010"/>
      <c r="CU840" s="2010"/>
      <c r="CV840" s="2010"/>
      <c r="CW840" s="2010"/>
      <c r="CX840" s="2010"/>
      <c r="CY840" s="2010"/>
      <c r="CZ840" s="2010"/>
      <c r="DA840" s="2010"/>
      <c r="DB840" s="2010"/>
      <c r="DC840" s="2010"/>
      <c r="DD840" s="2010"/>
      <c r="DE840" s="2010"/>
    </row>
    <row r="841" spans="1:109" s="2014" customFormat="1" x14ac:dyDescent="0.2">
      <c r="A841" s="2013"/>
      <c r="B841" s="2013"/>
      <c r="C841" s="2013"/>
      <c r="D841" s="2013"/>
      <c r="AB841" s="2010"/>
      <c r="AU841" s="2010"/>
      <c r="AV841" s="2010"/>
      <c r="AW841" s="2010"/>
      <c r="AX841" s="2010"/>
      <c r="AY841" s="2010"/>
      <c r="AZ841" s="2010"/>
      <c r="BA841" s="2010"/>
      <c r="BB841" s="2010"/>
      <c r="BC841" s="2010"/>
      <c r="BD841" s="2010"/>
      <c r="BE841" s="2010"/>
      <c r="BF841" s="2010"/>
      <c r="BG841" s="2010"/>
      <c r="BH841" s="2010"/>
      <c r="BI841" s="2010"/>
      <c r="BJ841" s="2010"/>
      <c r="BK841" s="2010"/>
      <c r="BL841" s="2010"/>
      <c r="BM841" s="2010"/>
      <c r="BN841" s="2010"/>
      <c r="BO841" s="2010"/>
      <c r="BP841" s="2010"/>
      <c r="BQ841" s="2010"/>
      <c r="BR841" s="2010"/>
      <c r="BS841" s="2010"/>
      <c r="BT841" s="2010"/>
      <c r="BU841" s="2010"/>
      <c r="BV841" s="2010"/>
      <c r="BW841" s="2010"/>
      <c r="BX841" s="2010"/>
      <c r="BY841" s="2010"/>
      <c r="BZ841" s="2010"/>
      <c r="CA841" s="2010"/>
      <c r="CB841" s="2010"/>
      <c r="CC841" s="2010"/>
      <c r="CD841" s="2010"/>
      <c r="CE841" s="2010"/>
      <c r="CF841" s="2010"/>
      <c r="CG841" s="2010"/>
      <c r="CH841" s="2010"/>
      <c r="CI841" s="2010"/>
      <c r="CJ841" s="2010"/>
      <c r="CK841" s="2010"/>
      <c r="CL841" s="2010"/>
      <c r="CM841" s="2010"/>
      <c r="CN841" s="2010"/>
      <c r="CO841" s="2010"/>
      <c r="CP841" s="2010"/>
      <c r="CQ841" s="2010"/>
      <c r="CR841" s="2010"/>
      <c r="CS841" s="2010"/>
      <c r="CT841" s="2010"/>
      <c r="CU841" s="2010"/>
      <c r="CV841" s="2010"/>
      <c r="CW841" s="2010"/>
      <c r="CX841" s="2010"/>
      <c r="CY841" s="2010"/>
      <c r="CZ841" s="2010"/>
      <c r="DA841" s="2010"/>
      <c r="DB841" s="2010"/>
      <c r="DC841" s="2010"/>
      <c r="DD841" s="2010"/>
      <c r="DE841" s="2010"/>
    </row>
    <row r="842" spans="1:109" s="2014" customFormat="1" x14ac:dyDescent="0.2">
      <c r="A842" s="2013"/>
      <c r="B842" s="2013"/>
      <c r="C842" s="2013"/>
      <c r="D842" s="2013"/>
      <c r="AB842" s="2010"/>
      <c r="AU842" s="2010"/>
      <c r="AV842" s="2010"/>
      <c r="AW842" s="2010"/>
      <c r="AX842" s="2010"/>
      <c r="AY842" s="2010"/>
      <c r="AZ842" s="2010"/>
      <c r="BA842" s="2010"/>
      <c r="BB842" s="2010"/>
      <c r="BC842" s="2010"/>
      <c r="BD842" s="2010"/>
      <c r="BE842" s="2010"/>
      <c r="BF842" s="2010"/>
      <c r="BG842" s="2010"/>
      <c r="BH842" s="2010"/>
      <c r="BI842" s="2010"/>
      <c r="BJ842" s="2010"/>
      <c r="BK842" s="2010"/>
      <c r="BL842" s="2010"/>
      <c r="BM842" s="2010"/>
      <c r="BN842" s="2010"/>
      <c r="BO842" s="2010"/>
      <c r="BP842" s="2010"/>
      <c r="BQ842" s="2010"/>
      <c r="BR842" s="2010"/>
      <c r="BS842" s="2010"/>
      <c r="BT842" s="2010"/>
      <c r="BU842" s="2010"/>
      <c r="BV842" s="2010"/>
      <c r="BW842" s="2010"/>
      <c r="BX842" s="2010"/>
      <c r="BY842" s="2010"/>
      <c r="BZ842" s="2010"/>
      <c r="CA842" s="2010"/>
      <c r="CB842" s="2010"/>
      <c r="CC842" s="2010"/>
      <c r="CD842" s="2010"/>
      <c r="CE842" s="2010"/>
      <c r="CF842" s="2010"/>
      <c r="CG842" s="2010"/>
      <c r="CH842" s="2010"/>
      <c r="CI842" s="2010"/>
      <c r="CJ842" s="2010"/>
      <c r="CK842" s="2010"/>
      <c r="CL842" s="2010"/>
      <c r="CM842" s="2010"/>
      <c r="CN842" s="2010"/>
      <c r="CO842" s="2010"/>
      <c r="CP842" s="2010"/>
      <c r="CQ842" s="2010"/>
      <c r="CR842" s="2010"/>
      <c r="CS842" s="2010"/>
      <c r="CT842" s="2010"/>
      <c r="CU842" s="2010"/>
      <c r="CV842" s="2010"/>
      <c r="CW842" s="2010"/>
      <c r="CX842" s="2010"/>
      <c r="CY842" s="2010"/>
      <c r="CZ842" s="2010"/>
      <c r="DA842" s="2010"/>
      <c r="DB842" s="2010"/>
      <c r="DC842" s="2010"/>
      <c r="DD842" s="2010"/>
      <c r="DE842" s="2010"/>
    </row>
    <row r="843" spans="1:109" s="2014" customFormat="1" x14ac:dyDescent="0.2">
      <c r="A843" s="2013"/>
      <c r="B843" s="2013"/>
      <c r="C843" s="2013"/>
      <c r="D843" s="2013"/>
      <c r="AB843" s="2010"/>
      <c r="AU843" s="2010"/>
      <c r="AV843" s="2010"/>
      <c r="AW843" s="2010"/>
      <c r="AX843" s="2010"/>
      <c r="AY843" s="2010"/>
      <c r="AZ843" s="2010"/>
      <c r="BA843" s="2010"/>
      <c r="BB843" s="2010"/>
      <c r="BC843" s="2010"/>
      <c r="BD843" s="2010"/>
      <c r="BE843" s="2010"/>
      <c r="BF843" s="2010"/>
      <c r="BG843" s="2010"/>
      <c r="BH843" s="2010"/>
      <c r="BI843" s="2010"/>
      <c r="BJ843" s="2010"/>
      <c r="BK843" s="2010"/>
      <c r="BL843" s="2010"/>
      <c r="BM843" s="2010"/>
      <c r="BN843" s="2010"/>
      <c r="BO843" s="2010"/>
      <c r="BP843" s="2010"/>
      <c r="BQ843" s="2010"/>
      <c r="BR843" s="2010"/>
      <c r="BS843" s="2010"/>
      <c r="BT843" s="2010"/>
      <c r="BU843" s="2010"/>
      <c r="BV843" s="2010"/>
      <c r="BW843" s="2010"/>
      <c r="BX843" s="2010"/>
      <c r="BY843" s="2010"/>
      <c r="BZ843" s="2010"/>
      <c r="CA843" s="2010"/>
      <c r="CB843" s="2010"/>
      <c r="CC843" s="2010"/>
      <c r="CD843" s="2010"/>
      <c r="CE843" s="2010"/>
      <c r="CF843" s="2010"/>
      <c r="CG843" s="2010"/>
      <c r="CH843" s="2010"/>
      <c r="CI843" s="2010"/>
      <c r="CJ843" s="2010"/>
      <c r="CK843" s="2010"/>
      <c r="CL843" s="2010"/>
      <c r="CM843" s="2010"/>
      <c r="CN843" s="2010"/>
      <c r="CO843" s="2010"/>
      <c r="CP843" s="2010"/>
      <c r="CQ843" s="2010"/>
      <c r="CR843" s="2010"/>
      <c r="CS843" s="2010"/>
      <c r="CT843" s="2010"/>
      <c r="CU843" s="2010"/>
      <c r="CV843" s="2010"/>
      <c r="CW843" s="2010"/>
      <c r="CX843" s="2010"/>
      <c r="CY843" s="2010"/>
      <c r="CZ843" s="2010"/>
      <c r="DA843" s="2010"/>
      <c r="DB843" s="2010"/>
      <c r="DC843" s="2010"/>
      <c r="DD843" s="2010"/>
      <c r="DE843" s="2010"/>
    </row>
    <row r="844" spans="1:109" s="2014" customFormat="1" x14ac:dyDescent="0.2">
      <c r="A844" s="2013"/>
      <c r="B844" s="2013"/>
      <c r="C844" s="2013"/>
      <c r="D844" s="2013"/>
      <c r="AB844" s="2010"/>
      <c r="AU844" s="2010"/>
      <c r="AV844" s="2010"/>
      <c r="AW844" s="2010"/>
      <c r="AX844" s="2010"/>
      <c r="AY844" s="2010"/>
      <c r="AZ844" s="2010"/>
      <c r="BA844" s="2010"/>
      <c r="BB844" s="2010"/>
      <c r="BC844" s="2010"/>
      <c r="BD844" s="2010"/>
      <c r="BE844" s="2010"/>
      <c r="BF844" s="2010"/>
      <c r="BG844" s="2010"/>
      <c r="BH844" s="2010"/>
      <c r="BI844" s="2010"/>
      <c r="BJ844" s="2010"/>
      <c r="BK844" s="2010"/>
      <c r="BL844" s="2010"/>
      <c r="BM844" s="2010"/>
      <c r="BN844" s="2010"/>
      <c r="BO844" s="2010"/>
      <c r="BP844" s="2010"/>
      <c r="BQ844" s="2010"/>
      <c r="BR844" s="2010"/>
      <c r="BS844" s="2010"/>
      <c r="BT844" s="2010"/>
      <c r="BU844" s="2010"/>
      <c r="BV844" s="2010"/>
      <c r="BW844" s="2010"/>
      <c r="BX844" s="2010"/>
      <c r="BY844" s="2010"/>
      <c r="BZ844" s="2010"/>
      <c r="CA844" s="2010"/>
      <c r="CB844" s="2010"/>
      <c r="CC844" s="2010"/>
      <c r="CD844" s="2010"/>
      <c r="CE844" s="2010"/>
      <c r="CF844" s="2010"/>
      <c r="CG844" s="2010"/>
      <c r="CH844" s="2010"/>
      <c r="CI844" s="2010"/>
      <c r="CJ844" s="2010"/>
      <c r="CK844" s="2010"/>
      <c r="CL844" s="2010"/>
      <c r="CM844" s="2010"/>
      <c r="CN844" s="2010"/>
      <c r="CO844" s="2010"/>
      <c r="CP844" s="2010"/>
      <c r="CQ844" s="2010"/>
      <c r="CR844" s="2010"/>
      <c r="CS844" s="2010"/>
      <c r="CT844" s="2010"/>
      <c r="CU844" s="2010"/>
      <c r="CV844" s="2010"/>
      <c r="CW844" s="2010"/>
      <c r="CX844" s="2010"/>
      <c r="CY844" s="2010"/>
      <c r="CZ844" s="2010"/>
      <c r="DA844" s="2010"/>
      <c r="DB844" s="2010"/>
      <c r="DC844" s="2010"/>
      <c r="DD844" s="2010"/>
      <c r="DE844" s="2010"/>
    </row>
    <row r="845" spans="1:109" s="2014" customFormat="1" x14ac:dyDescent="0.2">
      <c r="A845" s="2013"/>
      <c r="B845" s="2013"/>
      <c r="C845" s="2013"/>
      <c r="D845" s="2013"/>
      <c r="AB845" s="2010"/>
      <c r="AU845" s="2010"/>
      <c r="AV845" s="2010"/>
      <c r="AW845" s="2010"/>
      <c r="AX845" s="2010"/>
      <c r="AY845" s="2010"/>
      <c r="AZ845" s="2010"/>
      <c r="BA845" s="2010"/>
      <c r="BB845" s="2010"/>
      <c r="BC845" s="2010"/>
      <c r="BD845" s="2010"/>
      <c r="BE845" s="2010"/>
      <c r="BF845" s="2010"/>
      <c r="BG845" s="2010"/>
      <c r="BH845" s="2010"/>
      <c r="BI845" s="2010"/>
      <c r="BJ845" s="2010"/>
      <c r="BK845" s="2010"/>
      <c r="BL845" s="2010"/>
      <c r="BM845" s="2010"/>
      <c r="BN845" s="2010"/>
      <c r="BO845" s="2010"/>
      <c r="BP845" s="2010"/>
      <c r="BQ845" s="2010"/>
      <c r="BR845" s="2010"/>
      <c r="BS845" s="2010"/>
      <c r="BT845" s="2010"/>
      <c r="BU845" s="2010"/>
      <c r="BV845" s="2010"/>
      <c r="BW845" s="2010"/>
      <c r="BX845" s="2010"/>
      <c r="BY845" s="2010"/>
      <c r="BZ845" s="2010"/>
      <c r="CA845" s="2010"/>
      <c r="CB845" s="2010"/>
      <c r="CC845" s="2010"/>
      <c r="CD845" s="2010"/>
      <c r="CE845" s="2010"/>
      <c r="CF845" s="2010"/>
      <c r="CG845" s="2010"/>
      <c r="CH845" s="2010"/>
      <c r="CI845" s="2010"/>
      <c r="CJ845" s="2010"/>
      <c r="CK845" s="2010"/>
      <c r="CL845" s="2010"/>
      <c r="CM845" s="2010"/>
      <c r="CN845" s="2010"/>
      <c r="CO845" s="2010"/>
      <c r="CP845" s="2010"/>
      <c r="CQ845" s="2010"/>
      <c r="CR845" s="2010"/>
      <c r="CS845" s="2010"/>
      <c r="CT845" s="2010"/>
      <c r="CU845" s="2010"/>
      <c r="CV845" s="2010"/>
      <c r="CW845" s="2010"/>
      <c r="CX845" s="2010"/>
      <c r="CY845" s="2010"/>
      <c r="CZ845" s="2010"/>
      <c r="DA845" s="2010"/>
      <c r="DB845" s="2010"/>
      <c r="DC845" s="2010"/>
      <c r="DD845" s="2010"/>
      <c r="DE845" s="2010"/>
    </row>
    <row r="846" spans="1:109" s="2014" customFormat="1" x14ac:dyDescent="0.2">
      <c r="A846" s="2013"/>
      <c r="B846" s="2013"/>
      <c r="C846" s="2013"/>
      <c r="D846" s="2013"/>
      <c r="AB846" s="2010"/>
      <c r="AU846" s="2010"/>
      <c r="AV846" s="2010"/>
      <c r="AW846" s="2010"/>
      <c r="AX846" s="2010"/>
      <c r="AY846" s="2010"/>
      <c r="AZ846" s="2010"/>
      <c r="BA846" s="2010"/>
      <c r="BB846" s="2010"/>
      <c r="BC846" s="2010"/>
      <c r="BD846" s="2010"/>
      <c r="BE846" s="2010"/>
      <c r="BF846" s="2010"/>
      <c r="BG846" s="2010"/>
      <c r="BH846" s="2010"/>
      <c r="BI846" s="2010"/>
      <c r="BJ846" s="2010"/>
      <c r="BK846" s="2010"/>
      <c r="BL846" s="2010"/>
      <c r="BM846" s="2010"/>
      <c r="BN846" s="2010"/>
      <c r="BO846" s="2010"/>
      <c r="BP846" s="2010"/>
      <c r="BQ846" s="2010"/>
      <c r="BR846" s="2010"/>
      <c r="BS846" s="2010"/>
      <c r="BT846" s="2010"/>
      <c r="BU846" s="2010"/>
      <c r="BV846" s="2010"/>
      <c r="BW846" s="2010"/>
      <c r="BX846" s="2010"/>
      <c r="BY846" s="2010"/>
      <c r="BZ846" s="2010"/>
      <c r="CA846" s="2010"/>
      <c r="CB846" s="2010"/>
      <c r="CC846" s="2010"/>
      <c r="CD846" s="2010"/>
      <c r="CE846" s="2010"/>
      <c r="CF846" s="2010"/>
      <c r="CG846" s="2010"/>
      <c r="CH846" s="2010"/>
      <c r="CI846" s="2010"/>
      <c r="CJ846" s="2010"/>
      <c r="CK846" s="2010"/>
      <c r="CL846" s="2010"/>
      <c r="CM846" s="2010"/>
      <c r="CN846" s="2010"/>
      <c r="CO846" s="2010"/>
      <c r="CP846" s="2010"/>
      <c r="CQ846" s="2010"/>
      <c r="CR846" s="2010"/>
      <c r="CS846" s="2010"/>
      <c r="CT846" s="2010"/>
      <c r="CU846" s="2010"/>
      <c r="CV846" s="2010"/>
      <c r="CW846" s="2010"/>
      <c r="CX846" s="2010"/>
      <c r="CY846" s="2010"/>
      <c r="CZ846" s="2010"/>
      <c r="DA846" s="2010"/>
      <c r="DB846" s="2010"/>
      <c r="DC846" s="2010"/>
      <c r="DD846" s="2010"/>
      <c r="DE846" s="2010"/>
    </row>
    <row r="847" spans="1:109" s="2014" customFormat="1" x14ac:dyDescent="0.2">
      <c r="A847" s="2013"/>
      <c r="B847" s="2013"/>
      <c r="C847" s="2013"/>
      <c r="D847" s="2013"/>
      <c r="AB847" s="2010"/>
      <c r="AU847" s="2010"/>
      <c r="AV847" s="2010"/>
      <c r="AW847" s="2010"/>
      <c r="AX847" s="2010"/>
      <c r="AY847" s="2010"/>
      <c r="AZ847" s="2010"/>
      <c r="BA847" s="2010"/>
      <c r="BB847" s="2010"/>
      <c r="BC847" s="2010"/>
      <c r="BD847" s="2010"/>
      <c r="BE847" s="2010"/>
      <c r="BF847" s="2010"/>
      <c r="BG847" s="2010"/>
      <c r="BH847" s="2010"/>
      <c r="BI847" s="2010"/>
      <c r="BJ847" s="2010"/>
      <c r="BK847" s="2010"/>
      <c r="BL847" s="2010"/>
      <c r="BM847" s="2010"/>
      <c r="BN847" s="2010"/>
      <c r="BO847" s="2010"/>
      <c r="BP847" s="2010"/>
      <c r="BQ847" s="2010"/>
      <c r="BR847" s="2010"/>
      <c r="BS847" s="2010"/>
      <c r="BT847" s="2010"/>
      <c r="BU847" s="2010"/>
      <c r="BV847" s="2010"/>
      <c r="BW847" s="2010"/>
      <c r="BX847" s="2010"/>
      <c r="BY847" s="2010"/>
      <c r="BZ847" s="2010"/>
      <c r="CA847" s="2010"/>
      <c r="CB847" s="2010"/>
      <c r="CC847" s="2010"/>
      <c r="CD847" s="2010"/>
      <c r="CE847" s="2010"/>
      <c r="CF847" s="2010"/>
      <c r="CG847" s="2010"/>
      <c r="CH847" s="2010"/>
      <c r="CI847" s="2010"/>
      <c r="CJ847" s="2010"/>
      <c r="CK847" s="2010"/>
      <c r="CL847" s="2010"/>
      <c r="CM847" s="2010"/>
      <c r="CN847" s="2010"/>
      <c r="CO847" s="2010"/>
      <c r="CP847" s="2010"/>
      <c r="CQ847" s="2010"/>
      <c r="CR847" s="2010"/>
      <c r="CS847" s="2010"/>
      <c r="CT847" s="2010"/>
      <c r="CU847" s="2010"/>
      <c r="CV847" s="2010"/>
      <c r="CW847" s="2010"/>
      <c r="CX847" s="2010"/>
      <c r="CY847" s="2010"/>
      <c r="CZ847" s="2010"/>
      <c r="DA847" s="2010"/>
      <c r="DB847" s="2010"/>
      <c r="DC847" s="2010"/>
      <c r="DD847" s="2010"/>
      <c r="DE847" s="2010"/>
    </row>
    <row r="848" spans="1:109" s="2014" customFormat="1" x14ac:dyDescent="0.2">
      <c r="A848" s="2013"/>
      <c r="B848" s="2013"/>
      <c r="C848" s="2013"/>
      <c r="D848" s="2013"/>
      <c r="AB848" s="2010"/>
      <c r="AU848" s="2010"/>
      <c r="AV848" s="2010"/>
      <c r="AW848" s="2010"/>
      <c r="AX848" s="2010"/>
      <c r="AY848" s="2010"/>
      <c r="AZ848" s="2010"/>
      <c r="BA848" s="2010"/>
      <c r="BB848" s="2010"/>
      <c r="BC848" s="2010"/>
      <c r="BD848" s="2010"/>
      <c r="BE848" s="2010"/>
      <c r="BF848" s="2010"/>
      <c r="BG848" s="2010"/>
      <c r="BH848" s="2010"/>
      <c r="BI848" s="2010"/>
      <c r="BJ848" s="2010"/>
      <c r="BK848" s="2010"/>
      <c r="BL848" s="2010"/>
      <c r="BM848" s="2010"/>
      <c r="BN848" s="2010"/>
      <c r="BO848" s="2010"/>
      <c r="BP848" s="2010"/>
      <c r="BQ848" s="2010"/>
      <c r="BR848" s="2010"/>
      <c r="BS848" s="2010"/>
      <c r="BT848" s="2010"/>
      <c r="BU848" s="2010"/>
      <c r="BV848" s="2010"/>
      <c r="BW848" s="2010"/>
      <c r="BX848" s="2010"/>
      <c r="BY848" s="2010"/>
      <c r="BZ848" s="2010"/>
      <c r="CA848" s="2010"/>
      <c r="CB848" s="2010"/>
      <c r="CC848" s="2010"/>
      <c r="CD848" s="2010"/>
      <c r="CE848" s="2010"/>
      <c r="CF848" s="2010"/>
      <c r="CG848" s="2010"/>
      <c r="CH848" s="2010"/>
      <c r="CI848" s="2010"/>
      <c r="CJ848" s="2010"/>
      <c r="CK848" s="2010"/>
      <c r="CL848" s="2010"/>
      <c r="CM848" s="2010"/>
      <c r="CN848" s="2010"/>
      <c r="CO848" s="2010"/>
      <c r="CP848" s="2010"/>
      <c r="CQ848" s="2010"/>
      <c r="CR848" s="2010"/>
      <c r="CS848" s="2010"/>
      <c r="CT848" s="2010"/>
      <c r="CU848" s="2010"/>
      <c r="CV848" s="2010"/>
      <c r="CW848" s="2010"/>
      <c r="CX848" s="2010"/>
      <c r="CY848" s="2010"/>
      <c r="CZ848" s="2010"/>
      <c r="DA848" s="2010"/>
      <c r="DB848" s="2010"/>
      <c r="DC848" s="2010"/>
      <c r="DD848" s="2010"/>
      <c r="DE848" s="2010"/>
    </row>
    <row r="849" spans="1:109" s="2014" customFormat="1" x14ac:dyDescent="0.2">
      <c r="A849" s="2013"/>
      <c r="B849" s="2013"/>
      <c r="C849" s="2013"/>
      <c r="D849" s="2013"/>
      <c r="AB849" s="2010"/>
      <c r="AU849" s="2010"/>
      <c r="AV849" s="2010"/>
      <c r="AW849" s="2010"/>
      <c r="AX849" s="2010"/>
      <c r="AY849" s="2010"/>
      <c r="AZ849" s="2010"/>
      <c r="BA849" s="2010"/>
      <c r="BB849" s="2010"/>
      <c r="BC849" s="2010"/>
      <c r="BD849" s="2010"/>
      <c r="BE849" s="2010"/>
      <c r="BF849" s="2010"/>
      <c r="BG849" s="2010"/>
      <c r="BH849" s="2010"/>
      <c r="BI849" s="2010"/>
      <c r="BJ849" s="2010"/>
      <c r="BK849" s="2010"/>
      <c r="BL849" s="2010"/>
      <c r="BM849" s="2010"/>
      <c r="BN849" s="2010"/>
      <c r="BO849" s="2010"/>
      <c r="BP849" s="2010"/>
      <c r="BQ849" s="2010"/>
      <c r="BR849" s="2010"/>
      <c r="BS849" s="2010"/>
      <c r="BT849" s="2010"/>
      <c r="BU849" s="2010"/>
      <c r="BV849" s="2010"/>
      <c r="BW849" s="2010"/>
      <c r="BX849" s="2010"/>
      <c r="BY849" s="2010"/>
      <c r="BZ849" s="2010"/>
      <c r="CA849" s="2010"/>
      <c r="CB849" s="2010"/>
      <c r="CC849" s="2010"/>
      <c r="CD849" s="2010"/>
      <c r="CE849" s="2010"/>
      <c r="CF849" s="2010"/>
      <c r="CG849" s="2010"/>
      <c r="CH849" s="2010"/>
      <c r="CI849" s="2010"/>
      <c r="CJ849" s="2010"/>
      <c r="CK849" s="2010"/>
      <c r="CL849" s="2010"/>
      <c r="CM849" s="2010"/>
      <c r="CN849" s="2010"/>
      <c r="CO849" s="2010"/>
      <c r="CP849" s="2010"/>
      <c r="CQ849" s="2010"/>
      <c r="CR849" s="2010"/>
      <c r="CS849" s="2010"/>
      <c r="CT849" s="2010"/>
      <c r="CU849" s="2010"/>
      <c r="CV849" s="2010"/>
      <c r="CW849" s="2010"/>
      <c r="CX849" s="2010"/>
      <c r="CY849" s="2010"/>
      <c r="CZ849" s="2010"/>
      <c r="DA849" s="2010"/>
      <c r="DB849" s="2010"/>
      <c r="DC849" s="2010"/>
      <c r="DD849" s="2010"/>
      <c r="DE849" s="2010"/>
    </row>
    <row r="850" spans="1:109" s="2014" customFormat="1" x14ac:dyDescent="0.2">
      <c r="A850" s="2013"/>
      <c r="B850" s="2013"/>
      <c r="C850" s="2013"/>
      <c r="D850" s="2013"/>
      <c r="AB850" s="2010"/>
      <c r="AU850" s="2010"/>
      <c r="AV850" s="2010"/>
      <c r="AW850" s="2010"/>
      <c r="AX850" s="2010"/>
      <c r="AY850" s="2010"/>
      <c r="AZ850" s="2010"/>
      <c r="BA850" s="2010"/>
      <c r="BB850" s="2010"/>
      <c r="BC850" s="2010"/>
      <c r="BD850" s="2010"/>
      <c r="BE850" s="2010"/>
      <c r="BF850" s="2010"/>
      <c r="BG850" s="2010"/>
      <c r="BH850" s="2010"/>
      <c r="BI850" s="2010"/>
      <c r="BJ850" s="2010"/>
      <c r="BK850" s="2010"/>
      <c r="BL850" s="2010"/>
      <c r="BM850" s="2010"/>
      <c r="BN850" s="2010"/>
      <c r="BO850" s="2010"/>
      <c r="BP850" s="2010"/>
      <c r="BQ850" s="2010"/>
      <c r="BR850" s="2010"/>
      <c r="BS850" s="2010"/>
      <c r="BT850" s="2010"/>
      <c r="BU850" s="2010"/>
      <c r="BV850" s="2010"/>
      <c r="BW850" s="2010"/>
      <c r="BX850" s="2010"/>
      <c r="BY850" s="2010"/>
      <c r="BZ850" s="2010"/>
      <c r="CA850" s="2010"/>
      <c r="CB850" s="2010"/>
      <c r="CC850" s="2010"/>
      <c r="CD850" s="2010"/>
      <c r="CE850" s="2010"/>
      <c r="CF850" s="2010"/>
      <c r="CG850" s="2010"/>
      <c r="CH850" s="2010"/>
      <c r="CI850" s="2010"/>
      <c r="CJ850" s="2010"/>
      <c r="CK850" s="2010"/>
      <c r="CL850" s="2010"/>
      <c r="CM850" s="2010"/>
      <c r="CN850" s="2010"/>
      <c r="CO850" s="2010"/>
      <c r="CP850" s="2010"/>
      <c r="CQ850" s="2010"/>
      <c r="CR850" s="2010"/>
      <c r="CS850" s="2010"/>
      <c r="CT850" s="2010"/>
      <c r="CU850" s="2010"/>
      <c r="CV850" s="2010"/>
      <c r="CW850" s="2010"/>
      <c r="CX850" s="2010"/>
      <c r="CY850" s="2010"/>
      <c r="CZ850" s="2010"/>
      <c r="DA850" s="2010"/>
      <c r="DB850" s="2010"/>
      <c r="DC850" s="2010"/>
      <c r="DD850" s="2010"/>
      <c r="DE850" s="2010"/>
    </row>
    <row r="851" spans="1:109" s="2014" customFormat="1" x14ac:dyDescent="0.2">
      <c r="A851" s="2013"/>
      <c r="B851" s="2013"/>
      <c r="C851" s="2013"/>
      <c r="D851" s="2013"/>
      <c r="AB851" s="2010"/>
      <c r="AU851" s="2010"/>
      <c r="AV851" s="2010"/>
      <c r="AW851" s="2010"/>
      <c r="AX851" s="2010"/>
      <c r="AY851" s="2010"/>
      <c r="AZ851" s="2010"/>
      <c r="BA851" s="2010"/>
      <c r="BB851" s="2010"/>
      <c r="BC851" s="2010"/>
      <c r="BD851" s="2010"/>
      <c r="BE851" s="2010"/>
      <c r="BF851" s="2010"/>
      <c r="BG851" s="2010"/>
      <c r="BH851" s="2010"/>
      <c r="BI851" s="2010"/>
      <c r="BJ851" s="2010"/>
      <c r="BK851" s="2010"/>
      <c r="BL851" s="2010"/>
      <c r="BM851" s="2010"/>
      <c r="BN851" s="2010"/>
      <c r="BO851" s="2010"/>
      <c r="BP851" s="2010"/>
      <c r="BQ851" s="2010"/>
      <c r="BR851" s="2010"/>
      <c r="BS851" s="2010"/>
      <c r="BT851" s="2010"/>
      <c r="BU851" s="2010"/>
      <c r="BV851" s="2010"/>
      <c r="BW851" s="2010"/>
      <c r="BX851" s="2010"/>
      <c r="BY851" s="2010"/>
      <c r="BZ851" s="2010"/>
      <c r="CA851" s="2010"/>
      <c r="CB851" s="2010"/>
      <c r="CC851" s="2010"/>
      <c r="CD851" s="2010"/>
      <c r="CE851" s="2010"/>
      <c r="CF851" s="2010"/>
      <c r="CG851" s="2010"/>
      <c r="CH851" s="2010"/>
      <c r="CI851" s="2010"/>
      <c r="CJ851" s="2010"/>
      <c r="CK851" s="2010"/>
      <c r="CL851" s="2010"/>
      <c r="CM851" s="2010"/>
      <c r="CN851" s="2010"/>
      <c r="CO851" s="2010"/>
      <c r="CP851" s="2010"/>
      <c r="CQ851" s="2010"/>
      <c r="CR851" s="2010"/>
      <c r="CS851" s="2010"/>
      <c r="CT851" s="2010"/>
      <c r="CU851" s="2010"/>
      <c r="CV851" s="2010"/>
      <c r="CW851" s="2010"/>
      <c r="CX851" s="2010"/>
      <c r="CY851" s="2010"/>
      <c r="CZ851" s="2010"/>
      <c r="DA851" s="2010"/>
      <c r="DB851" s="2010"/>
      <c r="DC851" s="2010"/>
      <c r="DD851" s="2010"/>
      <c r="DE851" s="2010"/>
    </row>
    <row r="852" spans="1:109" s="2014" customFormat="1" x14ac:dyDescent="0.2">
      <c r="A852" s="2013"/>
      <c r="B852" s="2013"/>
      <c r="C852" s="2013"/>
      <c r="D852" s="2013"/>
      <c r="AB852" s="2010"/>
      <c r="AU852" s="2010"/>
      <c r="AV852" s="2010"/>
      <c r="AW852" s="2010"/>
      <c r="AX852" s="2010"/>
      <c r="AY852" s="2010"/>
      <c r="AZ852" s="2010"/>
      <c r="BA852" s="2010"/>
      <c r="BB852" s="2010"/>
      <c r="BC852" s="2010"/>
      <c r="BD852" s="2010"/>
      <c r="BE852" s="2010"/>
      <c r="BF852" s="2010"/>
      <c r="BG852" s="2010"/>
      <c r="BH852" s="2010"/>
      <c r="BI852" s="2010"/>
      <c r="BJ852" s="2010"/>
      <c r="BK852" s="2010"/>
      <c r="BL852" s="2010"/>
      <c r="BM852" s="2010"/>
      <c r="BN852" s="2010"/>
      <c r="BO852" s="2010"/>
      <c r="BP852" s="2010"/>
      <c r="BQ852" s="2010"/>
      <c r="BR852" s="2010"/>
      <c r="BS852" s="2010"/>
      <c r="BT852" s="2010"/>
      <c r="BU852" s="2010"/>
      <c r="BV852" s="2010"/>
      <c r="BW852" s="2010"/>
      <c r="BX852" s="2010"/>
      <c r="BY852" s="2010"/>
      <c r="BZ852" s="2010"/>
      <c r="CA852" s="2010"/>
      <c r="CB852" s="2010"/>
      <c r="CC852" s="2010"/>
      <c r="CD852" s="2010"/>
      <c r="CE852" s="2010"/>
      <c r="CF852" s="2010"/>
      <c r="CG852" s="2010"/>
      <c r="CH852" s="2010"/>
      <c r="CI852" s="2010"/>
      <c r="CJ852" s="2010"/>
      <c r="CK852" s="2010"/>
      <c r="CL852" s="2010"/>
      <c r="CM852" s="2010"/>
      <c r="CN852" s="2010"/>
      <c r="CO852" s="2010"/>
      <c r="CP852" s="2010"/>
      <c r="CQ852" s="2010"/>
      <c r="CR852" s="2010"/>
      <c r="CS852" s="2010"/>
      <c r="CT852" s="2010"/>
      <c r="CU852" s="2010"/>
      <c r="CV852" s="2010"/>
      <c r="CW852" s="2010"/>
      <c r="CX852" s="2010"/>
      <c r="CY852" s="2010"/>
      <c r="CZ852" s="2010"/>
      <c r="DA852" s="2010"/>
      <c r="DB852" s="2010"/>
      <c r="DC852" s="2010"/>
      <c r="DD852" s="2010"/>
      <c r="DE852" s="2010"/>
    </row>
    <row r="853" spans="1:109" s="2014" customFormat="1" x14ac:dyDescent="0.2">
      <c r="A853" s="2013"/>
      <c r="B853" s="2013"/>
      <c r="C853" s="2013"/>
      <c r="D853" s="2013"/>
      <c r="AB853" s="2010"/>
      <c r="AU853" s="2010"/>
      <c r="AV853" s="2010"/>
      <c r="AW853" s="2010"/>
      <c r="AX853" s="2010"/>
      <c r="AY853" s="2010"/>
      <c r="AZ853" s="2010"/>
      <c r="BA853" s="2010"/>
      <c r="BB853" s="2010"/>
      <c r="BC853" s="2010"/>
      <c r="BD853" s="2010"/>
      <c r="BE853" s="2010"/>
      <c r="BF853" s="2010"/>
      <c r="BG853" s="2010"/>
      <c r="BH853" s="2010"/>
      <c r="BI853" s="2010"/>
      <c r="BJ853" s="2010"/>
      <c r="BK853" s="2010"/>
      <c r="BL853" s="2010"/>
      <c r="BM853" s="2010"/>
      <c r="BN853" s="2010"/>
      <c r="BO853" s="2010"/>
      <c r="BP853" s="2010"/>
      <c r="BQ853" s="2010"/>
      <c r="BR853" s="2010"/>
      <c r="BS853" s="2010"/>
      <c r="BT853" s="2010"/>
      <c r="BU853" s="2010"/>
      <c r="BV853" s="2010"/>
      <c r="BW853" s="2010"/>
      <c r="BX853" s="2010"/>
      <c r="BY853" s="2010"/>
      <c r="BZ853" s="2010"/>
      <c r="CA853" s="2010"/>
      <c r="CB853" s="2010"/>
      <c r="CC853" s="2010"/>
      <c r="CD853" s="2010"/>
      <c r="CE853" s="2010"/>
      <c r="CF853" s="2010"/>
      <c r="CG853" s="2010"/>
      <c r="CH853" s="2010"/>
      <c r="CI853" s="2010"/>
      <c r="CJ853" s="2010"/>
      <c r="CK853" s="2010"/>
      <c r="CL853" s="2010"/>
      <c r="CM853" s="2010"/>
      <c r="CN853" s="2010"/>
      <c r="CO853" s="2010"/>
      <c r="CP853" s="2010"/>
      <c r="CQ853" s="2010"/>
      <c r="CR853" s="2010"/>
      <c r="CS853" s="2010"/>
      <c r="CT853" s="2010"/>
      <c r="CU853" s="2010"/>
      <c r="CV853" s="2010"/>
      <c r="CW853" s="2010"/>
      <c r="CX853" s="2010"/>
      <c r="CY853" s="2010"/>
      <c r="CZ853" s="2010"/>
      <c r="DA853" s="2010"/>
      <c r="DB853" s="2010"/>
      <c r="DC853" s="2010"/>
      <c r="DD853" s="2010"/>
      <c r="DE853" s="2010"/>
    </row>
    <row r="854" spans="1:109" s="2014" customFormat="1" x14ac:dyDescent="0.2">
      <c r="A854" s="2013"/>
      <c r="B854" s="2013"/>
      <c r="C854" s="2013"/>
      <c r="D854" s="2013"/>
      <c r="AB854" s="2010"/>
      <c r="AU854" s="2010"/>
      <c r="AV854" s="2010"/>
      <c r="AW854" s="2010"/>
      <c r="AX854" s="2010"/>
      <c r="AY854" s="2010"/>
      <c r="AZ854" s="2010"/>
      <c r="BA854" s="2010"/>
      <c r="BB854" s="2010"/>
      <c r="BC854" s="2010"/>
      <c r="BD854" s="2010"/>
      <c r="BE854" s="2010"/>
      <c r="BF854" s="2010"/>
      <c r="BG854" s="2010"/>
      <c r="BH854" s="2010"/>
      <c r="BI854" s="2010"/>
      <c r="BJ854" s="2010"/>
      <c r="BK854" s="2010"/>
      <c r="BL854" s="2010"/>
      <c r="BM854" s="2010"/>
      <c r="BN854" s="2010"/>
      <c r="BO854" s="2010"/>
      <c r="BP854" s="2010"/>
      <c r="BQ854" s="2010"/>
      <c r="BR854" s="2010"/>
      <c r="BS854" s="2010"/>
      <c r="BT854" s="2010"/>
      <c r="BU854" s="2010"/>
      <c r="BV854" s="2010"/>
      <c r="BW854" s="2010"/>
      <c r="BX854" s="2010"/>
      <c r="BY854" s="2010"/>
      <c r="BZ854" s="2010"/>
      <c r="CA854" s="2010"/>
      <c r="CB854" s="2010"/>
      <c r="CC854" s="2010"/>
      <c r="CD854" s="2010"/>
      <c r="CE854" s="2010"/>
      <c r="CF854" s="2010"/>
      <c r="CG854" s="2010"/>
      <c r="CH854" s="2010"/>
      <c r="CI854" s="2010"/>
      <c r="CJ854" s="2010"/>
      <c r="CK854" s="2010"/>
      <c r="CL854" s="2010"/>
      <c r="CM854" s="2010"/>
      <c r="CN854" s="2010"/>
      <c r="CO854" s="2010"/>
      <c r="CP854" s="2010"/>
      <c r="CQ854" s="2010"/>
      <c r="CR854" s="2010"/>
      <c r="CS854" s="2010"/>
      <c r="CT854" s="2010"/>
      <c r="CU854" s="2010"/>
      <c r="CV854" s="2010"/>
      <c r="CW854" s="2010"/>
      <c r="CX854" s="2010"/>
      <c r="CY854" s="2010"/>
      <c r="CZ854" s="2010"/>
      <c r="DA854" s="2010"/>
      <c r="DB854" s="2010"/>
      <c r="DC854" s="2010"/>
      <c r="DD854" s="2010"/>
      <c r="DE854" s="2010"/>
    </row>
    <row r="855" spans="1:109" s="2014" customFormat="1" x14ac:dyDescent="0.2">
      <c r="A855" s="2013"/>
      <c r="B855" s="2013"/>
      <c r="C855" s="2013"/>
      <c r="D855" s="2013"/>
      <c r="AB855" s="2010"/>
      <c r="AU855" s="2010"/>
      <c r="AV855" s="2010"/>
      <c r="AW855" s="2010"/>
      <c r="AX855" s="2010"/>
      <c r="AY855" s="2010"/>
      <c r="AZ855" s="2010"/>
      <c r="BA855" s="2010"/>
      <c r="BB855" s="2010"/>
      <c r="BC855" s="2010"/>
      <c r="BD855" s="2010"/>
      <c r="BE855" s="2010"/>
      <c r="BF855" s="2010"/>
      <c r="BG855" s="2010"/>
      <c r="BH855" s="2010"/>
      <c r="BI855" s="2010"/>
      <c r="BJ855" s="2010"/>
      <c r="BK855" s="2010"/>
      <c r="BL855" s="2010"/>
      <c r="BM855" s="2010"/>
      <c r="BN855" s="2010"/>
      <c r="BO855" s="2010"/>
      <c r="BP855" s="2010"/>
      <c r="BQ855" s="2010"/>
      <c r="BR855" s="2010"/>
      <c r="BS855" s="2010"/>
      <c r="BT855" s="2010"/>
      <c r="BU855" s="2010"/>
      <c r="BV855" s="2010"/>
      <c r="BW855" s="2010"/>
      <c r="BX855" s="2010"/>
      <c r="BY855" s="2010"/>
      <c r="BZ855" s="2010"/>
      <c r="CA855" s="2010"/>
      <c r="CB855" s="2010"/>
      <c r="CC855" s="2010"/>
      <c r="CD855" s="2010"/>
      <c r="CE855" s="2010"/>
      <c r="CF855" s="2010"/>
      <c r="CG855" s="2010"/>
      <c r="CH855" s="2010"/>
      <c r="CI855" s="2010"/>
      <c r="CJ855" s="2010"/>
      <c r="CK855" s="2010"/>
      <c r="CL855" s="2010"/>
      <c r="CM855" s="2010"/>
      <c r="CN855" s="2010"/>
      <c r="CO855" s="2010"/>
      <c r="CP855" s="2010"/>
      <c r="CQ855" s="2010"/>
      <c r="CR855" s="2010"/>
      <c r="CS855" s="2010"/>
      <c r="CT855" s="2010"/>
      <c r="CU855" s="2010"/>
      <c r="CV855" s="2010"/>
      <c r="CW855" s="2010"/>
      <c r="CX855" s="2010"/>
      <c r="CY855" s="2010"/>
      <c r="CZ855" s="2010"/>
      <c r="DA855" s="2010"/>
      <c r="DB855" s="2010"/>
      <c r="DC855" s="2010"/>
      <c r="DD855" s="2010"/>
      <c r="DE855" s="2010"/>
    </row>
    <row r="856" spans="1:109" s="2014" customFormat="1" x14ac:dyDescent="0.2">
      <c r="A856" s="2013"/>
      <c r="B856" s="2013"/>
      <c r="C856" s="2013"/>
      <c r="D856" s="2013"/>
      <c r="AB856" s="2010"/>
      <c r="AU856" s="2010"/>
      <c r="AV856" s="2010"/>
      <c r="AW856" s="2010"/>
      <c r="AX856" s="2010"/>
      <c r="AY856" s="2010"/>
      <c r="AZ856" s="2010"/>
      <c r="BA856" s="2010"/>
      <c r="BB856" s="2010"/>
      <c r="BC856" s="2010"/>
      <c r="BD856" s="2010"/>
      <c r="BE856" s="2010"/>
      <c r="BF856" s="2010"/>
      <c r="BG856" s="2010"/>
      <c r="BH856" s="2010"/>
      <c r="BI856" s="2010"/>
      <c r="BJ856" s="2010"/>
      <c r="BK856" s="2010"/>
      <c r="BL856" s="2010"/>
      <c r="BM856" s="2010"/>
      <c r="BN856" s="2010"/>
      <c r="BO856" s="2010"/>
      <c r="BP856" s="2010"/>
      <c r="BQ856" s="2010"/>
      <c r="BR856" s="2010"/>
      <c r="BS856" s="2010"/>
      <c r="BT856" s="2010"/>
      <c r="BU856" s="2010"/>
      <c r="BV856" s="2010"/>
      <c r="BW856" s="2010"/>
      <c r="BX856" s="2010"/>
      <c r="BY856" s="2010"/>
      <c r="BZ856" s="2010"/>
      <c r="CA856" s="2010"/>
      <c r="CB856" s="2010"/>
      <c r="CC856" s="2010"/>
      <c r="CD856" s="2010"/>
      <c r="CE856" s="2010"/>
      <c r="CF856" s="2010"/>
      <c r="CG856" s="2010"/>
      <c r="CH856" s="2010"/>
      <c r="CI856" s="2010"/>
      <c r="CJ856" s="2010"/>
      <c r="CK856" s="2010"/>
      <c r="CL856" s="2010"/>
      <c r="CM856" s="2010"/>
      <c r="CN856" s="2010"/>
      <c r="CO856" s="2010"/>
      <c r="CP856" s="2010"/>
      <c r="CQ856" s="2010"/>
      <c r="CR856" s="2010"/>
      <c r="CS856" s="2010"/>
      <c r="CT856" s="2010"/>
      <c r="CU856" s="2010"/>
      <c r="CV856" s="2010"/>
      <c r="CW856" s="2010"/>
      <c r="CX856" s="2010"/>
      <c r="CY856" s="2010"/>
      <c r="CZ856" s="2010"/>
      <c r="DA856" s="2010"/>
      <c r="DB856" s="2010"/>
      <c r="DC856" s="2010"/>
      <c r="DD856" s="2010"/>
      <c r="DE856" s="2010"/>
    </row>
    <row r="857" spans="1:109" s="2014" customFormat="1" x14ac:dyDescent="0.2">
      <c r="A857" s="2013"/>
      <c r="B857" s="2013"/>
      <c r="C857" s="2013"/>
      <c r="D857" s="2013"/>
      <c r="AB857" s="2010"/>
      <c r="AU857" s="2010"/>
      <c r="AV857" s="2010"/>
      <c r="AW857" s="2010"/>
      <c r="AX857" s="2010"/>
      <c r="AY857" s="2010"/>
      <c r="AZ857" s="2010"/>
      <c r="BA857" s="2010"/>
      <c r="BB857" s="2010"/>
      <c r="BC857" s="2010"/>
      <c r="BD857" s="2010"/>
      <c r="BE857" s="2010"/>
      <c r="BF857" s="2010"/>
      <c r="BG857" s="2010"/>
      <c r="BH857" s="2010"/>
      <c r="BI857" s="2010"/>
      <c r="BJ857" s="2010"/>
      <c r="BK857" s="2010"/>
      <c r="BL857" s="2010"/>
      <c r="BM857" s="2010"/>
      <c r="BN857" s="2010"/>
      <c r="BO857" s="2010"/>
      <c r="BP857" s="2010"/>
      <c r="BQ857" s="2010"/>
      <c r="BR857" s="2010"/>
      <c r="BS857" s="2010"/>
      <c r="BT857" s="2010"/>
      <c r="BU857" s="2010"/>
      <c r="BV857" s="2010"/>
      <c r="BW857" s="2010"/>
      <c r="BX857" s="2010"/>
      <c r="BY857" s="2010"/>
      <c r="BZ857" s="2010"/>
      <c r="CA857" s="2010"/>
      <c r="CB857" s="2010"/>
      <c r="CC857" s="2010"/>
      <c r="CD857" s="2010"/>
      <c r="CE857" s="2010"/>
      <c r="CF857" s="2010"/>
      <c r="CG857" s="2010"/>
      <c r="CH857" s="2010"/>
      <c r="CI857" s="2010"/>
      <c r="CJ857" s="2010"/>
      <c r="CK857" s="2010"/>
      <c r="CL857" s="2010"/>
      <c r="CM857" s="2010"/>
      <c r="CN857" s="2010"/>
      <c r="CO857" s="2010"/>
      <c r="CP857" s="2010"/>
      <c r="CQ857" s="2010"/>
      <c r="CR857" s="2010"/>
      <c r="CS857" s="2010"/>
      <c r="CT857" s="2010"/>
      <c r="CU857" s="2010"/>
      <c r="CV857" s="2010"/>
      <c r="CW857" s="2010"/>
      <c r="CX857" s="2010"/>
      <c r="CY857" s="2010"/>
      <c r="CZ857" s="2010"/>
      <c r="DA857" s="2010"/>
      <c r="DB857" s="2010"/>
      <c r="DC857" s="2010"/>
      <c r="DD857" s="2010"/>
      <c r="DE857" s="2010"/>
    </row>
    <row r="858" spans="1:109" s="2014" customFormat="1" x14ac:dyDescent="0.2">
      <c r="A858" s="2013"/>
      <c r="B858" s="2013"/>
      <c r="C858" s="2013"/>
      <c r="D858" s="2013"/>
      <c r="AB858" s="2010"/>
      <c r="AU858" s="2010"/>
      <c r="AV858" s="2010"/>
      <c r="AW858" s="2010"/>
      <c r="AX858" s="2010"/>
      <c r="AY858" s="2010"/>
      <c r="AZ858" s="2010"/>
      <c r="BA858" s="2010"/>
      <c r="BB858" s="2010"/>
      <c r="BC858" s="2010"/>
      <c r="BD858" s="2010"/>
      <c r="BE858" s="2010"/>
      <c r="BF858" s="2010"/>
      <c r="BG858" s="2010"/>
      <c r="BH858" s="2010"/>
      <c r="BI858" s="2010"/>
      <c r="BJ858" s="2010"/>
      <c r="BK858" s="2010"/>
      <c r="BL858" s="2010"/>
      <c r="BM858" s="2010"/>
      <c r="BN858" s="2010"/>
      <c r="BO858" s="2010"/>
      <c r="BP858" s="2010"/>
      <c r="BQ858" s="2010"/>
      <c r="BR858" s="2010"/>
      <c r="BS858" s="2010"/>
      <c r="BT858" s="2010"/>
      <c r="BU858" s="2010"/>
      <c r="BV858" s="2010"/>
      <c r="BW858" s="2010"/>
      <c r="BX858" s="2010"/>
      <c r="BY858" s="2010"/>
      <c r="BZ858" s="2010"/>
      <c r="CA858" s="2010"/>
      <c r="CB858" s="2010"/>
      <c r="CC858" s="2010"/>
      <c r="CD858" s="2010"/>
      <c r="CE858" s="2010"/>
      <c r="CF858" s="2010"/>
      <c r="CG858" s="2010"/>
      <c r="CH858" s="2010"/>
      <c r="CI858" s="2010"/>
      <c r="CJ858" s="2010"/>
      <c r="CK858" s="2010"/>
      <c r="CL858" s="2010"/>
      <c r="CM858" s="2010"/>
      <c r="CN858" s="2010"/>
      <c r="CO858" s="2010"/>
      <c r="CP858" s="2010"/>
      <c r="CQ858" s="2010"/>
      <c r="CR858" s="2010"/>
      <c r="CS858" s="2010"/>
      <c r="CT858" s="2010"/>
      <c r="CU858" s="2010"/>
      <c r="CV858" s="2010"/>
      <c r="CW858" s="2010"/>
      <c r="CX858" s="2010"/>
      <c r="CY858" s="2010"/>
      <c r="CZ858" s="2010"/>
      <c r="DA858" s="2010"/>
      <c r="DB858" s="2010"/>
      <c r="DC858" s="2010"/>
      <c r="DD858" s="2010"/>
      <c r="DE858" s="2010"/>
    </row>
    <row r="859" spans="1:109" s="2014" customFormat="1" x14ac:dyDescent="0.2">
      <c r="A859" s="2013"/>
      <c r="B859" s="2013"/>
      <c r="C859" s="2013"/>
      <c r="D859" s="2013"/>
      <c r="AB859" s="2010"/>
      <c r="AU859" s="2010"/>
      <c r="AV859" s="2010"/>
      <c r="AW859" s="2010"/>
      <c r="AX859" s="2010"/>
      <c r="AY859" s="2010"/>
      <c r="AZ859" s="2010"/>
      <c r="BA859" s="2010"/>
      <c r="BB859" s="2010"/>
      <c r="BC859" s="2010"/>
      <c r="BD859" s="2010"/>
      <c r="BE859" s="2010"/>
      <c r="BF859" s="2010"/>
      <c r="BG859" s="2010"/>
      <c r="BH859" s="2010"/>
      <c r="BI859" s="2010"/>
      <c r="BJ859" s="2010"/>
      <c r="BK859" s="2010"/>
      <c r="BL859" s="2010"/>
      <c r="BM859" s="2010"/>
      <c r="BN859" s="2010"/>
      <c r="BO859" s="2010"/>
      <c r="BP859" s="2010"/>
      <c r="BQ859" s="2010"/>
      <c r="BR859" s="2010"/>
      <c r="BS859" s="2010"/>
      <c r="BT859" s="2010"/>
      <c r="BU859" s="2010"/>
      <c r="BV859" s="2010"/>
      <c r="BW859" s="2010"/>
      <c r="BX859" s="2010"/>
      <c r="BY859" s="2010"/>
      <c r="BZ859" s="2010"/>
      <c r="CA859" s="2010"/>
      <c r="CB859" s="2010"/>
      <c r="CC859" s="2010"/>
      <c r="CD859" s="2010"/>
      <c r="CE859" s="2010"/>
      <c r="CF859" s="2010"/>
      <c r="CG859" s="2010"/>
      <c r="CH859" s="2010"/>
      <c r="CI859" s="2010"/>
      <c r="CJ859" s="2010"/>
      <c r="CK859" s="2010"/>
      <c r="CL859" s="2010"/>
      <c r="CM859" s="2010"/>
      <c r="CN859" s="2010"/>
      <c r="CO859" s="2010"/>
      <c r="CP859" s="2010"/>
      <c r="CQ859" s="2010"/>
      <c r="CR859" s="2010"/>
      <c r="CS859" s="2010"/>
      <c r="CT859" s="2010"/>
      <c r="CU859" s="2010"/>
      <c r="CV859" s="2010"/>
      <c r="CW859" s="2010"/>
      <c r="CX859" s="2010"/>
      <c r="CY859" s="2010"/>
      <c r="CZ859" s="2010"/>
      <c r="DA859" s="2010"/>
      <c r="DB859" s="2010"/>
      <c r="DC859" s="2010"/>
      <c r="DD859" s="2010"/>
      <c r="DE859" s="2010"/>
    </row>
    <row r="860" spans="1:109" s="2014" customFormat="1" x14ac:dyDescent="0.2">
      <c r="A860" s="2013"/>
      <c r="B860" s="2013"/>
      <c r="C860" s="2013"/>
      <c r="D860" s="2013"/>
      <c r="AB860" s="2010"/>
      <c r="AU860" s="2010"/>
      <c r="AV860" s="2010"/>
      <c r="AW860" s="2010"/>
      <c r="AX860" s="2010"/>
      <c r="AY860" s="2010"/>
      <c r="AZ860" s="2010"/>
      <c r="BA860" s="2010"/>
      <c r="BB860" s="2010"/>
      <c r="BC860" s="2010"/>
      <c r="BD860" s="2010"/>
      <c r="BE860" s="2010"/>
      <c r="BF860" s="2010"/>
      <c r="BG860" s="2010"/>
      <c r="BH860" s="2010"/>
      <c r="BI860" s="2010"/>
      <c r="BJ860" s="2010"/>
      <c r="BK860" s="2010"/>
      <c r="BL860" s="2010"/>
      <c r="BM860" s="2010"/>
      <c r="BN860" s="2010"/>
      <c r="BO860" s="2010"/>
      <c r="BP860" s="2010"/>
      <c r="BQ860" s="2010"/>
      <c r="BR860" s="2010"/>
      <c r="BS860" s="2010"/>
      <c r="BT860" s="2010"/>
      <c r="BU860" s="2010"/>
      <c r="BV860" s="2010"/>
      <c r="BW860" s="2010"/>
      <c r="BX860" s="2010"/>
      <c r="BY860" s="2010"/>
      <c r="BZ860" s="2010"/>
      <c r="CA860" s="2010"/>
      <c r="CB860" s="2010"/>
      <c r="CC860" s="2010"/>
      <c r="CD860" s="2010"/>
      <c r="CE860" s="2010"/>
      <c r="CF860" s="2010"/>
      <c r="CG860" s="2010"/>
      <c r="CH860" s="2010"/>
      <c r="CI860" s="2010"/>
      <c r="CJ860" s="2010"/>
      <c r="CK860" s="2010"/>
      <c r="CL860" s="2010"/>
      <c r="CM860" s="2010"/>
      <c r="CN860" s="2010"/>
      <c r="CO860" s="2010"/>
      <c r="CP860" s="2010"/>
      <c r="CQ860" s="2010"/>
      <c r="CR860" s="2010"/>
      <c r="CS860" s="2010"/>
      <c r="CT860" s="2010"/>
      <c r="CU860" s="2010"/>
      <c r="CV860" s="2010"/>
      <c r="CW860" s="2010"/>
      <c r="CX860" s="2010"/>
      <c r="CY860" s="2010"/>
      <c r="CZ860" s="2010"/>
      <c r="DA860" s="2010"/>
      <c r="DB860" s="2010"/>
      <c r="DC860" s="2010"/>
      <c r="DD860" s="2010"/>
      <c r="DE860" s="2010"/>
    </row>
    <row r="861" spans="1:109" s="2014" customFormat="1" x14ac:dyDescent="0.2">
      <c r="A861" s="2013"/>
      <c r="B861" s="2013"/>
      <c r="C861" s="2013"/>
      <c r="D861" s="2013"/>
      <c r="AB861" s="2010"/>
      <c r="AU861" s="2010"/>
      <c r="AV861" s="2010"/>
      <c r="AW861" s="2010"/>
      <c r="AX861" s="2010"/>
      <c r="AY861" s="2010"/>
      <c r="AZ861" s="2010"/>
      <c r="BA861" s="2010"/>
      <c r="BB861" s="2010"/>
      <c r="BC861" s="2010"/>
      <c r="BD861" s="2010"/>
      <c r="BE861" s="2010"/>
      <c r="BF861" s="2010"/>
      <c r="BG861" s="2010"/>
      <c r="BH861" s="2010"/>
      <c r="BI861" s="2010"/>
      <c r="BJ861" s="2010"/>
      <c r="BK861" s="2010"/>
      <c r="BL861" s="2010"/>
      <c r="BM861" s="2010"/>
      <c r="BN861" s="2010"/>
      <c r="BO861" s="2010"/>
      <c r="BP861" s="2010"/>
      <c r="BQ861" s="2010"/>
      <c r="BR861" s="2010"/>
      <c r="BS861" s="2010"/>
      <c r="BT861" s="2010"/>
      <c r="BU861" s="2010"/>
      <c r="BV861" s="2010"/>
      <c r="BW861" s="2010"/>
      <c r="BX861" s="2010"/>
      <c r="BY861" s="2010"/>
      <c r="BZ861" s="2010"/>
      <c r="CA861" s="2010"/>
      <c r="CB861" s="2010"/>
      <c r="CC861" s="2010"/>
      <c r="CD861" s="2010"/>
      <c r="CE861" s="2010"/>
      <c r="CF861" s="2010"/>
      <c r="CG861" s="2010"/>
      <c r="CH861" s="2010"/>
      <c r="CI861" s="2010"/>
      <c r="CJ861" s="2010"/>
      <c r="CK861" s="2010"/>
      <c r="CL861" s="2010"/>
      <c r="CM861" s="2010"/>
      <c r="CN861" s="2010"/>
      <c r="CO861" s="2010"/>
      <c r="CP861" s="2010"/>
      <c r="CQ861" s="2010"/>
      <c r="CR861" s="2010"/>
      <c r="CS861" s="2010"/>
      <c r="CT861" s="2010"/>
      <c r="CU861" s="2010"/>
      <c r="CV861" s="2010"/>
      <c r="CW861" s="2010"/>
      <c r="CX861" s="2010"/>
      <c r="CY861" s="2010"/>
      <c r="CZ861" s="2010"/>
      <c r="DA861" s="2010"/>
      <c r="DB861" s="2010"/>
      <c r="DC861" s="2010"/>
      <c r="DD861" s="2010"/>
      <c r="DE861" s="2010"/>
    </row>
    <row r="862" spans="1:109" s="2014" customFormat="1" x14ac:dyDescent="0.2">
      <c r="A862" s="2013"/>
      <c r="B862" s="2013"/>
      <c r="C862" s="2013"/>
      <c r="D862" s="2013"/>
      <c r="AB862" s="2010"/>
      <c r="AU862" s="2010"/>
      <c r="AV862" s="2010"/>
      <c r="AW862" s="2010"/>
      <c r="AX862" s="2010"/>
      <c r="AY862" s="2010"/>
      <c r="AZ862" s="2010"/>
      <c r="BA862" s="2010"/>
      <c r="BB862" s="2010"/>
      <c r="BC862" s="2010"/>
      <c r="BD862" s="2010"/>
      <c r="BE862" s="2010"/>
      <c r="BF862" s="2010"/>
      <c r="BG862" s="2010"/>
      <c r="BH862" s="2010"/>
      <c r="BI862" s="2010"/>
      <c r="BJ862" s="2010"/>
      <c r="BK862" s="2010"/>
      <c r="BL862" s="2010"/>
      <c r="BM862" s="2010"/>
      <c r="BN862" s="2010"/>
      <c r="BO862" s="2010"/>
      <c r="BP862" s="2010"/>
      <c r="BQ862" s="2010"/>
      <c r="BR862" s="2010"/>
      <c r="BS862" s="2010"/>
      <c r="BT862" s="2010"/>
      <c r="BU862" s="2010"/>
      <c r="BV862" s="2010"/>
      <c r="BW862" s="2010"/>
      <c r="BX862" s="2010"/>
      <c r="BY862" s="2010"/>
      <c r="BZ862" s="2010"/>
      <c r="CA862" s="2010"/>
      <c r="CB862" s="2010"/>
      <c r="CC862" s="2010"/>
      <c r="CD862" s="2010"/>
      <c r="CE862" s="2010"/>
      <c r="CF862" s="2010"/>
      <c r="CG862" s="2010"/>
      <c r="CH862" s="2010"/>
      <c r="CI862" s="2010"/>
      <c r="CJ862" s="2010"/>
      <c r="CK862" s="2010"/>
      <c r="CL862" s="2010"/>
      <c r="CM862" s="2010"/>
      <c r="CN862" s="2010"/>
      <c r="CO862" s="2010"/>
      <c r="CP862" s="2010"/>
      <c r="CQ862" s="2010"/>
      <c r="CR862" s="2010"/>
      <c r="CS862" s="2010"/>
      <c r="CT862" s="2010"/>
      <c r="CU862" s="2010"/>
      <c r="CV862" s="2010"/>
      <c r="CW862" s="2010"/>
      <c r="CX862" s="2010"/>
      <c r="CY862" s="2010"/>
      <c r="CZ862" s="2010"/>
      <c r="DA862" s="2010"/>
      <c r="DB862" s="2010"/>
      <c r="DC862" s="2010"/>
      <c r="DD862" s="2010"/>
      <c r="DE862" s="2010"/>
    </row>
    <row r="863" spans="1:109" s="2014" customFormat="1" x14ac:dyDescent="0.2">
      <c r="A863" s="2013"/>
      <c r="B863" s="2013"/>
      <c r="C863" s="2013"/>
      <c r="D863" s="2013"/>
      <c r="AB863" s="2010"/>
      <c r="AU863" s="2010"/>
      <c r="AV863" s="2010"/>
      <c r="AW863" s="2010"/>
      <c r="AX863" s="2010"/>
      <c r="AY863" s="2010"/>
      <c r="AZ863" s="2010"/>
      <c r="BA863" s="2010"/>
      <c r="BB863" s="2010"/>
      <c r="BC863" s="2010"/>
      <c r="BD863" s="2010"/>
      <c r="BE863" s="2010"/>
      <c r="BF863" s="2010"/>
      <c r="BG863" s="2010"/>
      <c r="BH863" s="2010"/>
      <c r="BI863" s="2010"/>
      <c r="BJ863" s="2010"/>
      <c r="BK863" s="2010"/>
      <c r="BL863" s="2010"/>
      <c r="BM863" s="2010"/>
      <c r="BN863" s="2010"/>
      <c r="BO863" s="2010"/>
      <c r="BP863" s="2010"/>
      <c r="BQ863" s="2010"/>
      <c r="BR863" s="2010"/>
      <c r="BS863" s="2010"/>
      <c r="BT863" s="2010"/>
      <c r="BU863" s="2010"/>
      <c r="BV863" s="2010"/>
      <c r="BW863" s="2010"/>
      <c r="BX863" s="2010"/>
      <c r="BY863" s="2010"/>
      <c r="BZ863" s="2010"/>
      <c r="CA863" s="2010"/>
      <c r="CB863" s="2010"/>
      <c r="CC863" s="2010"/>
      <c r="CD863" s="2010"/>
      <c r="CE863" s="2010"/>
      <c r="CF863" s="2010"/>
      <c r="CG863" s="2010"/>
      <c r="CH863" s="2010"/>
      <c r="CI863" s="2010"/>
      <c r="CJ863" s="2010"/>
      <c r="CK863" s="2010"/>
      <c r="CL863" s="2010"/>
      <c r="CM863" s="2010"/>
      <c r="CN863" s="2010"/>
      <c r="CO863" s="2010"/>
      <c r="CP863" s="2010"/>
      <c r="CQ863" s="2010"/>
      <c r="CR863" s="2010"/>
      <c r="CS863" s="2010"/>
      <c r="CT863" s="2010"/>
      <c r="CU863" s="2010"/>
      <c r="CV863" s="2010"/>
      <c r="CW863" s="2010"/>
      <c r="CX863" s="2010"/>
      <c r="CY863" s="2010"/>
      <c r="CZ863" s="2010"/>
      <c r="DA863" s="2010"/>
      <c r="DB863" s="2010"/>
      <c r="DC863" s="2010"/>
      <c r="DD863" s="2010"/>
      <c r="DE863" s="2010"/>
    </row>
    <row r="864" spans="1:109" s="2014" customFormat="1" x14ac:dyDescent="0.2">
      <c r="A864" s="2013"/>
      <c r="B864" s="2013"/>
      <c r="C864" s="2013"/>
      <c r="D864" s="2013"/>
      <c r="AB864" s="2010"/>
      <c r="AU864" s="2010"/>
      <c r="AV864" s="2010"/>
      <c r="AW864" s="2010"/>
      <c r="AX864" s="2010"/>
      <c r="AY864" s="2010"/>
      <c r="AZ864" s="2010"/>
      <c r="BA864" s="2010"/>
      <c r="BB864" s="2010"/>
      <c r="BC864" s="2010"/>
      <c r="BD864" s="2010"/>
      <c r="BE864" s="2010"/>
      <c r="BF864" s="2010"/>
      <c r="BG864" s="2010"/>
      <c r="BH864" s="2010"/>
      <c r="BI864" s="2010"/>
      <c r="BJ864" s="2010"/>
      <c r="BK864" s="2010"/>
      <c r="BL864" s="2010"/>
      <c r="BM864" s="2010"/>
      <c r="BN864" s="2010"/>
      <c r="BO864" s="2010"/>
      <c r="BP864" s="2010"/>
      <c r="BQ864" s="2010"/>
      <c r="BR864" s="2010"/>
      <c r="BS864" s="2010"/>
      <c r="BT864" s="2010"/>
      <c r="BU864" s="2010"/>
      <c r="BV864" s="2010"/>
      <c r="BW864" s="2010"/>
      <c r="BX864" s="2010"/>
      <c r="BY864" s="2010"/>
      <c r="BZ864" s="2010"/>
      <c r="CA864" s="2010"/>
      <c r="CB864" s="2010"/>
      <c r="CC864" s="2010"/>
      <c r="CD864" s="2010"/>
      <c r="CE864" s="2010"/>
      <c r="CF864" s="2010"/>
      <c r="CG864" s="2010"/>
      <c r="CH864" s="2010"/>
      <c r="CI864" s="2010"/>
      <c r="CJ864" s="2010"/>
      <c r="CK864" s="2010"/>
      <c r="CL864" s="2010"/>
      <c r="CM864" s="2010"/>
      <c r="CN864" s="2010"/>
      <c r="CO864" s="2010"/>
      <c r="CP864" s="2010"/>
      <c r="CQ864" s="2010"/>
      <c r="CR864" s="2010"/>
      <c r="CS864" s="2010"/>
      <c r="CT864" s="2010"/>
      <c r="CU864" s="2010"/>
      <c r="CV864" s="2010"/>
      <c r="CW864" s="2010"/>
      <c r="CX864" s="2010"/>
      <c r="CY864" s="2010"/>
      <c r="CZ864" s="2010"/>
      <c r="DA864" s="2010"/>
      <c r="DB864" s="2010"/>
      <c r="DC864" s="2010"/>
      <c r="DD864" s="2010"/>
      <c r="DE864" s="2010"/>
    </row>
    <row r="865" spans="1:109" s="2014" customFormat="1" x14ac:dyDescent="0.2">
      <c r="A865" s="2013"/>
      <c r="B865" s="2013"/>
      <c r="C865" s="2013"/>
      <c r="D865" s="2013"/>
      <c r="AB865" s="2010"/>
      <c r="AU865" s="2010"/>
      <c r="AV865" s="2010"/>
      <c r="AW865" s="2010"/>
      <c r="AX865" s="2010"/>
      <c r="AY865" s="2010"/>
      <c r="AZ865" s="2010"/>
      <c r="BA865" s="2010"/>
      <c r="BB865" s="2010"/>
      <c r="BC865" s="2010"/>
      <c r="BD865" s="2010"/>
      <c r="BE865" s="2010"/>
      <c r="BF865" s="2010"/>
      <c r="BG865" s="2010"/>
      <c r="BH865" s="2010"/>
      <c r="BI865" s="2010"/>
      <c r="BJ865" s="2010"/>
      <c r="BK865" s="2010"/>
      <c r="BL865" s="2010"/>
      <c r="BM865" s="2010"/>
      <c r="BN865" s="2010"/>
      <c r="BO865" s="2010"/>
      <c r="BP865" s="2010"/>
      <c r="BQ865" s="2010"/>
      <c r="BR865" s="2010"/>
      <c r="BS865" s="2010"/>
      <c r="BT865" s="2010"/>
      <c r="BU865" s="2010"/>
      <c r="BV865" s="2010"/>
      <c r="BW865" s="2010"/>
      <c r="BX865" s="2010"/>
      <c r="BY865" s="2010"/>
      <c r="BZ865" s="2010"/>
      <c r="CA865" s="2010"/>
      <c r="CB865" s="2010"/>
      <c r="CC865" s="2010"/>
      <c r="CD865" s="2010"/>
      <c r="CE865" s="2010"/>
      <c r="CF865" s="2010"/>
      <c r="CG865" s="2010"/>
      <c r="CH865" s="2010"/>
      <c r="CI865" s="2010"/>
      <c r="CJ865" s="2010"/>
      <c r="CK865" s="2010"/>
      <c r="CL865" s="2010"/>
      <c r="CM865" s="2010"/>
      <c r="CN865" s="2010"/>
      <c r="CO865" s="2010"/>
      <c r="CP865" s="2010"/>
      <c r="CQ865" s="2010"/>
      <c r="CR865" s="2010"/>
      <c r="CS865" s="2010"/>
      <c r="CT865" s="2010"/>
      <c r="CU865" s="2010"/>
      <c r="CV865" s="2010"/>
      <c r="CW865" s="2010"/>
      <c r="CX865" s="2010"/>
      <c r="CY865" s="2010"/>
      <c r="CZ865" s="2010"/>
      <c r="DA865" s="2010"/>
      <c r="DB865" s="2010"/>
      <c r="DC865" s="2010"/>
      <c r="DD865" s="2010"/>
      <c r="DE865" s="2010"/>
    </row>
    <row r="866" spans="1:109" s="2014" customFormat="1" x14ac:dyDescent="0.2">
      <c r="A866" s="2013"/>
      <c r="B866" s="2013"/>
      <c r="C866" s="2013"/>
      <c r="D866" s="2013"/>
      <c r="AB866" s="2010"/>
      <c r="AU866" s="2010"/>
      <c r="AV866" s="2010"/>
      <c r="AW866" s="2010"/>
      <c r="AX866" s="2010"/>
      <c r="AY866" s="2010"/>
      <c r="AZ866" s="2010"/>
      <c r="BA866" s="2010"/>
      <c r="BB866" s="2010"/>
      <c r="BC866" s="2010"/>
      <c r="BD866" s="2010"/>
      <c r="BE866" s="2010"/>
      <c r="BF866" s="2010"/>
      <c r="BG866" s="2010"/>
      <c r="BH866" s="2010"/>
      <c r="BI866" s="2010"/>
      <c r="BJ866" s="2010"/>
      <c r="BK866" s="2010"/>
      <c r="BL866" s="2010"/>
      <c r="BM866" s="2010"/>
      <c r="BN866" s="2010"/>
      <c r="BO866" s="2010"/>
      <c r="BP866" s="2010"/>
      <c r="BQ866" s="2010"/>
      <c r="BR866" s="2010"/>
      <c r="BS866" s="2010"/>
      <c r="BT866" s="2010"/>
      <c r="BU866" s="2010"/>
      <c r="BV866" s="2010"/>
      <c r="BW866" s="2010"/>
      <c r="BX866" s="2010"/>
      <c r="BY866" s="2010"/>
      <c r="BZ866" s="2010"/>
      <c r="CA866" s="2010"/>
      <c r="CB866" s="2010"/>
      <c r="CC866" s="2010"/>
      <c r="CD866" s="2010"/>
      <c r="CE866" s="2010"/>
      <c r="CF866" s="2010"/>
      <c r="CG866" s="2010"/>
      <c r="CH866" s="2010"/>
      <c r="CI866" s="2010"/>
      <c r="CJ866" s="2010"/>
      <c r="CK866" s="2010"/>
      <c r="CL866" s="2010"/>
      <c r="CM866" s="2010"/>
      <c r="CN866" s="2010"/>
      <c r="CO866" s="2010"/>
      <c r="CP866" s="2010"/>
      <c r="CQ866" s="2010"/>
      <c r="CR866" s="2010"/>
      <c r="CS866" s="2010"/>
      <c r="CT866" s="2010"/>
      <c r="CU866" s="2010"/>
      <c r="CV866" s="2010"/>
      <c r="CW866" s="2010"/>
      <c r="CX866" s="2010"/>
      <c r="CY866" s="2010"/>
      <c r="CZ866" s="2010"/>
      <c r="DA866" s="2010"/>
      <c r="DB866" s="2010"/>
      <c r="DC866" s="2010"/>
      <c r="DD866" s="2010"/>
      <c r="DE866" s="2010"/>
    </row>
    <row r="867" spans="1:109" s="2014" customFormat="1" x14ac:dyDescent="0.2">
      <c r="A867" s="2013"/>
      <c r="B867" s="2013"/>
      <c r="C867" s="2013"/>
      <c r="D867" s="2013"/>
      <c r="AB867" s="2010"/>
      <c r="AU867" s="2010"/>
      <c r="AV867" s="2010"/>
      <c r="AW867" s="2010"/>
      <c r="AX867" s="2010"/>
      <c r="AY867" s="2010"/>
      <c r="AZ867" s="2010"/>
      <c r="BA867" s="2010"/>
      <c r="BB867" s="2010"/>
      <c r="BC867" s="2010"/>
      <c r="BD867" s="2010"/>
      <c r="BE867" s="2010"/>
      <c r="BF867" s="2010"/>
      <c r="BG867" s="2010"/>
      <c r="BH867" s="2010"/>
      <c r="BI867" s="2010"/>
      <c r="BJ867" s="2010"/>
      <c r="BK867" s="2010"/>
      <c r="BL867" s="2010"/>
      <c r="BM867" s="2010"/>
      <c r="BN867" s="2010"/>
      <c r="BO867" s="2010"/>
      <c r="BP867" s="2010"/>
      <c r="BQ867" s="2010"/>
      <c r="BR867" s="2010"/>
      <c r="BS867" s="2010"/>
      <c r="BT867" s="2010"/>
      <c r="BU867" s="2010"/>
      <c r="BV867" s="2010"/>
      <c r="BW867" s="2010"/>
      <c r="BX867" s="2010"/>
      <c r="BY867" s="2010"/>
      <c r="BZ867" s="2010"/>
      <c r="CA867" s="2010"/>
      <c r="CB867" s="2010"/>
      <c r="CC867" s="2010"/>
      <c r="CD867" s="2010"/>
      <c r="CE867" s="2010"/>
      <c r="CF867" s="2010"/>
      <c r="CG867" s="2010"/>
      <c r="CH867" s="2010"/>
      <c r="CI867" s="2010"/>
      <c r="CJ867" s="2010"/>
      <c r="CK867" s="2010"/>
      <c r="CL867" s="2010"/>
      <c r="CM867" s="2010"/>
      <c r="CN867" s="2010"/>
      <c r="CO867" s="2010"/>
      <c r="CP867" s="2010"/>
      <c r="CQ867" s="2010"/>
      <c r="CR867" s="2010"/>
      <c r="CS867" s="2010"/>
      <c r="CT867" s="2010"/>
      <c r="CU867" s="2010"/>
      <c r="CV867" s="2010"/>
      <c r="CW867" s="2010"/>
      <c r="CX867" s="2010"/>
      <c r="CY867" s="2010"/>
      <c r="CZ867" s="2010"/>
      <c r="DA867" s="2010"/>
      <c r="DB867" s="2010"/>
      <c r="DC867" s="2010"/>
      <c r="DD867" s="2010"/>
      <c r="DE867" s="2010"/>
    </row>
    <row r="868" spans="1:109" s="2014" customFormat="1" x14ac:dyDescent="0.2">
      <c r="A868" s="2013"/>
      <c r="B868" s="2013"/>
      <c r="C868" s="2013"/>
      <c r="D868" s="2013"/>
      <c r="AB868" s="2010"/>
      <c r="AU868" s="2010"/>
      <c r="AV868" s="2010"/>
      <c r="AW868" s="2010"/>
      <c r="AX868" s="2010"/>
      <c r="AY868" s="2010"/>
      <c r="AZ868" s="2010"/>
      <c r="BA868" s="2010"/>
      <c r="BB868" s="2010"/>
      <c r="BC868" s="2010"/>
      <c r="BD868" s="2010"/>
      <c r="BE868" s="2010"/>
      <c r="BF868" s="2010"/>
      <c r="BG868" s="2010"/>
      <c r="BH868" s="2010"/>
      <c r="BI868" s="2010"/>
      <c r="BJ868" s="2010"/>
      <c r="BK868" s="2010"/>
      <c r="BL868" s="2010"/>
      <c r="BM868" s="2010"/>
      <c r="BN868" s="2010"/>
      <c r="BO868" s="2010"/>
      <c r="BP868" s="2010"/>
      <c r="BQ868" s="2010"/>
      <c r="BR868" s="2010"/>
      <c r="BS868" s="2010"/>
      <c r="BT868" s="2010"/>
      <c r="BU868" s="2010"/>
      <c r="BV868" s="2010"/>
      <c r="BW868" s="2010"/>
      <c r="BX868" s="2010"/>
      <c r="BY868" s="2010"/>
      <c r="BZ868" s="2010"/>
      <c r="CA868" s="2010"/>
      <c r="CB868" s="2010"/>
      <c r="CC868" s="2010"/>
      <c r="CD868" s="2010"/>
      <c r="CE868" s="2010"/>
      <c r="CF868" s="2010"/>
      <c r="CG868" s="2010"/>
      <c r="CH868" s="2010"/>
      <c r="CI868" s="2010"/>
      <c r="CJ868" s="2010"/>
      <c r="CK868" s="2010"/>
      <c r="CL868" s="2010"/>
      <c r="CM868" s="2010"/>
      <c r="CN868" s="2010"/>
      <c r="CO868" s="2010"/>
      <c r="CP868" s="2010"/>
      <c r="CQ868" s="2010"/>
      <c r="CR868" s="2010"/>
      <c r="CS868" s="2010"/>
      <c r="CT868" s="2010"/>
      <c r="CU868" s="2010"/>
      <c r="CV868" s="2010"/>
      <c r="CW868" s="2010"/>
      <c r="CX868" s="2010"/>
      <c r="CY868" s="2010"/>
      <c r="CZ868" s="2010"/>
      <c r="DA868" s="2010"/>
      <c r="DB868" s="2010"/>
      <c r="DC868" s="2010"/>
      <c r="DD868" s="2010"/>
      <c r="DE868" s="2010"/>
    </row>
    <row r="869" spans="1:109" s="2014" customFormat="1" x14ac:dyDescent="0.2">
      <c r="A869" s="2013"/>
      <c r="B869" s="2013"/>
      <c r="C869" s="2013"/>
      <c r="D869" s="2013"/>
      <c r="AB869" s="2010"/>
      <c r="AU869" s="2010"/>
      <c r="AV869" s="2010"/>
      <c r="AW869" s="2010"/>
      <c r="AX869" s="2010"/>
      <c r="AY869" s="2010"/>
      <c r="AZ869" s="2010"/>
      <c r="BA869" s="2010"/>
      <c r="BB869" s="2010"/>
      <c r="BC869" s="2010"/>
      <c r="BD869" s="2010"/>
      <c r="BE869" s="2010"/>
      <c r="BF869" s="2010"/>
      <c r="BG869" s="2010"/>
      <c r="BH869" s="2010"/>
      <c r="BI869" s="2010"/>
      <c r="BJ869" s="2010"/>
      <c r="BK869" s="2010"/>
      <c r="BL869" s="2010"/>
      <c r="BM869" s="2010"/>
      <c r="BN869" s="2010"/>
      <c r="BO869" s="2010"/>
      <c r="BP869" s="2010"/>
      <c r="BQ869" s="2010"/>
      <c r="BR869" s="2010"/>
      <c r="BS869" s="2010"/>
      <c r="BT869" s="2010"/>
      <c r="BU869" s="2010"/>
      <c r="BV869" s="2010"/>
      <c r="BW869" s="2010"/>
      <c r="BX869" s="2010"/>
      <c r="BY869" s="2010"/>
      <c r="BZ869" s="2010"/>
      <c r="CA869" s="2010"/>
      <c r="CB869" s="2010"/>
      <c r="CC869" s="2010"/>
      <c r="CD869" s="2010"/>
      <c r="CE869" s="2010"/>
      <c r="CF869" s="2010"/>
      <c r="CG869" s="2010"/>
      <c r="CH869" s="2010"/>
      <c r="CI869" s="2010"/>
      <c r="CJ869" s="2010"/>
      <c r="CK869" s="2010"/>
      <c r="CL869" s="2010"/>
      <c r="CM869" s="2010"/>
      <c r="CN869" s="2010"/>
      <c r="CO869" s="2010"/>
      <c r="CP869" s="2010"/>
      <c r="CQ869" s="2010"/>
      <c r="CR869" s="2010"/>
      <c r="CS869" s="2010"/>
      <c r="CT869" s="2010"/>
      <c r="CU869" s="2010"/>
      <c r="CV869" s="2010"/>
      <c r="CW869" s="2010"/>
      <c r="CX869" s="2010"/>
      <c r="CY869" s="2010"/>
      <c r="CZ869" s="2010"/>
      <c r="DA869" s="2010"/>
      <c r="DB869" s="2010"/>
      <c r="DC869" s="2010"/>
      <c r="DD869" s="2010"/>
      <c r="DE869" s="2010"/>
    </row>
    <row r="870" spans="1:109" s="2014" customFormat="1" x14ac:dyDescent="0.2">
      <c r="A870" s="2013"/>
      <c r="B870" s="2013"/>
      <c r="C870" s="2013"/>
      <c r="D870" s="2013"/>
      <c r="AB870" s="2010"/>
      <c r="AU870" s="2010"/>
      <c r="AV870" s="2010"/>
      <c r="AW870" s="2010"/>
      <c r="AX870" s="2010"/>
      <c r="AY870" s="2010"/>
      <c r="AZ870" s="2010"/>
      <c r="BA870" s="2010"/>
      <c r="BB870" s="2010"/>
      <c r="BC870" s="2010"/>
      <c r="BD870" s="2010"/>
      <c r="BE870" s="2010"/>
      <c r="BF870" s="2010"/>
      <c r="BG870" s="2010"/>
      <c r="BH870" s="2010"/>
      <c r="BI870" s="2010"/>
      <c r="BJ870" s="2010"/>
      <c r="BK870" s="2010"/>
      <c r="BL870" s="2010"/>
      <c r="BM870" s="2010"/>
      <c r="BN870" s="2010"/>
      <c r="BO870" s="2010"/>
      <c r="BP870" s="2010"/>
      <c r="BQ870" s="2010"/>
      <c r="BR870" s="2010"/>
      <c r="BS870" s="2010"/>
      <c r="BT870" s="2010"/>
      <c r="BU870" s="2010"/>
      <c r="BV870" s="2010"/>
      <c r="BW870" s="2010"/>
      <c r="BX870" s="2010"/>
      <c r="BY870" s="2010"/>
      <c r="BZ870" s="2010"/>
      <c r="CA870" s="2010"/>
      <c r="CB870" s="2010"/>
      <c r="CC870" s="2010"/>
      <c r="CD870" s="2010"/>
      <c r="CE870" s="2010"/>
      <c r="CF870" s="2010"/>
      <c r="CG870" s="2010"/>
      <c r="CH870" s="2010"/>
      <c r="CI870" s="2010"/>
      <c r="CJ870" s="2010"/>
      <c r="CK870" s="2010"/>
      <c r="CL870" s="2010"/>
      <c r="CM870" s="2010"/>
      <c r="CN870" s="2010"/>
      <c r="CO870" s="2010"/>
      <c r="CP870" s="2010"/>
      <c r="CQ870" s="2010"/>
      <c r="CR870" s="2010"/>
      <c r="CS870" s="2010"/>
      <c r="CT870" s="2010"/>
      <c r="CU870" s="2010"/>
      <c r="CV870" s="2010"/>
      <c r="CW870" s="2010"/>
      <c r="CX870" s="2010"/>
      <c r="CY870" s="2010"/>
      <c r="CZ870" s="2010"/>
      <c r="DA870" s="2010"/>
      <c r="DB870" s="2010"/>
      <c r="DC870" s="2010"/>
      <c r="DD870" s="2010"/>
      <c r="DE870" s="2010"/>
    </row>
    <row r="871" spans="1:109" s="2014" customFormat="1" x14ac:dyDescent="0.2">
      <c r="A871" s="2013"/>
      <c r="B871" s="2013"/>
      <c r="C871" s="2013"/>
      <c r="D871" s="2013"/>
      <c r="AB871" s="2010"/>
      <c r="AU871" s="2010"/>
      <c r="AV871" s="2010"/>
      <c r="AW871" s="2010"/>
      <c r="AX871" s="2010"/>
      <c r="AY871" s="2010"/>
      <c r="AZ871" s="2010"/>
      <c r="BA871" s="2010"/>
      <c r="BB871" s="2010"/>
      <c r="BC871" s="2010"/>
      <c r="BD871" s="2010"/>
      <c r="BE871" s="2010"/>
      <c r="BF871" s="2010"/>
      <c r="BG871" s="2010"/>
      <c r="BH871" s="2010"/>
      <c r="BI871" s="2010"/>
      <c r="BJ871" s="2010"/>
      <c r="BK871" s="2010"/>
      <c r="BL871" s="2010"/>
      <c r="BM871" s="2010"/>
      <c r="BN871" s="2010"/>
      <c r="BO871" s="2010"/>
      <c r="BP871" s="2010"/>
      <c r="BQ871" s="2010"/>
      <c r="BR871" s="2010"/>
      <c r="BS871" s="2010"/>
      <c r="BT871" s="2010"/>
      <c r="BU871" s="2010"/>
      <c r="BV871" s="2010"/>
      <c r="BW871" s="2010"/>
      <c r="BX871" s="2010"/>
      <c r="BY871" s="2010"/>
      <c r="BZ871" s="2010"/>
      <c r="CA871" s="2010"/>
      <c r="CB871" s="2010"/>
      <c r="CC871" s="2010"/>
      <c r="CD871" s="2010"/>
      <c r="CE871" s="2010"/>
      <c r="CF871" s="2010"/>
      <c r="CG871" s="2010"/>
      <c r="CH871" s="2010"/>
      <c r="CI871" s="2010"/>
      <c r="CJ871" s="2010"/>
      <c r="CK871" s="2010"/>
      <c r="CL871" s="2010"/>
      <c r="CM871" s="2010"/>
      <c r="CN871" s="2010"/>
      <c r="CO871" s="2010"/>
      <c r="CP871" s="2010"/>
      <c r="CQ871" s="2010"/>
      <c r="CR871" s="2010"/>
      <c r="CS871" s="2010"/>
      <c r="CT871" s="2010"/>
      <c r="CU871" s="2010"/>
      <c r="CV871" s="2010"/>
      <c r="CW871" s="2010"/>
      <c r="CX871" s="2010"/>
      <c r="CY871" s="2010"/>
      <c r="CZ871" s="2010"/>
      <c r="DA871" s="2010"/>
      <c r="DB871" s="2010"/>
      <c r="DC871" s="2010"/>
      <c r="DD871" s="2010"/>
      <c r="DE871" s="2010"/>
    </row>
    <row r="872" spans="1:109" s="2014" customFormat="1" x14ac:dyDescent="0.2">
      <c r="A872" s="2013"/>
      <c r="B872" s="2013"/>
      <c r="C872" s="2013"/>
      <c r="D872" s="2013"/>
      <c r="AB872" s="2010"/>
      <c r="AU872" s="2010"/>
      <c r="AV872" s="2010"/>
      <c r="AW872" s="2010"/>
      <c r="AX872" s="2010"/>
      <c r="AY872" s="2010"/>
      <c r="AZ872" s="2010"/>
      <c r="BA872" s="2010"/>
      <c r="BB872" s="2010"/>
      <c r="BC872" s="2010"/>
      <c r="BD872" s="2010"/>
      <c r="BE872" s="2010"/>
      <c r="BF872" s="2010"/>
      <c r="BG872" s="2010"/>
      <c r="BH872" s="2010"/>
      <c r="BI872" s="2010"/>
      <c r="BJ872" s="2010"/>
      <c r="BK872" s="2010"/>
      <c r="BL872" s="2010"/>
      <c r="BM872" s="2010"/>
      <c r="BN872" s="2010"/>
      <c r="BO872" s="2010"/>
      <c r="BP872" s="2010"/>
      <c r="BQ872" s="2010"/>
      <c r="BR872" s="2010"/>
      <c r="BS872" s="2010"/>
      <c r="BT872" s="2010"/>
      <c r="BU872" s="2010"/>
      <c r="BV872" s="2010"/>
      <c r="BW872" s="2010"/>
      <c r="BX872" s="2010"/>
      <c r="BY872" s="2010"/>
      <c r="BZ872" s="2010"/>
      <c r="CA872" s="2010"/>
      <c r="CB872" s="2010"/>
      <c r="CC872" s="2010"/>
      <c r="CD872" s="2010"/>
      <c r="CE872" s="2010"/>
      <c r="CF872" s="2010"/>
      <c r="CG872" s="2010"/>
      <c r="CH872" s="2010"/>
      <c r="CI872" s="2010"/>
      <c r="CJ872" s="2010"/>
      <c r="CK872" s="2010"/>
      <c r="CL872" s="2010"/>
      <c r="CM872" s="2010"/>
      <c r="CN872" s="2010"/>
      <c r="CO872" s="2010"/>
      <c r="CP872" s="2010"/>
      <c r="CQ872" s="2010"/>
      <c r="CR872" s="2010"/>
      <c r="CS872" s="2010"/>
      <c r="CT872" s="2010"/>
      <c r="CU872" s="2010"/>
      <c r="CV872" s="2010"/>
      <c r="CW872" s="2010"/>
      <c r="CX872" s="2010"/>
      <c r="CY872" s="2010"/>
      <c r="CZ872" s="2010"/>
      <c r="DA872" s="2010"/>
      <c r="DB872" s="2010"/>
      <c r="DC872" s="2010"/>
      <c r="DD872" s="2010"/>
      <c r="DE872" s="2010"/>
    </row>
    <row r="873" spans="1:109" s="2014" customFormat="1" x14ac:dyDescent="0.2">
      <c r="A873" s="2013"/>
      <c r="B873" s="2013"/>
      <c r="C873" s="2013"/>
      <c r="D873" s="2013"/>
      <c r="AB873" s="2010"/>
      <c r="AU873" s="2010"/>
      <c r="AV873" s="2010"/>
      <c r="AW873" s="2010"/>
      <c r="AX873" s="2010"/>
      <c r="AY873" s="2010"/>
      <c r="AZ873" s="2010"/>
      <c r="BA873" s="2010"/>
      <c r="BB873" s="2010"/>
      <c r="BC873" s="2010"/>
      <c r="BD873" s="2010"/>
      <c r="BE873" s="2010"/>
      <c r="BF873" s="2010"/>
      <c r="BG873" s="2010"/>
      <c r="BH873" s="2010"/>
      <c r="BI873" s="2010"/>
      <c r="BJ873" s="2010"/>
      <c r="BK873" s="2010"/>
      <c r="BL873" s="2010"/>
      <c r="BM873" s="2010"/>
      <c r="BN873" s="2010"/>
      <c r="BO873" s="2010"/>
      <c r="BP873" s="2010"/>
      <c r="BQ873" s="2010"/>
      <c r="BR873" s="2010"/>
      <c r="BS873" s="2010"/>
      <c r="BT873" s="2010"/>
      <c r="BU873" s="2010"/>
      <c r="BV873" s="2010"/>
      <c r="BW873" s="2010"/>
      <c r="BX873" s="2010"/>
      <c r="BY873" s="2010"/>
      <c r="BZ873" s="2010"/>
      <c r="CA873" s="2010"/>
      <c r="CB873" s="2010"/>
      <c r="CC873" s="2010"/>
      <c r="CD873" s="2010"/>
      <c r="CE873" s="2010"/>
      <c r="CF873" s="2010"/>
      <c r="CG873" s="2010"/>
      <c r="CH873" s="2010"/>
      <c r="CI873" s="2010"/>
      <c r="CJ873" s="2010"/>
      <c r="CK873" s="2010"/>
      <c r="CL873" s="2010"/>
      <c r="CM873" s="2010"/>
      <c r="CN873" s="2010"/>
      <c r="CO873" s="2010"/>
      <c r="CP873" s="2010"/>
      <c r="CQ873" s="2010"/>
      <c r="CR873" s="2010"/>
      <c r="CS873" s="2010"/>
      <c r="CT873" s="2010"/>
      <c r="CU873" s="2010"/>
      <c r="CV873" s="2010"/>
      <c r="CW873" s="2010"/>
      <c r="CX873" s="2010"/>
      <c r="CY873" s="2010"/>
      <c r="CZ873" s="2010"/>
      <c r="DA873" s="2010"/>
      <c r="DB873" s="2010"/>
      <c r="DC873" s="2010"/>
      <c r="DD873" s="2010"/>
      <c r="DE873" s="2010"/>
    </row>
    <row r="874" spans="1:109" s="2014" customFormat="1" x14ac:dyDescent="0.2">
      <c r="A874" s="2013"/>
      <c r="B874" s="2013"/>
      <c r="C874" s="2013"/>
      <c r="D874" s="2013"/>
      <c r="AB874" s="2010"/>
      <c r="AU874" s="2010"/>
      <c r="AV874" s="2010"/>
      <c r="AW874" s="2010"/>
      <c r="AX874" s="2010"/>
      <c r="AY874" s="2010"/>
      <c r="AZ874" s="2010"/>
      <c r="BA874" s="2010"/>
      <c r="BB874" s="2010"/>
      <c r="BC874" s="2010"/>
      <c r="BD874" s="2010"/>
      <c r="BE874" s="2010"/>
      <c r="BF874" s="2010"/>
      <c r="BG874" s="2010"/>
      <c r="BH874" s="2010"/>
      <c r="BI874" s="2010"/>
      <c r="BJ874" s="2010"/>
      <c r="BK874" s="2010"/>
      <c r="BL874" s="2010"/>
      <c r="BM874" s="2010"/>
      <c r="BN874" s="2010"/>
      <c r="BO874" s="2010"/>
      <c r="BP874" s="2010"/>
      <c r="BQ874" s="2010"/>
      <c r="BR874" s="2010"/>
      <c r="BS874" s="2010"/>
      <c r="BT874" s="2010"/>
      <c r="BU874" s="2010"/>
      <c r="BV874" s="2010"/>
      <c r="BW874" s="2010"/>
      <c r="BX874" s="2010"/>
      <c r="BY874" s="2010"/>
      <c r="BZ874" s="2010"/>
      <c r="CA874" s="2010"/>
      <c r="CB874" s="2010"/>
      <c r="CC874" s="2010"/>
      <c r="CD874" s="2010"/>
      <c r="CE874" s="2010"/>
      <c r="CF874" s="2010"/>
      <c r="CG874" s="2010"/>
      <c r="CH874" s="2010"/>
      <c r="CI874" s="2010"/>
      <c r="CJ874" s="2010"/>
      <c r="CK874" s="2010"/>
      <c r="CL874" s="2010"/>
      <c r="CM874" s="2010"/>
      <c r="CN874" s="2010"/>
      <c r="CO874" s="2010"/>
      <c r="CP874" s="2010"/>
      <c r="CQ874" s="2010"/>
      <c r="CR874" s="2010"/>
      <c r="CS874" s="2010"/>
      <c r="CT874" s="2010"/>
      <c r="CU874" s="2010"/>
      <c r="CV874" s="2010"/>
      <c r="CW874" s="2010"/>
      <c r="CX874" s="2010"/>
      <c r="CY874" s="2010"/>
      <c r="CZ874" s="2010"/>
      <c r="DA874" s="2010"/>
      <c r="DB874" s="2010"/>
      <c r="DC874" s="2010"/>
      <c r="DD874" s="2010"/>
      <c r="DE874" s="2010"/>
    </row>
    <row r="875" spans="1:109" s="2014" customFormat="1" x14ac:dyDescent="0.2">
      <c r="A875" s="2013"/>
      <c r="B875" s="2013"/>
      <c r="C875" s="2013"/>
      <c r="D875" s="2013"/>
      <c r="AB875" s="2010"/>
      <c r="AU875" s="2010"/>
      <c r="AV875" s="2010"/>
      <c r="AW875" s="2010"/>
      <c r="AX875" s="2010"/>
      <c r="AY875" s="2010"/>
      <c r="AZ875" s="2010"/>
      <c r="BA875" s="2010"/>
      <c r="BB875" s="2010"/>
      <c r="BC875" s="2010"/>
      <c r="BD875" s="2010"/>
      <c r="BE875" s="2010"/>
      <c r="BF875" s="2010"/>
      <c r="BG875" s="2010"/>
      <c r="BH875" s="2010"/>
      <c r="BI875" s="2010"/>
      <c r="BJ875" s="2010"/>
      <c r="BK875" s="2010"/>
      <c r="BL875" s="2010"/>
      <c r="BM875" s="2010"/>
      <c r="BN875" s="2010"/>
      <c r="BO875" s="2010"/>
      <c r="BP875" s="2010"/>
      <c r="BQ875" s="2010"/>
      <c r="BR875" s="2010"/>
      <c r="BS875" s="2010"/>
      <c r="BT875" s="2010"/>
      <c r="BU875" s="2010"/>
      <c r="BV875" s="2010"/>
      <c r="BW875" s="2010"/>
      <c r="BX875" s="2010"/>
      <c r="BY875" s="2010"/>
      <c r="BZ875" s="2010"/>
      <c r="CA875" s="2010"/>
      <c r="CB875" s="2010"/>
      <c r="CC875" s="2010"/>
      <c r="CD875" s="2010"/>
      <c r="CE875" s="2010"/>
      <c r="CF875" s="2010"/>
      <c r="CG875" s="2010"/>
      <c r="CH875" s="2010"/>
      <c r="CI875" s="2010"/>
      <c r="CJ875" s="2010"/>
      <c r="CK875" s="2010"/>
      <c r="CL875" s="2010"/>
      <c r="CM875" s="2010"/>
      <c r="CN875" s="2010"/>
      <c r="CO875" s="2010"/>
      <c r="CP875" s="2010"/>
      <c r="CQ875" s="2010"/>
      <c r="CR875" s="2010"/>
      <c r="CS875" s="2010"/>
      <c r="CT875" s="2010"/>
      <c r="CU875" s="2010"/>
      <c r="CV875" s="2010"/>
      <c r="CW875" s="2010"/>
      <c r="CX875" s="2010"/>
      <c r="CY875" s="2010"/>
      <c r="CZ875" s="2010"/>
      <c r="DA875" s="2010"/>
      <c r="DB875" s="2010"/>
      <c r="DC875" s="2010"/>
      <c r="DD875" s="2010"/>
      <c r="DE875" s="2010"/>
    </row>
    <row r="876" spans="1:109" s="2014" customFormat="1" x14ac:dyDescent="0.2">
      <c r="A876" s="2013"/>
      <c r="B876" s="2013"/>
      <c r="C876" s="2013"/>
      <c r="D876" s="2013"/>
      <c r="AB876" s="2010"/>
      <c r="AU876" s="2010"/>
      <c r="AV876" s="2010"/>
      <c r="AW876" s="2010"/>
      <c r="AX876" s="2010"/>
      <c r="AY876" s="2010"/>
      <c r="AZ876" s="2010"/>
      <c r="BA876" s="2010"/>
      <c r="BB876" s="2010"/>
      <c r="BC876" s="2010"/>
      <c r="BD876" s="2010"/>
      <c r="BE876" s="2010"/>
      <c r="BF876" s="2010"/>
      <c r="BG876" s="2010"/>
      <c r="BH876" s="2010"/>
      <c r="BI876" s="2010"/>
      <c r="BJ876" s="2010"/>
      <c r="BK876" s="2010"/>
      <c r="BL876" s="2010"/>
      <c r="BM876" s="2010"/>
      <c r="BN876" s="2010"/>
      <c r="BO876" s="2010"/>
      <c r="BP876" s="2010"/>
      <c r="BQ876" s="2010"/>
      <c r="BR876" s="2010"/>
      <c r="BS876" s="2010"/>
      <c r="BT876" s="2010"/>
      <c r="BU876" s="2010"/>
      <c r="BV876" s="2010"/>
      <c r="BW876" s="2010"/>
      <c r="BX876" s="2010"/>
      <c r="BY876" s="2010"/>
      <c r="BZ876" s="2010"/>
      <c r="CA876" s="2010"/>
      <c r="CB876" s="2010"/>
      <c r="CC876" s="2010"/>
      <c r="CD876" s="2010"/>
      <c r="CE876" s="2010"/>
      <c r="CF876" s="2010"/>
      <c r="CG876" s="2010"/>
      <c r="CH876" s="2010"/>
      <c r="CI876" s="2010"/>
      <c r="CJ876" s="2010"/>
      <c r="CK876" s="2010"/>
      <c r="CL876" s="2010"/>
      <c r="CM876" s="2010"/>
      <c r="CN876" s="2010"/>
      <c r="CO876" s="2010"/>
      <c r="CP876" s="2010"/>
      <c r="CQ876" s="2010"/>
      <c r="CR876" s="2010"/>
      <c r="CS876" s="2010"/>
      <c r="CT876" s="2010"/>
      <c r="CU876" s="2010"/>
      <c r="CV876" s="2010"/>
      <c r="CW876" s="2010"/>
      <c r="CX876" s="2010"/>
      <c r="CY876" s="2010"/>
      <c r="CZ876" s="2010"/>
      <c r="DA876" s="2010"/>
      <c r="DB876" s="2010"/>
      <c r="DC876" s="2010"/>
      <c r="DD876" s="2010"/>
      <c r="DE876" s="2010"/>
    </row>
    <row r="877" spans="1:109" s="2014" customFormat="1" x14ac:dyDescent="0.2">
      <c r="A877" s="2013"/>
      <c r="B877" s="2013"/>
      <c r="C877" s="2013"/>
      <c r="D877" s="2013"/>
      <c r="AB877" s="2010"/>
      <c r="AU877" s="2010"/>
      <c r="AV877" s="2010"/>
      <c r="AW877" s="2010"/>
      <c r="AX877" s="2010"/>
      <c r="AY877" s="2010"/>
      <c r="AZ877" s="2010"/>
      <c r="BA877" s="2010"/>
      <c r="BB877" s="2010"/>
      <c r="BC877" s="2010"/>
      <c r="BD877" s="2010"/>
      <c r="BE877" s="2010"/>
      <c r="BF877" s="2010"/>
      <c r="BG877" s="2010"/>
      <c r="BH877" s="2010"/>
      <c r="BI877" s="2010"/>
      <c r="BJ877" s="2010"/>
      <c r="BK877" s="2010"/>
      <c r="BL877" s="2010"/>
      <c r="BM877" s="2010"/>
      <c r="BN877" s="2010"/>
      <c r="BO877" s="2010"/>
      <c r="BP877" s="2010"/>
      <c r="BQ877" s="2010"/>
      <c r="BR877" s="2010"/>
      <c r="BS877" s="2010"/>
      <c r="BT877" s="2010"/>
      <c r="BU877" s="2010"/>
      <c r="BV877" s="2010"/>
      <c r="BW877" s="2010"/>
      <c r="BX877" s="2010"/>
      <c r="BY877" s="2010"/>
      <c r="BZ877" s="2010"/>
      <c r="CA877" s="2010"/>
      <c r="CB877" s="2010"/>
      <c r="CC877" s="2010"/>
      <c r="CD877" s="2010"/>
      <c r="CE877" s="2010"/>
      <c r="CF877" s="2010"/>
      <c r="CG877" s="2010"/>
      <c r="CH877" s="2010"/>
      <c r="CI877" s="2010"/>
      <c r="CJ877" s="2010"/>
      <c r="CK877" s="2010"/>
      <c r="CL877" s="2010"/>
      <c r="CM877" s="2010"/>
      <c r="CN877" s="2010"/>
      <c r="CO877" s="2010"/>
      <c r="CP877" s="2010"/>
      <c r="CQ877" s="2010"/>
      <c r="CR877" s="2010"/>
      <c r="CS877" s="2010"/>
      <c r="CT877" s="2010"/>
      <c r="CU877" s="2010"/>
      <c r="CV877" s="2010"/>
      <c r="CW877" s="2010"/>
      <c r="CX877" s="2010"/>
      <c r="CY877" s="2010"/>
      <c r="CZ877" s="2010"/>
      <c r="DA877" s="2010"/>
      <c r="DB877" s="2010"/>
      <c r="DC877" s="2010"/>
      <c r="DD877" s="2010"/>
      <c r="DE877" s="2010"/>
    </row>
    <row r="878" spans="1:109" s="2014" customFormat="1" x14ac:dyDescent="0.2">
      <c r="A878" s="2013"/>
      <c r="B878" s="2013"/>
      <c r="C878" s="2013"/>
      <c r="D878" s="2013"/>
      <c r="AB878" s="2010"/>
      <c r="AU878" s="2010"/>
      <c r="AV878" s="2010"/>
      <c r="AW878" s="2010"/>
      <c r="AX878" s="2010"/>
      <c r="AY878" s="2010"/>
      <c r="AZ878" s="2010"/>
      <c r="BA878" s="2010"/>
      <c r="BB878" s="2010"/>
      <c r="BC878" s="2010"/>
      <c r="BD878" s="2010"/>
      <c r="BE878" s="2010"/>
      <c r="BF878" s="2010"/>
      <c r="BG878" s="2010"/>
      <c r="BH878" s="2010"/>
      <c r="BI878" s="2010"/>
      <c r="BJ878" s="2010"/>
      <c r="BK878" s="2010"/>
      <c r="BL878" s="2010"/>
      <c r="BM878" s="2010"/>
      <c r="BN878" s="2010"/>
      <c r="BO878" s="2010"/>
      <c r="BP878" s="2010"/>
      <c r="BQ878" s="2010"/>
      <c r="BR878" s="2010"/>
      <c r="BS878" s="2010"/>
      <c r="BT878" s="2010"/>
      <c r="BU878" s="2010"/>
      <c r="BV878" s="2010"/>
      <c r="BW878" s="2010"/>
      <c r="BX878" s="2010"/>
      <c r="BY878" s="2010"/>
      <c r="BZ878" s="2010"/>
      <c r="CA878" s="2010"/>
      <c r="CB878" s="2010"/>
      <c r="CC878" s="2010"/>
      <c r="CD878" s="2010"/>
      <c r="CE878" s="2010"/>
      <c r="CF878" s="2010"/>
      <c r="CG878" s="2010"/>
      <c r="CH878" s="2010"/>
      <c r="CI878" s="2010"/>
      <c r="CJ878" s="2010"/>
      <c r="CK878" s="2010"/>
      <c r="CL878" s="2010"/>
      <c r="CM878" s="2010"/>
      <c r="CN878" s="2010"/>
      <c r="CO878" s="2010"/>
      <c r="CP878" s="2010"/>
      <c r="CQ878" s="2010"/>
      <c r="CR878" s="2010"/>
      <c r="CS878" s="2010"/>
      <c r="CT878" s="2010"/>
      <c r="CU878" s="2010"/>
      <c r="CV878" s="2010"/>
      <c r="CW878" s="2010"/>
      <c r="CX878" s="2010"/>
      <c r="CY878" s="2010"/>
      <c r="CZ878" s="2010"/>
      <c r="DA878" s="2010"/>
      <c r="DB878" s="2010"/>
      <c r="DC878" s="2010"/>
      <c r="DD878" s="2010"/>
      <c r="DE878" s="2010"/>
    </row>
    <row r="879" spans="1:109" s="2014" customFormat="1" x14ac:dyDescent="0.2">
      <c r="A879" s="2013"/>
      <c r="B879" s="2013"/>
      <c r="C879" s="2013"/>
      <c r="D879" s="2013"/>
      <c r="AB879" s="2010"/>
      <c r="AU879" s="2010"/>
      <c r="AV879" s="2010"/>
      <c r="AW879" s="2010"/>
      <c r="AX879" s="2010"/>
      <c r="AY879" s="2010"/>
      <c r="AZ879" s="2010"/>
      <c r="BA879" s="2010"/>
      <c r="BB879" s="2010"/>
      <c r="BC879" s="2010"/>
      <c r="BD879" s="2010"/>
      <c r="BE879" s="2010"/>
      <c r="BF879" s="2010"/>
      <c r="BG879" s="2010"/>
      <c r="BH879" s="2010"/>
      <c r="BI879" s="2010"/>
      <c r="BJ879" s="2010"/>
      <c r="BK879" s="2010"/>
      <c r="BL879" s="2010"/>
      <c r="BM879" s="2010"/>
      <c r="BN879" s="2010"/>
      <c r="BO879" s="2010"/>
      <c r="BP879" s="2010"/>
      <c r="BQ879" s="2010"/>
      <c r="BR879" s="2010"/>
      <c r="BS879" s="2010"/>
      <c r="BT879" s="2010"/>
      <c r="BU879" s="2010"/>
      <c r="BV879" s="2010"/>
      <c r="BW879" s="2010"/>
      <c r="BX879" s="2010"/>
      <c r="BY879" s="2010"/>
      <c r="BZ879" s="2010"/>
      <c r="CA879" s="2010"/>
      <c r="CB879" s="2010"/>
      <c r="CC879" s="2010"/>
      <c r="CD879" s="2010"/>
      <c r="CE879" s="2010"/>
      <c r="CF879" s="2010"/>
      <c r="CG879" s="2010"/>
      <c r="CH879" s="2010"/>
      <c r="CI879" s="2010"/>
      <c r="CJ879" s="2010"/>
      <c r="CK879" s="2010"/>
      <c r="CL879" s="2010"/>
      <c r="CM879" s="2010"/>
      <c r="CN879" s="2010"/>
      <c r="CO879" s="2010"/>
      <c r="CP879" s="2010"/>
      <c r="CQ879" s="2010"/>
      <c r="CR879" s="2010"/>
      <c r="CS879" s="2010"/>
      <c r="CT879" s="2010"/>
      <c r="CU879" s="2010"/>
      <c r="CV879" s="2010"/>
      <c r="CW879" s="2010"/>
      <c r="CX879" s="2010"/>
      <c r="CY879" s="2010"/>
      <c r="CZ879" s="2010"/>
      <c r="DA879" s="2010"/>
      <c r="DB879" s="2010"/>
      <c r="DC879" s="2010"/>
      <c r="DD879" s="2010"/>
      <c r="DE879" s="2010"/>
    </row>
    <row r="880" spans="1:109" s="2014" customFormat="1" x14ac:dyDescent="0.2">
      <c r="A880" s="2013"/>
      <c r="B880" s="2013"/>
      <c r="C880" s="2013"/>
      <c r="D880" s="2013"/>
      <c r="AB880" s="2010"/>
      <c r="AU880" s="2010"/>
      <c r="AV880" s="2010"/>
      <c r="AW880" s="2010"/>
      <c r="AX880" s="2010"/>
      <c r="AY880" s="2010"/>
      <c r="AZ880" s="2010"/>
      <c r="BA880" s="2010"/>
      <c r="BB880" s="2010"/>
      <c r="BC880" s="2010"/>
      <c r="BD880" s="2010"/>
      <c r="BE880" s="2010"/>
      <c r="BF880" s="2010"/>
      <c r="BG880" s="2010"/>
      <c r="BH880" s="2010"/>
      <c r="BI880" s="2010"/>
      <c r="BJ880" s="2010"/>
      <c r="BK880" s="2010"/>
      <c r="BL880" s="2010"/>
      <c r="BM880" s="2010"/>
      <c r="BN880" s="2010"/>
      <c r="BO880" s="2010"/>
      <c r="BP880" s="2010"/>
      <c r="BQ880" s="2010"/>
      <c r="BR880" s="2010"/>
      <c r="BS880" s="2010"/>
      <c r="BT880" s="2010"/>
      <c r="BU880" s="2010"/>
      <c r="BV880" s="2010"/>
      <c r="BW880" s="2010"/>
      <c r="BX880" s="2010"/>
      <c r="BY880" s="2010"/>
      <c r="BZ880" s="2010"/>
      <c r="CA880" s="2010"/>
      <c r="CB880" s="2010"/>
      <c r="CC880" s="2010"/>
      <c r="CD880" s="2010"/>
      <c r="CE880" s="2010"/>
      <c r="CF880" s="2010"/>
      <c r="CG880" s="2010"/>
      <c r="CH880" s="2010"/>
      <c r="CI880" s="2010"/>
      <c r="CJ880" s="2010"/>
      <c r="CK880" s="2010"/>
      <c r="CL880" s="2010"/>
      <c r="CM880" s="2010"/>
      <c r="CN880" s="2010"/>
      <c r="CO880" s="2010"/>
      <c r="CP880" s="2010"/>
      <c r="CQ880" s="2010"/>
      <c r="CR880" s="2010"/>
      <c r="CS880" s="2010"/>
      <c r="CT880" s="2010"/>
      <c r="CU880" s="2010"/>
      <c r="CV880" s="2010"/>
      <c r="CW880" s="2010"/>
      <c r="CX880" s="2010"/>
      <c r="CY880" s="2010"/>
      <c r="CZ880" s="2010"/>
      <c r="DA880" s="2010"/>
      <c r="DB880" s="2010"/>
      <c r="DC880" s="2010"/>
      <c r="DD880" s="2010"/>
      <c r="DE880" s="2010"/>
    </row>
    <row r="881" spans="1:109" s="2014" customFormat="1" x14ac:dyDescent="0.2">
      <c r="A881" s="2013"/>
      <c r="B881" s="2013"/>
      <c r="C881" s="2013"/>
      <c r="D881" s="2013"/>
      <c r="AB881" s="2010"/>
      <c r="AU881" s="2010"/>
      <c r="AV881" s="2010"/>
      <c r="AW881" s="2010"/>
      <c r="AX881" s="2010"/>
      <c r="AY881" s="2010"/>
      <c r="AZ881" s="2010"/>
      <c r="BA881" s="2010"/>
      <c r="BB881" s="2010"/>
      <c r="BC881" s="2010"/>
      <c r="BD881" s="2010"/>
      <c r="BE881" s="2010"/>
      <c r="BF881" s="2010"/>
      <c r="BG881" s="2010"/>
      <c r="BH881" s="2010"/>
      <c r="BI881" s="2010"/>
      <c r="BJ881" s="2010"/>
      <c r="BK881" s="2010"/>
      <c r="BL881" s="2010"/>
      <c r="BM881" s="2010"/>
      <c r="BN881" s="2010"/>
      <c r="BO881" s="2010"/>
      <c r="BP881" s="2010"/>
      <c r="BQ881" s="2010"/>
      <c r="BR881" s="2010"/>
      <c r="BS881" s="2010"/>
      <c r="BT881" s="2010"/>
      <c r="BU881" s="2010"/>
      <c r="BV881" s="2010"/>
      <c r="BW881" s="2010"/>
      <c r="BX881" s="2010"/>
      <c r="BY881" s="2010"/>
      <c r="BZ881" s="2010"/>
      <c r="CA881" s="2010"/>
      <c r="CB881" s="2010"/>
      <c r="CC881" s="2010"/>
      <c r="CD881" s="2010"/>
      <c r="CE881" s="2010"/>
      <c r="CF881" s="2010"/>
      <c r="CG881" s="2010"/>
      <c r="CH881" s="2010"/>
      <c r="CI881" s="2010"/>
      <c r="CJ881" s="2010"/>
      <c r="CK881" s="2010"/>
      <c r="CL881" s="2010"/>
      <c r="CM881" s="2010"/>
      <c r="CN881" s="2010"/>
      <c r="CO881" s="2010"/>
      <c r="CP881" s="2010"/>
      <c r="CQ881" s="2010"/>
      <c r="CR881" s="2010"/>
      <c r="CS881" s="2010"/>
      <c r="CT881" s="2010"/>
      <c r="CU881" s="2010"/>
      <c r="CV881" s="2010"/>
      <c r="CW881" s="2010"/>
      <c r="CX881" s="2010"/>
      <c r="CY881" s="2010"/>
      <c r="CZ881" s="2010"/>
      <c r="DA881" s="2010"/>
      <c r="DB881" s="2010"/>
      <c r="DC881" s="2010"/>
      <c r="DD881" s="2010"/>
      <c r="DE881" s="2010"/>
    </row>
    <row r="882" spans="1:109" s="2014" customFormat="1" x14ac:dyDescent="0.2">
      <c r="A882" s="2013"/>
      <c r="B882" s="2013"/>
      <c r="C882" s="2013"/>
      <c r="D882" s="2013"/>
      <c r="AB882" s="2010"/>
      <c r="AU882" s="2010"/>
      <c r="AV882" s="2010"/>
      <c r="AW882" s="2010"/>
      <c r="AX882" s="2010"/>
      <c r="AY882" s="2010"/>
      <c r="AZ882" s="2010"/>
      <c r="BA882" s="2010"/>
      <c r="BB882" s="2010"/>
      <c r="BC882" s="2010"/>
      <c r="BD882" s="2010"/>
      <c r="BE882" s="2010"/>
      <c r="BF882" s="2010"/>
      <c r="BG882" s="2010"/>
      <c r="BH882" s="2010"/>
      <c r="BI882" s="2010"/>
      <c r="BJ882" s="2010"/>
      <c r="BK882" s="2010"/>
      <c r="BL882" s="2010"/>
      <c r="BM882" s="2010"/>
      <c r="BN882" s="2010"/>
      <c r="BO882" s="2010"/>
      <c r="BP882" s="2010"/>
      <c r="BQ882" s="2010"/>
      <c r="BR882" s="2010"/>
      <c r="BS882" s="2010"/>
      <c r="BT882" s="2010"/>
      <c r="BU882" s="2010"/>
      <c r="BV882" s="2010"/>
      <c r="BW882" s="2010"/>
      <c r="BX882" s="2010"/>
      <c r="BY882" s="2010"/>
      <c r="BZ882" s="2010"/>
      <c r="CA882" s="2010"/>
      <c r="CB882" s="2010"/>
      <c r="CC882" s="2010"/>
      <c r="CD882" s="2010"/>
      <c r="CE882" s="2010"/>
      <c r="CF882" s="2010"/>
      <c r="CG882" s="2010"/>
      <c r="CH882" s="2010"/>
      <c r="CI882" s="2010"/>
      <c r="CJ882" s="2010"/>
      <c r="CK882" s="2010"/>
      <c r="CL882" s="2010"/>
      <c r="CM882" s="2010"/>
      <c r="CN882" s="2010"/>
      <c r="CO882" s="2010"/>
      <c r="CP882" s="2010"/>
      <c r="CQ882" s="2010"/>
      <c r="CR882" s="2010"/>
      <c r="CS882" s="2010"/>
      <c r="CT882" s="2010"/>
      <c r="CU882" s="2010"/>
      <c r="CV882" s="2010"/>
      <c r="CW882" s="2010"/>
      <c r="CX882" s="2010"/>
      <c r="CY882" s="2010"/>
      <c r="CZ882" s="2010"/>
      <c r="DA882" s="2010"/>
      <c r="DB882" s="2010"/>
      <c r="DC882" s="2010"/>
      <c r="DD882" s="2010"/>
      <c r="DE882" s="2010"/>
    </row>
    <row r="883" spans="1:109" s="2014" customFormat="1" x14ac:dyDescent="0.2">
      <c r="A883" s="2013"/>
      <c r="B883" s="2013"/>
      <c r="C883" s="2013"/>
      <c r="D883" s="2013"/>
      <c r="AB883" s="2010"/>
      <c r="AU883" s="2010"/>
      <c r="AV883" s="2010"/>
      <c r="AW883" s="2010"/>
      <c r="AX883" s="2010"/>
      <c r="AY883" s="2010"/>
      <c r="AZ883" s="2010"/>
      <c r="BA883" s="2010"/>
      <c r="BB883" s="2010"/>
      <c r="BC883" s="2010"/>
      <c r="BD883" s="2010"/>
      <c r="BE883" s="2010"/>
      <c r="BF883" s="2010"/>
      <c r="BG883" s="2010"/>
      <c r="BH883" s="2010"/>
      <c r="BI883" s="2010"/>
      <c r="BJ883" s="2010"/>
      <c r="BK883" s="2010"/>
      <c r="BL883" s="2010"/>
      <c r="BM883" s="2010"/>
      <c r="BN883" s="2010"/>
      <c r="BO883" s="2010"/>
      <c r="BP883" s="2010"/>
      <c r="BQ883" s="2010"/>
      <c r="BR883" s="2010"/>
      <c r="BS883" s="2010"/>
      <c r="BT883" s="2010"/>
      <c r="BU883" s="2010"/>
      <c r="BV883" s="2010"/>
      <c r="BW883" s="2010"/>
      <c r="BX883" s="2010"/>
      <c r="BY883" s="2010"/>
      <c r="BZ883" s="2010"/>
      <c r="CA883" s="2010"/>
      <c r="CB883" s="2010"/>
      <c r="CC883" s="2010"/>
      <c r="CD883" s="2010"/>
      <c r="CE883" s="2010"/>
      <c r="CF883" s="2010"/>
      <c r="CG883" s="2010"/>
      <c r="CH883" s="2010"/>
      <c r="CI883" s="2010"/>
      <c r="CJ883" s="2010"/>
      <c r="CK883" s="2010"/>
      <c r="CL883" s="2010"/>
      <c r="CM883" s="2010"/>
      <c r="CN883" s="2010"/>
      <c r="CO883" s="2010"/>
      <c r="CP883" s="2010"/>
      <c r="CQ883" s="2010"/>
      <c r="CR883" s="2010"/>
      <c r="CS883" s="2010"/>
      <c r="CT883" s="2010"/>
      <c r="CU883" s="2010"/>
      <c r="CV883" s="2010"/>
      <c r="CW883" s="2010"/>
      <c r="CX883" s="2010"/>
      <c r="CY883" s="2010"/>
      <c r="CZ883" s="2010"/>
      <c r="DA883" s="2010"/>
      <c r="DB883" s="2010"/>
      <c r="DC883" s="2010"/>
      <c r="DD883" s="2010"/>
      <c r="DE883" s="2010"/>
    </row>
    <row r="884" spans="1:109" s="2014" customFormat="1" x14ac:dyDescent="0.2">
      <c r="A884" s="2013"/>
      <c r="B884" s="2013"/>
      <c r="C884" s="2013"/>
      <c r="D884" s="2013"/>
      <c r="AB884" s="2010"/>
      <c r="AU884" s="2010"/>
      <c r="AV884" s="2010"/>
      <c r="AW884" s="2010"/>
      <c r="AX884" s="2010"/>
      <c r="AY884" s="2010"/>
      <c r="AZ884" s="2010"/>
      <c r="BA884" s="2010"/>
      <c r="BB884" s="2010"/>
      <c r="BC884" s="2010"/>
      <c r="BD884" s="2010"/>
      <c r="BE884" s="2010"/>
      <c r="BF884" s="2010"/>
      <c r="BG884" s="2010"/>
      <c r="BH884" s="2010"/>
      <c r="BI884" s="2010"/>
      <c r="BJ884" s="2010"/>
      <c r="BK884" s="2010"/>
      <c r="BL884" s="2010"/>
      <c r="BM884" s="2010"/>
      <c r="BN884" s="2010"/>
      <c r="BO884" s="2010"/>
      <c r="BP884" s="2010"/>
      <c r="BQ884" s="2010"/>
      <c r="BR884" s="2010"/>
      <c r="BS884" s="2010"/>
      <c r="BT884" s="2010"/>
      <c r="BU884" s="2010"/>
      <c r="BV884" s="2010"/>
      <c r="BW884" s="2010"/>
      <c r="BX884" s="2010"/>
      <c r="BY884" s="2010"/>
      <c r="BZ884" s="2010"/>
      <c r="CA884" s="2010"/>
      <c r="CB884" s="2010"/>
      <c r="CC884" s="2010"/>
      <c r="CD884" s="2010"/>
      <c r="CE884" s="2010"/>
      <c r="CF884" s="2010"/>
      <c r="CG884" s="2010"/>
      <c r="CH884" s="2010"/>
      <c r="CI884" s="2010"/>
      <c r="CJ884" s="2010"/>
      <c r="CK884" s="2010"/>
      <c r="CL884" s="2010"/>
      <c r="CM884" s="2010"/>
      <c r="CN884" s="2010"/>
      <c r="CO884" s="2010"/>
      <c r="CP884" s="2010"/>
      <c r="CQ884" s="2010"/>
      <c r="CR884" s="2010"/>
      <c r="CS884" s="2010"/>
      <c r="CT884" s="2010"/>
      <c r="CU884" s="2010"/>
      <c r="CV884" s="2010"/>
      <c r="CW884" s="2010"/>
      <c r="CX884" s="2010"/>
      <c r="CY884" s="2010"/>
      <c r="CZ884" s="2010"/>
      <c r="DA884" s="2010"/>
      <c r="DB884" s="2010"/>
      <c r="DC884" s="2010"/>
      <c r="DD884" s="2010"/>
      <c r="DE884" s="2010"/>
    </row>
    <row r="885" spans="1:109" s="2014" customFormat="1" x14ac:dyDescent="0.2">
      <c r="A885" s="2013"/>
      <c r="B885" s="2013"/>
      <c r="C885" s="2013"/>
      <c r="D885" s="2013"/>
      <c r="AB885" s="2010"/>
      <c r="AU885" s="2010"/>
      <c r="AV885" s="2010"/>
      <c r="AW885" s="2010"/>
      <c r="AX885" s="2010"/>
      <c r="AY885" s="2010"/>
      <c r="AZ885" s="2010"/>
      <c r="BA885" s="2010"/>
      <c r="BB885" s="2010"/>
      <c r="BC885" s="2010"/>
      <c r="BD885" s="2010"/>
      <c r="BE885" s="2010"/>
      <c r="BF885" s="2010"/>
      <c r="BG885" s="2010"/>
      <c r="BH885" s="2010"/>
      <c r="BI885" s="2010"/>
      <c r="BJ885" s="2010"/>
      <c r="BK885" s="2010"/>
      <c r="BL885" s="2010"/>
      <c r="BM885" s="2010"/>
      <c r="BN885" s="2010"/>
      <c r="BO885" s="2010"/>
      <c r="BP885" s="2010"/>
      <c r="BQ885" s="2010"/>
      <c r="BR885" s="2010"/>
      <c r="BS885" s="2010"/>
      <c r="BT885" s="2010"/>
      <c r="BU885" s="2010"/>
      <c r="BV885" s="2010"/>
      <c r="BW885" s="2010"/>
      <c r="BX885" s="2010"/>
      <c r="BY885" s="2010"/>
      <c r="BZ885" s="2010"/>
      <c r="CA885" s="2010"/>
      <c r="CB885" s="2010"/>
      <c r="CC885" s="2010"/>
      <c r="CD885" s="2010"/>
      <c r="CE885" s="2010"/>
      <c r="CF885" s="2010"/>
      <c r="CG885" s="2010"/>
      <c r="CH885" s="2010"/>
      <c r="CI885" s="2010"/>
      <c r="CJ885" s="2010"/>
      <c r="CK885" s="2010"/>
      <c r="CL885" s="2010"/>
      <c r="CM885" s="2010"/>
      <c r="CN885" s="2010"/>
      <c r="CO885" s="2010"/>
      <c r="CP885" s="2010"/>
      <c r="CQ885" s="2010"/>
      <c r="CR885" s="2010"/>
      <c r="CS885" s="2010"/>
      <c r="CT885" s="2010"/>
      <c r="CU885" s="2010"/>
      <c r="CV885" s="2010"/>
      <c r="CW885" s="2010"/>
      <c r="CX885" s="2010"/>
      <c r="CY885" s="2010"/>
      <c r="CZ885" s="2010"/>
      <c r="DA885" s="2010"/>
      <c r="DB885" s="2010"/>
      <c r="DC885" s="2010"/>
      <c r="DD885" s="2010"/>
      <c r="DE885" s="2010"/>
    </row>
    <row r="886" spans="1:109" s="2014" customFormat="1" x14ac:dyDescent="0.2">
      <c r="A886" s="2013"/>
      <c r="B886" s="2013"/>
      <c r="C886" s="2013"/>
      <c r="D886" s="2013"/>
      <c r="AB886" s="2010"/>
      <c r="AU886" s="2010"/>
      <c r="AV886" s="2010"/>
      <c r="AW886" s="2010"/>
      <c r="AX886" s="2010"/>
      <c r="AY886" s="2010"/>
      <c r="AZ886" s="2010"/>
      <c r="BA886" s="2010"/>
      <c r="BB886" s="2010"/>
      <c r="BC886" s="2010"/>
      <c r="BD886" s="2010"/>
      <c r="BE886" s="2010"/>
      <c r="BF886" s="2010"/>
      <c r="BG886" s="2010"/>
      <c r="BH886" s="2010"/>
      <c r="BI886" s="2010"/>
      <c r="BJ886" s="2010"/>
      <c r="BK886" s="2010"/>
      <c r="BL886" s="2010"/>
      <c r="BM886" s="2010"/>
      <c r="BN886" s="2010"/>
      <c r="BO886" s="2010"/>
      <c r="BP886" s="2010"/>
      <c r="BQ886" s="2010"/>
      <c r="BR886" s="2010"/>
      <c r="BS886" s="2010"/>
      <c r="BT886" s="2010"/>
      <c r="BU886" s="2010"/>
      <c r="BV886" s="2010"/>
      <c r="BW886" s="2010"/>
      <c r="BX886" s="2010"/>
      <c r="BY886" s="2010"/>
      <c r="BZ886" s="2010"/>
      <c r="CA886" s="2010"/>
      <c r="CB886" s="2010"/>
      <c r="CC886" s="2010"/>
      <c r="CD886" s="2010"/>
      <c r="CE886" s="2010"/>
      <c r="CF886" s="2010"/>
      <c r="CG886" s="2010"/>
      <c r="CH886" s="2010"/>
      <c r="CI886" s="2010"/>
      <c r="CJ886" s="2010"/>
      <c r="CK886" s="2010"/>
      <c r="CL886" s="2010"/>
      <c r="CM886" s="2010"/>
      <c r="CN886" s="2010"/>
      <c r="CO886" s="2010"/>
      <c r="CP886" s="2010"/>
      <c r="CQ886" s="2010"/>
      <c r="CR886" s="2010"/>
      <c r="CS886" s="2010"/>
      <c r="CT886" s="2010"/>
      <c r="CU886" s="2010"/>
      <c r="CV886" s="2010"/>
      <c r="CW886" s="2010"/>
      <c r="CX886" s="2010"/>
      <c r="CY886" s="2010"/>
      <c r="CZ886" s="2010"/>
      <c r="DA886" s="2010"/>
      <c r="DB886" s="2010"/>
      <c r="DC886" s="2010"/>
      <c r="DD886" s="2010"/>
      <c r="DE886" s="2010"/>
    </row>
    <row r="887" spans="1:109" s="2014" customFormat="1" x14ac:dyDescent="0.2">
      <c r="A887" s="2013"/>
      <c r="B887" s="2013"/>
      <c r="C887" s="2013"/>
      <c r="D887" s="2013"/>
      <c r="AB887" s="2010"/>
      <c r="AU887" s="2010"/>
      <c r="AV887" s="2010"/>
      <c r="AW887" s="2010"/>
      <c r="AX887" s="2010"/>
      <c r="AY887" s="2010"/>
      <c r="AZ887" s="2010"/>
      <c r="BA887" s="2010"/>
      <c r="BB887" s="2010"/>
      <c r="BC887" s="2010"/>
      <c r="BD887" s="2010"/>
      <c r="BE887" s="2010"/>
      <c r="BF887" s="2010"/>
      <c r="BG887" s="2010"/>
      <c r="BH887" s="2010"/>
      <c r="BI887" s="2010"/>
      <c r="BJ887" s="2010"/>
      <c r="BK887" s="2010"/>
      <c r="BL887" s="2010"/>
      <c r="BM887" s="2010"/>
      <c r="BN887" s="2010"/>
      <c r="BO887" s="2010"/>
      <c r="BP887" s="2010"/>
      <c r="BQ887" s="2010"/>
      <c r="BR887" s="2010"/>
      <c r="BS887" s="2010"/>
      <c r="BT887" s="2010"/>
      <c r="BU887" s="2010"/>
      <c r="BV887" s="2010"/>
      <c r="BW887" s="2010"/>
      <c r="BX887" s="2010"/>
      <c r="BY887" s="2010"/>
      <c r="BZ887" s="2010"/>
      <c r="CA887" s="2010"/>
      <c r="CB887" s="2010"/>
      <c r="CC887" s="2010"/>
      <c r="CD887" s="2010"/>
      <c r="CE887" s="2010"/>
      <c r="CF887" s="2010"/>
      <c r="CG887" s="2010"/>
      <c r="CH887" s="2010"/>
      <c r="CI887" s="2010"/>
      <c r="CJ887" s="2010"/>
      <c r="CK887" s="2010"/>
      <c r="CL887" s="2010"/>
      <c r="CM887" s="2010"/>
      <c r="CN887" s="2010"/>
      <c r="CO887" s="2010"/>
      <c r="CP887" s="2010"/>
      <c r="CQ887" s="2010"/>
      <c r="CR887" s="2010"/>
      <c r="CS887" s="2010"/>
      <c r="CT887" s="2010"/>
      <c r="CU887" s="2010"/>
      <c r="CV887" s="2010"/>
      <c r="CW887" s="2010"/>
      <c r="CX887" s="2010"/>
      <c r="CY887" s="2010"/>
      <c r="CZ887" s="2010"/>
      <c r="DA887" s="2010"/>
      <c r="DB887" s="2010"/>
      <c r="DC887" s="2010"/>
      <c r="DD887" s="2010"/>
      <c r="DE887" s="2010"/>
    </row>
    <row r="888" spans="1:109" s="2014" customFormat="1" x14ac:dyDescent="0.2">
      <c r="A888" s="2013"/>
      <c r="B888" s="2013"/>
      <c r="C888" s="2013"/>
      <c r="D888" s="2013"/>
      <c r="AB888" s="2010"/>
      <c r="AU888" s="2010"/>
      <c r="AV888" s="2010"/>
      <c r="AW888" s="2010"/>
      <c r="AX888" s="2010"/>
      <c r="AY888" s="2010"/>
      <c r="AZ888" s="2010"/>
      <c r="BA888" s="2010"/>
      <c r="BB888" s="2010"/>
      <c r="BC888" s="2010"/>
      <c r="BD888" s="2010"/>
      <c r="BE888" s="2010"/>
      <c r="BF888" s="2010"/>
      <c r="BG888" s="2010"/>
      <c r="BH888" s="2010"/>
      <c r="BI888" s="2010"/>
      <c r="BJ888" s="2010"/>
      <c r="BK888" s="2010"/>
      <c r="BL888" s="2010"/>
      <c r="BM888" s="2010"/>
      <c r="BN888" s="2010"/>
      <c r="BO888" s="2010"/>
      <c r="BP888" s="2010"/>
      <c r="BQ888" s="2010"/>
      <c r="BR888" s="2010"/>
      <c r="BS888" s="2010"/>
      <c r="BT888" s="2010"/>
      <c r="BU888" s="2010"/>
      <c r="BV888" s="2010"/>
      <c r="BW888" s="2010"/>
      <c r="BX888" s="2010"/>
      <c r="BY888" s="2010"/>
      <c r="BZ888" s="2010"/>
      <c r="CA888" s="2010"/>
      <c r="CB888" s="2010"/>
      <c r="CC888" s="2010"/>
      <c r="CD888" s="2010"/>
      <c r="CE888" s="2010"/>
      <c r="CF888" s="2010"/>
      <c r="CG888" s="2010"/>
      <c r="CH888" s="2010"/>
      <c r="CI888" s="2010"/>
      <c r="CJ888" s="2010"/>
      <c r="CK888" s="2010"/>
      <c r="CL888" s="2010"/>
      <c r="CM888" s="2010"/>
      <c r="CN888" s="2010"/>
      <c r="CO888" s="2010"/>
      <c r="CP888" s="2010"/>
      <c r="CQ888" s="2010"/>
      <c r="CR888" s="2010"/>
      <c r="CS888" s="2010"/>
      <c r="CT888" s="2010"/>
      <c r="CU888" s="2010"/>
      <c r="CV888" s="2010"/>
      <c r="CW888" s="2010"/>
      <c r="CX888" s="2010"/>
      <c r="CY888" s="2010"/>
      <c r="CZ888" s="2010"/>
      <c r="DA888" s="2010"/>
      <c r="DB888" s="2010"/>
      <c r="DC888" s="2010"/>
      <c r="DD888" s="2010"/>
      <c r="DE888" s="2010"/>
    </row>
    <row r="889" spans="1:109" s="2014" customFormat="1" x14ac:dyDescent="0.2">
      <c r="A889" s="2013"/>
      <c r="B889" s="2013"/>
      <c r="C889" s="2013"/>
      <c r="D889" s="2013"/>
      <c r="AB889" s="2010"/>
      <c r="AU889" s="2010"/>
      <c r="AV889" s="2010"/>
      <c r="AW889" s="2010"/>
      <c r="AX889" s="2010"/>
      <c r="AY889" s="2010"/>
      <c r="AZ889" s="2010"/>
      <c r="BA889" s="2010"/>
      <c r="BB889" s="2010"/>
      <c r="BC889" s="2010"/>
      <c r="BD889" s="2010"/>
      <c r="BE889" s="2010"/>
      <c r="BF889" s="2010"/>
      <c r="BG889" s="2010"/>
      <c r="BH889" s="2010"/>
      <c r="BI889" s="2010"/>
      <c r="BJ889" s="2010"/>
      <c r="BK889" s="2010"/>
      <c r="BL889" s="2010"/>
      <c r="BM889" s="2010"/>
      <c r="BN889" s="2010"/>
      <c r="BO889" s="2010"/>
      <c r="BP889" s="2010"/>
      <c r="BQ889" s="2010"/>
      <c r="BR889" s="2010"/>
      <c r="BS889" s="2010"/>
      <c r="BT889" s="2010"/>
      <c r="BU889" s="2010"/>
      <c r="BV889" s="2010"/>
      <c r="BW889" s="2010"/>
      <c r="BX889" s="2010"/>
      <c r="BY889" s="2010"/>
      <c r="BZ889" s="2010"/>
      <c r="CA889" s="2010"/>
      <c r="CB889" s="2010"/>
      <c r="CC889" s="2010"/>
      <c r="CD889" s="2010"/>
      <c r="CE889" s="2010"/>
      <c r="CF889" s="2010"/>
      <c r="CG889" s="2010"/>
      <c r="CH889" s="2010"/>
      <c r="CI889" s="2010"/>
      <c r="CJ889" s="2010"/>
      <c r="CK889" s="2010"/>
      <c r="CL889" s="2010"/>
      <c r="CM889" s="2010"/>
      <c r="CN889" s="2010"/>
      <c r="CO889" s="2010"/>
      <c r="CP889" s="2010"/>
      <c r="CQ889" s="2010"/>
      <c r="CR889" s="2010"/>
      <c r="CS889" s="2010"/>
      <c r="CT889" s="2010"/>
      <c r="CU889" s="2010"/>
      <c r="CV889" s="2010"/>
      <c r="CW889" s="2010"/>
      <c r="CX889" s="2010"/>
      <c r="CY889" s="2010"/>
      <c r="CZ889" s="2010"/>
      <c r="DA889" s="2010"/>
      <c r="DB889" s="2010"/>
      <c r="DC889" s="2010"/>
      <c r="DD889" s="2010"/>
      <c r="DE889" s="2010"/>
    </row>
    <row r="890" spans="1:109" s="2014" customFormat="1" x14ac:dyDescent="0.2">
      <c r="A890" s="2013"/>
      <c r="B890" s="2013"/>
      <c r="C890" s="2013"/>
      <c r="D890" s="2013"/>
      <c r="AB890" s="2010"/>
      <c r="AU890" s="2010"/>
      <c r="AV890" s="2010"/>
      <c r="AW890" s="2010"/>
      <c r="AX890" s="2010"/>
      <c r="AY890" s="2010"/>
      <c r="AZ890" s="2010"/>
      <c r="BA890" s="2010"/>
      <c r="BB890" s="2010"/>
      <c r="BC890" s="2010"/>
      <c r="BD890" s="2010"/>
      <c r="BE890" s="2010"/>
      <c r="BF890" s="2010"/>
      <c r="BG890" s="2010"/>
      <c r="BH890" s="2010"/>
      <c r="BI890" s="2010"/>
      <c r="BJ890" s="2010"/>
      <c r="BK890" s="2010"/>
      <c r="BL890" s="2010"/>
      <c r="BM890" s="2010"/>
      <c r="BN890" s="2010"/>
      <c r="BO890" s="2010"/>
      <c r="BP890" s="2010"/>
      <c r="BQ890" s="2010"/>
      <c r="BR890" s="2010"/>
      <c r="BS890" s="2010"/>
      <c r="BT890" s="2010"/>
      <c r="BU890" s="2010"/>
      <c r="BV890" s="2010"/>
      <c r="BW890" s="2010"/>
      <c r="BX890" s="2010"/>
      <c r="BY890" s="2010"/>
      <c r="BZ890" s="2010"/>
      <c r="CA890" s="2010"/>
      <c r="CB890" s="2010"/>
      <c r="CC890" s="2010"/>
      <c r="CD890" s="2010"/>
      <c r="CE890" s="2010"/>
      <c r="CF890" s="2010"/>
      <c r="CG890" s="2010"/>
      <c r="CH890" s="2010"/>
      <c r="CI890" s="2010"/>
      <c r="CJ890" s="2010"/>
      <c r="CK890" s="2010"/>
      <c r="CL890" s="2010"/>
      <c r="CM890" s="2010"/>
      <c r="CN890" s="2010"/>
      <c r="CO890" s="2010"/>
      <c r="CP890" s="2010"/>
      <c r="CQ890" s="2010"/>
      <c r="CR890" s="2010"/>
      <c r="CS890" s="2010"/>
      <c r="CT890" s="2010"/>
      <c r="CU890" s="2010"/>
      <c r="CV890" s="2010"/>
      <c r="CW890" s="2010"/>
      <c r="CX890" s="2010"/>
      <c r="CY890" s="2010"/>
      <c r="CZ890" s="2010"/>
      <c r="DA890" s="2010"/>
      <c r="DB890" s="2010"/>
      <c r="DC890" s="2010"/>
      <c r="DD890" s="2010"/>
      <c r="DE890" s="2010"/>
    </row>
    <row r="891" spans="1:109" s="2014" customFormat="1" x14ac:dyDescent="0.2">
      <c r="A891" s="2013"/>
      <c r="B891" s="2013"/>
      <c r="C891" s="2013"/>
      <c r="D891" s="2013"/>
      <c r="AB891" s="2010"/>
      <c r="AU891" s="2010"/>
      <c r="AV891" s="2010"/>
      <c r="AW891" s="2010"/>
      <c r="AX891" s="2010"/>
      <c r="AY891" s="2010"/>
      <c r="AZ891" s="2010"/>
      <c r="BA891" s="2010"/>
      <c r="BB891" s="2010"/>
      <c r="BC891" s="2010"/>
      <c r="BD891" s="2010"/>
      <c r="BE891" s="2010"/>
      <c r="BF891" s="2010"/>
      <c r="BG891" s="2010"/>
      <c r="BH891" s="2010"/>
      <c r="BI891" s="2010"/>
      <c r="BJ891" s="2010"/>
      <c r="BK891" s="2010"/>
      <c r="BL891" s="2010"/>
      <c r="BM891" s="2010"/>
      <c r="BN891" s="2010"/>
      <c r="BO891" s="2010"/>
      <c r="BP891" s="2010"/>
      <c r="BQ891" s="2010"/>
      <c r="BR891" s="2010"/>
      <c r="BS891" s="2010"/>
      <c r="BT891" s="2010"/>
      <c r="BU891" s="2010"/>
      <c r="BV891" s="2010"/>
      <c r="BW891" s="2010"/>
      <c r="BX891" s="2010"/>
      <c r="BY891" s="2010"/>
      <c r="BZ891" s="2010"/>
      <c r="CA891" s="2010"/>
      <c r="CB891" s="2010"/>
      <c r="CC891" s="2010"/>
      <c r="CD891" s="2010"/>
      <c r="CE891" s="2010"/>
      <c r="CF891" s="2010"/>
      <c r="CG891" s="2010"/>
      <c r="CH891" s="2010"/>
      <c r="CI891" s="2010"/>
      <c r="CJ891" s="2010"/>
      <c r="CK891" s="2010"/>
      <c r="CL891" s="2010"/>
      <c r="CM891" s="2010"/>
      <c r="CN891" s="2010"/>
      <c r="CO891" s="2010"/>
      <c r="CP891" s="2010"/>
      <c r="CQ891" s="2010"/>
      <c r="CR891" s="2010"/>
      <c r="CS891" s="2010"/>
      <c r="CT891" s="2010"/>
      <c r="CU891" s="2010"/>
      <c r="CV891" s="2010"/>
      <c r="CW891" s="2010"/>
      <c r="CX891" s="2010"/>
      <c r="CY891" s="2010"/>
      <c r="CZ891" s="2010"/>
      <c r="DA891" s="2010"/>
      <c r="DB891" s="2010"/>
      <c r="DC891" s="2010"/>
      <c r="DD891" s="2010"/>
      <c r="DE891" s="2010"/>
    </row>
    <row r="892" spans="1:109" s="2014" customFormat="1" x14ac:dyDescent="0.2">
      <c r="A892" s="2013"/>
      <c r="B892" s="2013"/>
      <c r="C892" s="2013"/>
      <c r="D892" s="2013"/>
      <c r="AB892" s="2010"/>
      <c r="AU892" s="2010"/>
      <c r="AV892" s="2010"/>
      <c r="AW892" s="2010"/>
      <c r="AX892" s="2010"/>
      <c r="AY892" s="2010"/>
      <c r="AZ892" s="2010"/>
      <c r="BA892" s="2010"/>
      <c r="BB892" s="2010"/>
      <c r="BC892" s="2010"/>
      <c r="BD892" s="2010"/>
      <c r="BE892" s="2010"/>
      <c r="BF892" s="2010"/>
      <c r="BG892" s="2010"/>
      <c r="BH892" s="2010"/>
      <c r="BI892" s="2010"/>
      <c r="BJ892" s="2010"/>
      <c r="BK892" s="2010"/>
      <c r="BL892" s="2010"/>
      <c r="BM892" s="2010"/>
      <c r="BN892" s="2010"/>
      <c r="BO892" s="2010"/>
      <c r="BP892" s="2010"/>
      <c r="BQ892" s="2010"/>
      <c r="BR892" s="2010"/>
      <c r="BS892" s="2010"/>
      <c r="BT892" s="2010"/>
      <c r="BU892" s="2010"/>
      <c r="BV892" s="2010"/>
      <c r="BW892" s="2010"/>
      <c r="BX892" s="2010"/>
      <c r="BY892" s="2010"/>
      <c r="BZ892" s="2010"/>
      <c r="CA892" s="2010"/>
      <c r="CB892" s="2010"/>
      <c r="CC892" s="2010"/>
      <c r="CD892" s="2010"/>
      <c r="CE892" s="2010"/>
      <c r="CF892" s="2010"/>
      <c r="CG892" s="2010"/>
      <c r="CH892" s="2010"/>
      <c r="CI892" s="2010"/>
      <c r="CJ892" s="2010"/>
      <c r="CK892" s="2010"/>
      <c r="CL892" s="2010"/>
      <c r="CM892" s="2010"/>
      <c r="CN892" s="2010"/>
      <c r="CO892" s="2010"/>
      <c r="CP892" s="2010"/>
      <c r="CQ892" s="2010"/>
      <c r="CR892" s="2010"/>
      <c r="CS892" s="2010"/>
      <c r="CT892" s="2010"/>
      <c r="CU892" s="2010"/>
      <c r="CV892" s="2010"/>
      <c r="CW892" s="2010"/>
      <c r="CX892" s="2010"/>
      <c r="CY892" s="2010"/>
      <c r="CZ892" s="2010"/>
      <c r="DA892" s="2010"/>
      <c r="DB892" s="2010"/>
      <c r="DC892" s="2010"/>
      <c r="DD892" s="2010"/>
      <c r="DE892" s="2010"/>
    </row>
    <row r="893" spans="1:109" s="2014" customFormat="1" x14ac:dyDescent="0.2">
      <c r="A893" s="2013"/>
      <c r="B893" s="2013"/>
      <c r="C893" s="2013"/>
      <c r="D893" s="2013"/>
      <c r="AB893" s="2010"/>
      <c r="AU893" s="2010"/>
      <c r="AV893" s="2010"/>
      <c r="AW893" s="2010"/>
      <c r="AX893" s="2010"/>
      <c r="AY893" s="2010"/>
      <c r="AZ893" s="2010"/>
      <c r="BA893" s="2010"/>
      <c r="BB893" s="2010"/>
      <c r="BC893" s="2010"/>
      <c r="BD893" s="2010"/>
      <c r="BE893" s="2010"/>
      <c r="BF893" s="2010"/>
      <c r="BG893" s="2010"/>
      <c r="BH893" s="2010"/>
      <c r="BI893" s="2010"/>
      <c r="BJ893" s="2010"/>
      <c r="BK893" s="2010"/>
      <c r="BL893" s="2010"/>
      <c r="BM893" s="2010"/>
      <c r="BN893" s="2010"/>
      <c r="BO893" s="2010"/>
      <c r="BP893" s="2010"/>
      <c r="BQ893" s="2010"/>
      <c r="BR893" s="2010"/>
      <c r="BS893" s="2010"/>
      <c r="BT893" s="2010"/>
      <c r="BU893" s="2010"/>
      <c r="BV893" s="2010"/>
      <c r="BW893" s="2010"/>
      <c r="BX893" s="2010"/>
      <c r="BY893" s="2010"/>
      <c r="BZ893" s="2010"/>
      <c r="CA893" s="2010"/>
      <c r="CB893" s="2010"/>
      <c r="CC893" s="2010"/>
      <c r="CD893" s="2010"/>
      <c r="CE893" s="2010"/>
      <c r="CF893" s="2010"/>
      <c r="CG893" s="2010"/>
      <c r="CH893" s="2010"/>
      <c r="CI893" s="2010"/>
      <c r="CJ893" s="2010"/>
      <c r="CK893" s="2010"/>
      <c r="CL893" s="2010"/>
      <c r="CM893" s="2010"/>
      <c r="CN893" s="2010"/>
      <c r="CO893" s="2010"/>
      <c r="CP893" s="2010"/>
      <c r="CQ893" s="2010"/>
      <c r="CR893" s="2010"/>
      <c r="CS893" s="2010"/>
      <c r="CT893" s="2010"/>
      <c r="CU893" s="2010"/>
      <c r="CV893" s="2010"/>
      <c r="CW893" s="2010"/>
      <c r="CX893" s="2010"/>
      <c r="CY893" s="2010"/>
      <c r="CZ893" s="2010"/>
      <c r="DA893" s="2010"/>
      <c r="DB893" s="2010"/>
      <c r="DC893" s="2010"/>
      <c r="DD893" s="2010"/>
      <c r="DE893" s="2010"/>
    </row>
    <row r="894" spans="1:109" s="2014" customFormat="1" x14ac:dyDescent="0.2">
      <c r="A894" s="2013"/>
      <c r="B894" s="2013"/>
      <c r="C894" s="2013"/>
      <c r="D894" s="2013"/>
      <c r="AB894" s="2010"/>
      <c r="AU894" s="2010"/>
      <c r="AV894" s="2010"/>
      <c r="AW894" s="2010"/>
      <c r="AX894" s="2010"/>
      <c r="AY894" s="2010"/>
      <c r="AZ894" s="2010"/>
      <c r="BA894" s="2010"/>
      <c r="BB894" s="2010"/>
      <c r="BC894" s="2010"/>
      <c r="BD894" s="2010"/>
      <c r="BE894" s="2010"/>
      <c r="BF894" s="2010"/>
      <c r="BG894" s="2010"/>
      <c r="BH894" s="2010"/>
      <c r="BI894" s="2010"/>
      <c r="BJ894" s="2010"/>
      <c r="BK894" s="2010"/>
      <c r="BL894" s="2010"/>
      <c r="BM894" s="2010"/>
      <c r="BN894" s="2010"/>
      <c r="BO894" s="2010"/>
      <c r="BP894" s="2010"/>
      <c r="BQ894" s="2010"/>
      <c r="BR894" s="2010"/>
      <c r="BS894" s="2010"/>
      <c r="BT894" s="2010"/>
      <c r="BU894" s="2010"/>
      <c r="BV894" s="2010"/>
      <c r="BW894" s="2010"/>
      <c r="BX894" s="2010"/>
      <c r="BY894" s="2010"/>
      <c r="BZ894" s="2010"/>
      <c r="CA894" s="2010"/>
      <c r="CB894" s="2010"/>
      <c r="CC894" s="2010"/>
      <c r="CD894" s="2010"/>
      <c r="CE894" s="2010"/>
      <c r="CF894" s="2010"/>
      <c r="CG894" s="2010"/>
      <c r="CH894" s="2010"/>
      <c r="CI894" s="2010"/>
      <c r="CJ894" s="2010"/>
      <c r="CK894" s="2010"/>
      <c r="CL894" s="2010"/>
      <c r="CM894" s="2010"/>
      <c r="CN894" s="2010"/>
      <c r="CO894" s="2010"/>
      <c r="CP894" s="2010"/>
      <c r="CQ894" s="2010"/>
      <c r="CR894" s="2010"/>
      <c r="CS894" s="2010"/>
      <c r="CT894" s="2010"/>
      <c r="CU894" s="2010"/>
      <c r="CV894" s="2010"/>
      <c r="CW894" s="2010"/>
      <c r="CX894" s="2010"/>
      <c r="CY894" s="2010"/>
      <c r="CZ894" s="2010"/>
      <c r="DA894" s="2010"/>
      <c r="DB894" s="2010"/>
      <c r="DC894" s="2010"/>
      <c r="DD894" s="2010"/>
      <c r="DE894" s="2010"/>
    </row>
    <row r="895" spans="1:109" s="2014" customFormat="1" x14ac:dyDescent="0.2">
      <c r="A895" s="2013"/>
      <c r="B895" s="2013"/>
      <c r="C895" s="2013"/>
      <c r="D895" s="2013"/>
      <c r="AB895" s="2010"/>
      <c r="AU895" s="2010"/>
      <c r="AV895" s="2010"/>
      <c r="AW895" s="2010"/>
      <c r="AX895" s="2010"/>
      <c r="AY895" s="2010"/>
      <c r="AZ895" s="2010"/>
      <c r="BA895" s="2010"/>
      <c r="BB895" s="2010"/>
      <c r="BC895" s="2010"/>
      <c r="BD895" s="2010"/>
      <c r="BE895" s="2010"/>
      <c r="BF895" s="2010"/>
      <c r="BG895" s="2010"/>
      <c r="BH895" s="2010"/>
      <c r="BI895" s="2010"/>
      <c r="BJ895" s="2010"/>
      <c r="BK895" s="2010"/>
      <c r="BL895" s="2010"/>
      <c r="BM895" s="2010"/>
      <c r="BN895" s="2010"/>
      <c r="BO895" s="2010"/>
      <c r="BP895" s="2010"/>
      <c r="BQ895" s="2010"/>
      <c r="BR895" s="2010"/>
      <c r="BS895" s="2010"/>
      <c r="BT895" s="2010"/>
      <c r="BU895" s="2010"/>
      <c r="BV895" s="2010"/>
      <c r="BW895" s="2010"/>
      <c r="BX895" s="2010"/>
      <c r="BY895" s="2010"/>
      <c r="BZ895" s="2010"/>
      <c r="CA895" s="2010"/>
      <c r="CB895" s="2010"/>
      <c r="CC895" s="2010"/>
      <c r="CD895" s="2010"/>
      <c r="CE895" s="2010"/>
      <c r="CF895" s="2010"/>
      <c r="CG895" s="2010"/>
      <c r="CH895" s="2010"/>
      <c r="CI895" s="2010"/>
      <c r="CJ895" s="2010"/>
      <c r="CK895" s="2010"/>
      <c r="CL895" s="2010"/>
      <c r="CM895" s="2010"/>
      <c r="CN895" s="2010"/>
      <c r="CO895" s="2010"/>
      <c r="CP895" s="2010"/>
      <c r="CQ895" s="2010"/>
      <c r="CR895" s="2010"/>
      <c r="CS895" s="2010"/>
      <c r="CT895" s="2010"/>
      <c r="CU895" s="2010"/>
      <c r="CV895" s="2010"/>
      <c r="CW895" s="2010"/>
      <c r="CX895" s="2010"/>
      <c r="CY895" s="2010"/>
      <c r="CZ895" s="2010"/>
      <c r="DA895" s="2010"/>
      <c r="DB895" s="2010"/>
      <c r="DC895" s="2010"/>
      <c r="DD895" s="2010"/>
      <c r="DE895" s="2010"/>
    </row>
    <row r="896" spans="1:109" s="2014" customFormat="1" x14ac:dyDescent="0.2">
      <c r="A896" s="2013"/>
      <c r="B896" s="2013"/>
      <c r="C896" s="2013"/>
      <c r="D896" s="2013"/>
      <c r="AB896" s="2010"/>
      <c r="AU896" s="2010"/>
      <c r="AV896" s="2010"/>
      <c r="AW896" s="2010"/>
      <c r="AX896" s="2010"/>
      <c r="AY896" s="2010"/>
      <c r="AZ896" s="2010"/>
      <c r="BA896" s="2010"/>
      <c r="BB896" s="2010"/>
      <c r="BC896" s="2010"/>
      <c r="BD896" s="2010"/>
      <c r="BE896" s="2010"/>
      <c r="BF896" s="2010"/>
      <c r="BG896" s="2010"/>
      <c r="BH896" s="2010"/>
      <c r="BI896" s="2010"/>
      <c r="BJ896" s="2010"/>
      <c r="BK896" s="2010"/>
      <c r="BL896" s="2010"/>
      <c r="BM896" s="2010"/>
      <c r="BN896" s="2010"/>
      <c r="BO896" s="2010"/>
      <c r="BP896" s="2010"/>
      <c r="BQ896" s="2010"/>
      <c r="BR896" s="2010"/>
      <c r="BS896" s="2010"/>
      <c r="BT896" s="2010"/>
      <c r="BU896" s="2010"/>
      <c r="BV896" s="2010"/>
      <c r="BW896" s="2010"/>
      <c r="BX896" s="2010"/>
      <c r="BY896" s="2010"/>
      <c r="BZ896" s="2010"/>
      <c r="CA896" s="2010"/>
      <c r="CB896" s="2010"/>
      <c r="CC896" s="2010"/>
      <c r="CD896" s="2010"/>
      <c r="CE896" s="2010"/>
      <c r="CF896" s="2010"/>
      <c r="CG896" s="2010"/>
      <c r="CH896" s="2010"/>
      <c r="CI896" s="2010"/>
      <c r="CJ896" s="2010"/>
      <c r="CK896" s="2010"/>
      <c r="CL896" s="2010"/>
      <c r="CM896" s="2010"/>
      <c r="CN896" s="2010"/>
      <c r="CO896" s="2010"/>
      <c r="CP896" s="2010"/>
      <c r="CQ896" s="2010"/>
      <c r="CR896" s="2010"/>
      <c r="CS896" s="2010"/>
      <c r="CT896" s="2010"/>
      <c r="CU896" s="2010"/>
      <c r="CV896" s="2010"/>
      <c r="CW896" s="2010"/>
      <c r="CX896" s="2010"/>
      <c r="CY896" s="2010"/>
      <c r="CZ896" s="2010"/>
      <c r="DA896" s="2010"/>
      <c r="DB896" s="2010"/>
      <c r="DC896" s="2010"/>
      <c r="DD896" s="2010"/>
      <c r="DE896" s="2010"/>
    </row>
    <row r="897" spans="1:109" s="2014" customFormat="1" x14ac:dyDescent="0.2">
      <c r="A897" s="2013"/>
      <c r="B897" s="2013"/>
      <c r="C897" s="2013"/>
      <c r="D897" s="2013"/>
      <c r="AB897" s="2010"/>
      <c r="AU897" s="2010"/>
      <c r="AV897" s="2010"/>
      <c r="AW897" s="2010"/>
      <c r="AX897" s="2010"/>
      <c r="AY897" s="2010"/>
      <c r="AZ897" s="2010"/>
      <c r="BA897" s="2010"/>
      <c r="BB897" s="2010"/>
      <c r="BC897" s="2010"/>
      <c r="BD897" s="2010"/>
      <c r="BE897" s="2010"/>
      <c r="BF897" s="2010"/>
      <c r="BG897" s="2010"/>
      <c r="BH897" s="2010"/>
      <c r="BI897" s="2010"/>
      <c r="BJ897" s="2010"/>
      <c r="BK897" s="2010"/>
      <c r="BL897" s="2010"/>
      <c r="BM897" s="2010"/>
      <c r="BN897" s="2010"/>
      <c r="BO897" s="2010"/>
      <c r="BP897" s="2010"/>
      <c r="BQ897" s="2010"/>
      <c r="BR897" s="2010"/>
      <c r="BS897" s="2010"/>
      <c r="BT897" s="2010"/>
      <c r="BU897" s="2010"/>
      <c r="BV897" s="2010"/>
      <c r="BW897" s="2010"/>
      <c r="BX897" s="2010"/>
      <c r="BY897" s="2010"/>
      <c r="BZ897" s="2010"/>
      <c r="CA897" s="2010"/>
      <c r="CB897" s="2010"/>
      <c r="CC897" s="2010"/>
      <c r="CD897" s="2010"/>
      <c r="CE897" s="2010"/>
      <c r="CF897" s="2010"/>
      <c r="CG897" s="2010"/>
      <c r="CH897" s="2010"/>
      <c r="CI897" s="2010"/>
      <c r="CJ897" s="2010"/>
      <c r="CK897" s="2010"/>
      <c r="CL897" s="2010"/>
      <c r="CM897" s="2010"/>
      <c r="CN897" s="2010"/>
      <c r="CO897" s="2010"/>
      <c r="CP897" s="2010"/>
      <c r="CQ897" s="2010"/>
      <c r="CR897" s="2010"/>
      <c r="CS897" s="2010"/>
      <c r="CT897" s="2010"/>
      <c r="CU897" s="2010"/>
      <c r="CV897" s="2010"/>
      <c r="CW897" s="2010"/>
      <c r="CX897" s="2010"/>
      <c r="CY897" s="2010"/>
      <c r="CZ897" s="2010"/>
      <c r="DA897" s="2010"/>
      <c r="DB897" s="2010"/>
      <c r="DC897" s="2010"/>
      <c r="DD897" s="2010"/>
      <c r="DE897" s="2010"/>
    </row>
    <row r="898" spans="1:109" s="2014" customFormat="1" x14ac:dyDescent="0.2">
      <c r="A898" s="2013"/>
      <c r="B898" s="2013"/>
      <c r="C898" s="2013"/>
      <c r="D898" s="2013"/>
      <c r="AB898" s="2010"/>
      <c r="AU898" s="2010"/>
      <c r="AV898" s="2010"/>
      <c r="AW898" s="2010"/>
      <c r="AX898" s="2010"/>
      <c r="AY898" s="2010"/>
      <c r="AZ898" s="2010"/>
      <c r="BA898" s="2010"/>
      <c r="BB898" s="2010"/>
      <c r="BC898" s="2010"/>
      <c r="BD898" s="2010"/>
      <c r="BE898" s="2010"/>
      <c r="BF898" s="2010"/>
      <c r="BG898" s="2010"/>
      <c r="BH898" s="2010"/>
      <c r="BI898" s="2010"/>
      <c r="BJ898" s="2010"/>
      <c r="BK898" s="2010"/>
      <c r="BL898" s="2010"/>
      <c r="BM898" s="2010"/>
      <c r="BN898" s="2010"/>
      <c r="BO898" s="2010"/>
      <c r="BP898" s="2010"/>
      <c r="BQ898" s="2010"/>
      <c r="BR898" s="2010"/>
      <c r="BS898" s="2010"/>
      <c r="BT898" s="2010"/>
      <c r="BU898" s="2010"/>
      <c r="BV898" s="2010"/>
      <c r="BW898" s="2010"/>
      <c r="BX898" s="2010"/>
      <c r="BY898" s="2010"/>
      <c r="BZ898" s="2010"/>
      <c r="CA898" s="2010"/>
      <c r="CB898" s="2010"/>
      <c r="CC898" s="2010"/>
      <c r="CD898" s="2010"/>
      <c r="CE898" s="2010"/>
      <c r="CF898" s="2010"/>
      <c r="CG898" s="2010"/>
      <c r="CH898" s="2010"/>
      <c r="CI898" s="2010"/>
      <c r="CJ898" s="2010"/>
      <c r="CK898" s="2010"/>
      <c r="CL898" s="2010"/>
      <c r="CM898" s="2010"/>
      <c r="CN898" s="2010"/>
      <c r="CO898" s="2010"/>
      <c r="CP898" s="2010"/>
      <c r="CQ898" s="2010"/>
      <c r="CR898" s="2010"/>
      <c r="CS898" s="2010"/>
      <c r="CT898" s="2010"/>
      <c r="CU898" s="2010"/>
      <c r="CV898" s="2010"/>
      <c r="CW898" s="2010"/>
      <c r="CX898" s="2010"/>
      <c r="CY898" s="2010"/>
      <c r="CZ898" s="2010"/>
      <c r="DA898" s="2010"/>
      <c r="DB898" s="2010"/>
      <c r="DC898" s="2010"/>
      <c r="DD898" s="2010"/>
      <c r="DE898" s="2010"/>
    </row>
    <row r="899" spans="1:109" s="2014" customFormat="1" x14ac:dyDescent="0.2">
      <c r="A899" s="2013"/>
      <c r="B899" s="2013"/>
      <c r="C899" s="2013"/>
      <c r="D899" s="2013"/>
      <c r="AB899" s="2010"/>
      <c r="AU899" s="2010"/>
      <c r="AV899" s="2010"/>
      <c r="AW899" s="2010"/>
      <c r="AX899" s="2010"/>
      <c r="AY899" s="2010"/>
      <c r="AZ899" s="2010"/>
      <c r="BA899" s="2010"/>
      <c r="BB899" s="2010"/>
      <c r="BC899" s="2010"/>
      <c r="BD899" s="2010"/>
      <c r="BE899" s="2010"/>
      <c r="BF899" s="2010"/>
      <c r="BG899" s="2010"/>
      <c r="BH899" s="2010"/>
      <c r="BI899" s="2010"/>
      <c r="BJ899" s="2010"/>
      <c r="BK899" s="2010"/>
      <c r="BL899" s="2010"/>
      <c r="BM899" s="2010"/>
      <c r="BN899" s="2010"/>
      <c r="BO899" s="2010"/>
      <c r="BP899" s="2010"/>
      <c r="BQ899" s="2010"/>
      <c r="BR899" s="2010"/>
      <c r="BS899" s="2010"/>
      <c r="BT899" s="2010"/>
      <c r="BU899" s="2010"/>
      <c r="BV899" s="2010"/>
      <c r="BW899" s="2010"/>
      <c r="BX899" s="2010"/>
      <c r="BY899" s="2010"/>
      <c r="BZ899" s="2010"/>
      <c r="CA899" s="2010"/>
      <c r="CB899" s="2010"/>
      <c r="CC899" s="2010"/>
      <c r="CD899" s="2010"/>
      <c r="CE899" s="2010"/>
      <c r="CF899" s="2010"/>
      <c r="CG899" s="2010"/>
      <c r="CH899" s="2010"/>
      <c r="CI899" s="2010"/>
      <c r="CJ899" s="2010"/>
      <c r="CK899" s="2010"/>
      <c r="CL899" s="2010"/>
      <c r="CM899" s="2010"/>
      <c r="CN899" s="2010"/>
      <c r="CO899" s="2010"/>
      <c r="CP899" s="2010"/>
      <c r="CQ899" s="2010"/>
      <c r="CR899" s="2010"/>
      <c r="CS899" s="2010"/>
      <c r="CT899" s="2010"/>
      <c r="CU899" s="2010"/>
      <c r="CV899" s="2010"/>
      <c r="CW899" s="2010"/>
      <c r="CX899" s="2010"/>
      <c r="CY899" s="2010"/>
      <c r="CZ899" s="2010"/>
      <c r="DA899" s="2010"/>
      <c r="DB899" s="2010"/>
      <c r="DC899" s="2010"/>
      <c r="DD899" s="2010"/>
      <c r="DE899" s="2010"/>
    </row>
    <row r="900" spans="1:109" s="2014" customFormat="1" x14ac:dyDescent="0.2">
      <c r="A900" s="2013"/>
      <c r="B900" s="2013"/>
      <c r="C900" s="2013"/>
      <c r="D900" s="2013"/>
      <c r="AB900" s="2010"/>
      <c r="AU900" s="2010"/>
      <c r="AV900" s="2010"/>
      <c r="AW900" s="2010"/>
      <c r="AX900" s="2010"/>
      <c r="AY900" s="2010"/>
      <c r="AZ900" s="2010"/>
      <c r="BA900" s="2010"/>
      <c r="BB900" s="2010"/>
      <c r="BC900" s="2010"/>
      <c r="BD900" s="2010"/>
      <c r="BE900" s="2010"/>
      <c r="BF900" s="2010"/>
      <c r="BG900" s="2010"/>
      <c r="BH900" s="2010"/>
      <c r="BI900" s="2010"/>
      <c r="BJ900" s="2010"/>
      <c r="BK900" s="2010"/>
      <c r="BL900" s="2010"/>
      <c r="BM900" s="2010"/>
      <c r="BN900" s="2010"/>
      <c r="BO900" s="2010"/>
      <c r="BP900" s="2010"/>
      <c r="BQ900" s="2010"/>
      <c r="BR900" s="2010"/>
      <c r="BS900" s="2010"/>
      <c r="BT900" s="2010"/>
      <c r="BU900" s="2010"/>
      <c r="BV900" s="2010"/>
      <c r="BW900" s="2010"/>
      <c r="BX900" s="2010"/>
      <c r="BY900" s="2010"/>
      <c r="BZ900" s="2010"/>
      <c r="CA900" s="2010"/>
      <c r="CB900" s="2010"/>
      <c r="CC900" s="2010"/>
      <c r="CD900" s="2010"/>
      <c r="CE900" s="2010"/>
      <c r="CF900" s="2010"/>
      <c r="CG900" s="2010"/>
      <c r="CH900" s="2010"/>
      <c r="CI900" s="2010"/>
      <c r="CJ900" s="2010"/>
      <c r="CK900" s="2010"/>
      <c r="CL900" s="2010"/>
      <c r="CM900" s="2010"/>
      <c r="CN900" s="2010"/>
      <c r="CO900" s="2010"/>
      <c r="CP900" s="2010"/>
      <c r="CQ900" s="2010"/>
      <c r="CR900" s="2010"/>
      <c r="CS900" s="2010"/>
      <c r="CT900" s="2010"/>
      <c r="CU900" s="2010"/>
      <c r="CV900" s="2010"/>
      <c r="CW900" s="2010"/>
      <c r="CX900" s="2010"/>
      <c r="CY900" s="2010"/>
      <c r="CZ900" s="2010"/>
      <c r="DA900" s="2010"/>
      <c r="DB900" s="2010"/>
      <c r="DC900" s="2010"/>
      <c r="DD900" s="2010"/>
      <c r="DE900" s="2010"/>
    </row>
    <row r="901" spans="1:109" s="2014" customFormat="1" x14ac:dyDescent="0.2">
      <c r="A901" s="2013"/>
      <c r="B901" s="2013"/>
      <c r="C901" s="2013"/>
      <c r="D901" s="2013"/>
      <c r="AB901" s="2010"/>
      <c r="AU901" s="2010"/>
      <c r="AV901" s="2010"/>
      <c r="AW901" s="2010"/>
      <c r="AX901" s="2010"/>
      <c r="AY901" s="2010"/>
      <c r="AZ901" s="2010"/>
      <c r="BA901" s="2010"/>
      <c r="BB901" s="2010"/>
      <c r="BC901" s="2010"/>
      <c r="BD901" s="2010"/>
      <c r="BE901" s="2010"/>
      <c r="BF901" s="2010"/>
      <c r="BG901" s="2010"/>
      <c r="BH901" s="2010"/>
      <c r="BI901" s="2010"/>
      <c r="BJ901" s="2010"/>
      <c r="BK901" s="2010"/>
      <c r="BL901" s="2010"/>
      <c r="BM901" s="2010"/>
      <c r="BN901" s="2010"/>
      <c r="BO901" s="2010"/>
      <c r="BP901" s="2010"/>
      <c r="BQ901" s="2010"/>
      <c r="BR901" s="2010"/>
      <c r="BS901" s="2010"/>
      <c r="BT901" s="2010"/>
      <c r="BU901" s="2010"/>
      <c r="BV901" s="2010"/>
      <c r="BW901" s="2010"/>
      <c r="BX901" s="2010"/>
      <c r="BY901" s="2010"/>
      <c r="BZ901" s="2010"/>
      <c r="CA901" s="2010"/>
      <c r="CB901" s="2010"/>
      <c r="CC901" s="2010"/>
      <c r="CD901" s="2010"/>
      <c r="CE901" s="2010"/>
      <c r="CF901" s="2010"/>
      <c r="CG901" s="2010"/>
      <c r="CH901" s="2010"/>
      <c r="CI901" s="2010"/>
      <c r="CJ901" s="2010"/>
      <c r="CK901" s="2010"/>
      <c r="CL901" s="2010"/>
      <c r="CM901" s="2010"/>
      <c r="CN901" s="2010"/>
      <c r="CO901" s="2010"/>
      <c r="CP901" s="2010"/>
      <c r="CQ901" s="2010"/>
      <c r="CR901" s="2010"/>
      <c r="CS901" s="2010"/>
      <c r="CT901" s="2010"/>
      <c r="CU901" s="2010"/>
      <c r="CV901" s="2010"/>
      <c r="CW901" s="2010"/>
      <c r="CX901" s="2010"/>
      <c r="CY901" s="2010"/>
      <c r="CZ901" s="2010"/>
      <c r="DA901" s="2010"/>
      <c r="DB901" s="2010"/>
      <c r="DC901" s="2010"/>
      <c r="DD901" s="2010"/>
      <c r="DE901" s="2010"/>
    </row>
    <row r="902" spans="1:109" s="2014" customFormat="1" x14ac:dyDescent="0.2">
      <c r="A902" s="2013"/>
      <c r="B902" s="2013"/>
      <c r="C902" s="2013"/>
      <c r="D902" s="2013"/>
      <c r="AB902" s="2010"/>
      <c r="AU902" s="2010"/>
      <c r="AV902" s="2010"/>
      <c r="AW902" s="2010"/>
      <c r="AX902" s="2010"/>
      <c r="AY902" s="2010"/>
      <c r="AZ902" s="2010"/>
      <c r="BA902" s="2010"/>
      <c r="BB902" s="2010"/>
      <c r="BC902" s="2010"/>
      <c r="BD902" s="2010"/>
      <c r="BE902" s="2010"/>
      <c r="BF902" s="2010"/>
      <c r="BG902" s="2010"/>
      <c r="BH902" s="2010"/>
      <c r="BI902" s="2010"/>
      <c r="BJ902" s="2010"/>
      <c r="BK902" s="2010"/>
      <c r="BL902" s="2010"/>
      <c r="BM902" s="2010"/>
      <c r="BN902" s="2010"/>
      <c r="BO902" s="2010"/>
      <c r="BP902" s="2010"/>
      <c r="BQ902" s="2010"/>
      <c r="BR902" s="2010"/>
      <c r="BS902" s="2010"/>
      <c r="BT902" s="2010"/>
      <c r="BU902" s="2010"/>
      <c r="BV902" s="2010"/>
      <c r="BW902" s="2010"/>
      <c r="BX902" s="2010"/>
      <c r="BY902" s="2010"/>
      <c r="BZ902" s="2010"/>
      <c r="CA902" s="2010"/>
      <c r="CB902" s="2010"/>
      <c r="CC902" s="2010"/>
      <c r="CD902" s="2010"/>
      <c r="CE902" s="2010"/>
      <c r="CF902" s="2010"/>
      <c r="CG902" s="2010"/>
      <c r="CH902" s="2010"/>
      <c r="CI902" s="2010"/>
      <c r="CJ902" s="2010"/>
      <c r="CK902" s="2010"/>
      <c r="CL902" s="2010"/>
      <c r="CM902" s="2010"/>
      <c r="CN902" s="2010"/>
      <c r="CO902" s="2010"/>
      <c r="CP902" s="2010"/>
      <c r="CQ902" s="2010"/>
      <c r="CR902" s="2010"/>
      <c r="CS902" s="2010"/>
      <c r="CT902" s="2010"/>
      <c r="CU902" s="2010"/>
      <c r="CV902" s="2010"/>
      <c r="CW902" s="2010"/>
      <c r="CX902" s="2010"/>
      <c r="CY902" s="2010"/>
      <c r="CZ902" s="2010"/>
      <c r="DA902" s="2010"/>
      <c r="DB902" s="2010"/>
      <c r="DC902" s="2010"/>
      <c r="DD902" s="2010"/>
      <c r="DE902" s="2010"/>
    </row>
    <row r="903" spans="1:109" s="2014" customFormat="1" x14ac:dyDescent="0.2">
      <c r="A903" s="2013"/>
      <c r="B903" s="2013"/>
      <c r="C903" s="2013"/>
      <c r="D903" s="2013"/>
      <c r="AB903" s="2010"/>
      <c r="AU903" s="2010"/>
      <c r="AV903" s="2010"/>
      <c r="AW903" s="2010"/>
      <c r="AX903" s="2010"/>
      <c r="AY903" s="2010"/>
      <c r="AZ903" s="2010"/>
      <c r="BA903" s="2010"/>
      <c r="BB903" s="2010"/>
      <c r="BC903" s="2010"/>
      <c r="BD903" s="2010"/>
      <c r="BE903" s="2010"/>
      <c r="BF903" s="2010"/>
      <c r="BG903" s="2010"/>
      <c r="BH903" s="2010"/>
      <c r="BI903" s="2010"/>
      <c r="BJ903" s="2010"/>
      <c r="BK903" s="2010"/>
      <c r="BL903" s="2010"/>
      <c r="BM903" s="2010"/>
      <c r="BN903" s="2010"/>
      <c r="BO903" s="2010"/>
      <c r="BP903" s="2010"/>
      <c r="BQ903" s="2010"/>
      <c r="BR903" s="2010"/>
      <c r="BS903" s="2010"/>
      <c r="BT903" s="2010"/>
      <c r="BU903" s="2010"/>
      <c r="BV903" s="2010"/>
      <c r="BW903" s="2010"/>
      <c r="BX903" s="2010"/>
      <c r="BY903" s="2010"/>
      <c r="BZ903" s="2010"/>
      <c r="CA903" s="2010"/>
      <c r="CB903" s="2010"/>
      <c r="CC903" s="2010"/>
      <c r="CD903" s="2010"/>
      <c r="CE903" s="2010"/>
      <c r="CF903" s="2010"/>
      <c r="CG903" s="2010"/>
      <c r="CH903" s="2010"/>
      <c r="CI903" s="2010"/>
      <c r="CJ903" s="2010"/>
      <c r="CK903" s="2010"/>
      <c r="CL903" s="2010"/>
      <c r="CM903" s="2010"/>
      <c r="CN903" s="2010"/>
      <c r="CO903" s="2010"/>
      <c r="CP903" s="2010"/>
      <c r="CQ903" s="2010"/>
      <c r="CR903" s="2010"/>
      <c r="CS903" s="2010"/>
      <c r="CT903" s="2010"/>
      <c r="CU903" s="2010"/>
      <c r="CV903" s="2010"/>
      <c r="CW903" s="2010"/>
      <c r="CX903" s="2010"/>
      <c r="CY903" s="2010"/>
      <c r="CZ903" s="2010"/>
      <c r="DA903" s="2010"/>
      <c r="DB903" s="2010"/>
      <c r="DC903" s="2010"/>
      <c r="DD903" s="2010"/>
      <c r="DE903" s="2010"/>
    </row>
    <row r="904" spans="1:109" s="2014" customFormat="1" x14ac:dyDescent="0.2">
      <c r="A904" s="2013"/>
      <c r="B904" s="2013"/>
      <c r="C904" s="2013"/>
      <c r="D904" s="2013"/>
      <c r="AB904" s="2010"/>
      <c r="AU904" s="2010"/>
      <c r="AV904" s="2010"/>
      <c r="AW904" s="2010"/>
      <c r="AX904" s="2010"/>
      <c r="AY904" s="2010"/>
      <c r="AZ904" s="2010"/>
      <c r="BA904" s="2010"/>
      <c r="BB904" s="2010"/>
      <c r="BC904" s="2010"/>
      <c r="BD904" s="2010"/>
      <c r="BE904" s="2010"/>
      <c r="BF904" s="2010"/>
      <c r="BG904" s="2010"/>
      <c r="BH904" s="2010"/>
      <c r="BI904" s="2010"/>
      <c r="BJ904" s="2010"/>
      <c r="BK904" s="2010"/>
      <c r="BL904" s="2010"/>
      <c r="BM904" s="2010"/>
      <c r="BN904" s="2010"/>
      <c r="BO904" s="2010"/>
      <c r="BP904" s="2010"/>
      <c r="BQ904" s="2010"/>
      <c r="BR904" s="2010"/>
      <c r="BS904" s="2010"/>
      <c r="BT904" s="2010"/>
      <c r="BU904" s="2010"/>
      <c r="BV904" s="2010"/>
      <c r="BW904" s="2010"/>
      <c r="BX904" s="2010"/>
      <c r="BY904" s="2010"/>
      <c r="BZ904" s="2010"/>
      <c r="CA904" s="2010"/>
      <c r="CB904" s="2010"/>
      <c r="CC904" s="2010"/>
      <c r="CD904" s="2010"/>
      <c r="CE904" s="2010"/>
      <c r="CF904" s="2010"/>
      <c r="CG904" s="2010"/>
      <c r="CH904" s="2010"/>
      <c r="CI904" s="2010"/>
      <c r="CJ904" s="2010"/>
      <c r="CK904" s="2010"/>
      <c r="CL904" s="2010"/>
      <c r="CM904" s="2010"/>
      <c r="CN904" s="2010"/>
      <c r="CO904" s="2010"/>
      <c r="CP904" s="2010"/>
      <c r="CQ904" s="2010"/>
      <c r="CR904" s="2010"/>
      <c r="CS904" s="2010"/>
      <c r="CT904" s="2010"/>
      <c r="CU904" s="2010"/>
      <c r="CV904" s="2010"/>
      <c r="CW904" s="2010"/>
      <c r="CX904" s="2010"/>
      <c r="CY904" s="2010"/>
      <c r="CZ904" s="2010"/>
      <c r="DA904" s="2010"/>
      <c r="DB904" s="2010"/>
      <c r="DC904" s="2010"/>
      <c r="DD904" s="2010"/>
      <c r="DE904" s="2010"/>
    </row>
    <row r="905" spans="1:109" s="2014" customFormat="1" x14ac:dyDescent="0.2">
      <c r="A905" s="2013"/>
      <c r="B905" s="2013"/>
      <c r="C905" s="2013"/>
      <c r="D905" s="2013"/>
      <c r="AB905" s="2010"/>
      <c r="AU905" s="2010"/>
      <c r="AV905" s="2010"/>
      <c r="AW905" s="2010"/>
      <c r="AX905" s="2010"/>
      <c r="AY905" s="2010"/>
      <c r="AZ905" s="2010"/>
      <c r="BA905" s="2010"/>
      <c r="BB905" s="2010"/>
      <c r="BC905" s="2010"/>
      <c r="BD905" s="2010"/>
      <c r="BE905" s="2010"/>
      <c r="BF905" s="2010"/>
      <c r="BG905" s="2010"/>
      <c r="BH905" s="2010"/>
      <c r="BI905" s="2010"/>
      <c r="BJ905" s="2010"/>
      <c r="BK905" s="2010"/>
      <c r="BL905" s="2010"/>
      <c r="BM905" s="2010"/>
      <c r="BN905" s="2010"/>
      <c r="BO905" s="2010"/>
      <c r="BP905" s="2010"/>
      <c r="BQ905" s="2010"/>
      <c r="BR905" s="2010"/>
      <c r="BS905" s="2010"/>
      <c r="BT905" s="2010"/>
      <c r="BU905" s="2010"/>
      <c r="BV905" s="2010"/>
      <c r="BW905" s="2010"/>
      <c r="BX905" s="2010"/>
      <c r="BY905" s="2010"/>
      <c r="BZ905" s="2010"/>
      <c r="CA905" s="2010"/>
      <c r="CB905" s="2010"/>
      <c r="CC905" s="2010"/>
      <c r="CD905" s="2010"/>
      <c r="CE905" s="2010"/>
      <c r="CF905" s="2010"/>
      <c r="CG905" s="2010"/>
      <c r="CH905" s="2010"/>
      <c r="CI905" s="2010"/>
      <c r="CJ905" s="2010"/>
      <c r="CK905" s="2010"/>
      <c r="CL905" s="2010"/>
      <c r="CM905" s="2010"/>
      <c r="CN905" s="2010"/>
      <c r="CO905" s="2010"/>
      <c r="CP905" s="2010"/>
      <c r="CQ905" s="2010"/>
      <c r="CR905" s="2010"/>
      <c r="CS905" s="2010"/>
      <c r="CT905" s="2010"/>
      <c r="CU905" s="2010"/>
      <c r="CV905" s="2010"/>
      <c r="CW905" s="2010"/>
      <c r="CX905" s="2010"/>
      <c r="CY905" s="2010"/>
      <c r="CZ905" s="2010"/>
      <c r="DA905" s="2010"/>
      <c r="DB905" s="2010"/>
      <c r="DC905" s="2010"/>
      <c r="DD905" s="2010"/>
      <c r="DE905" s="2010"/>
    </row>
    <row r="906" spans="1:109" s="2014" customFormat="1" x14ac:dyDescent="0.2">
      <c r="A906" s="2013"/>
      <c r="B906" s="2013"/>
      <c r="C906" s="2013"/>
      <c r="D906" s="2013"/>
      <c r="AB906" s="2010"/>
      <c r="AU906" s="2010"/>
      <c r="AV906" s="2010"/>
      <c r="AW906" s="2010"/>
      <c r="AX906" s="2010"/>
      <c r="AY906" s="2010"/>
      <c r="AZ906" s="2010"/>
      <c r="BA906" s="2010"/>
      <c r="BB906" s="2010"/>
      <c r="BC906" s="2010"/>
      <c r="BD906" s="2010"/>
      <c r="BE906" s="2010"/>
      <c r="BF906" s="2010"/>
      <c r="BG906" s="2010"/>
      <c r="BH906" s="2010"/>
      <c r="BI906" s="2010"/>
      <c r="BJ906" s="2010"/>
      <c r="BK906" s="2010"/>
      <c r="BL906" s="2010"/>
      <c r="BM906" s="2010"/>
      <c r="BN906" s="2010"/>
      <c r="BO906" s="2010"/>
      <c r="BP906" s="2010"/>
      <c r="BQ906" s="2010"/>
      <c r="BR906" s="2010"/>
      <c r="BS906" s="2010"/>
      <c r="BT906" s="2010"/>
      <c r="BU906" s="2010"/>
      <c r="BV906" s="2010"/>
      <c r="BW906" s="2010"/>
      <c r="BX906" s="2010"/>
      <c r="BY906" s="2010"/>
      <c r="BZ906" s="2010"/>
      <c r="CA906" s="2010"/>
      <c r="CB906" s="2010"/>
      <c r="CC906" s="2010"/>
      <c r="CD906" s="2010"/>
      <c r="CE906" s="2010"/>
      <c r="CF906" s="2010"/>
      <c r="CG906" s="2010"/>
      <c r="CH906" s="2010"/>
      <c r="CI906" s="2010"/>
      <c r="CJ906" s="2010"/>
      <c r="CK906" s="2010"/>
      <c r="CL906" s="2010"/>
      <c r="CM906" s="2010"/>
      <c r="CN906" s="2010"/>
      <c r="CO906" s="2010"/>
      <c r="CP906" s="2010"/>
      <c r="CQ906" s="2010"/>
      <c r="CR906" s="2010"/>
      <c r="CS906" s="2010"/>
      <c r="CT906" s="2010"/>
      <c r="CU906" s="2010"/>
      <c r="CV906" s="2010"/>
      <c r="CW906" s="2010"/>
      <c r="CX906" s="2010"/>
      <c r="CY906" s="2010"/>
      <c r="CZ906" s="2010"/>
      <c r="DA906" s="2010"/>
      <c r="DB906" s="2010"/>
      <c r="DC906" s="2010"/>
      <c r="DD906" s="2010"/>
      <c r="DE906" s="2010"/>
    </row>
    <row r="907" spans="1:109" s="2014" customFormat="1" x14ac:dyDescent="0.2">
      <c r="A907" s="2013"/>
      <c r="B907" s="2013"/>
      <c r="C907" s="2013"/>
      <c r="D907" s="2013"/>
      <c r="AB907" s="2010"/>
      <c r="AU907" s="2010"/>
      <c r="AV907" s="2010"/>
      <c r="AW907" s="2010"/>
      <c r="AX907" s="2010"/>
      <c r="AY907" s="2010"/>
      <c r="AZ907" s="2010"/>
      <c r="BA907" s="2010"/>
      <c r="BB907" s="2010"/>
      <c r="BC907" s="2010"/>
      <c r="BD907" s="2010"/>
      <c r="BE907" s="2010"/>
      <c r="BF907" s="2010"/>
      <c r="BG907" s="2010"/>
      <c r="BH907" s="2010"/>
      <c r="BI907" s="2010"/>
      <c r="BJ907" s="2010"/>
      <c r="BK907" s="2010"/>
      <c r="BL907" s="2010"/>
      <c r="BM907" s="2010"/>
      <c r="BN907" s="2010"/>
      <c r="BO907" s="2010"/>
      <c r="BP907" s="2010"/>
      <c r="BQ907" s="2010"/>
      <c r="BR907" s="2010"/>
      <c r="BS907" s="2010"/>
      <c r="BT907" s="2010"/>
      <c r="BU907" s="2010"/>
      <c r="BV907" s="2010"/>
      <c r="BW907" s="2010"/>
      <c r="BX907" s="2010"/>
      <c r="BY907" s="2010"/>
      <c r="BZ907" s="2010"/>
      <c r="CA907" s="2010"/>
      <c r="CB907" s="2010"/>
      <c r="CC907" s="2010"/>
      <c r="CD907" s="2010"/>
      <c r="CE907" s="2010"/>
      <c r="CF907" s="2010"/>
      <c r="CG907" s="2010"/>
      <c r="CH907" s="2010"/>
      <c r="CI907" s="2010"/>
      <c r="CJ907" s="2010"/>
      <c r="CK907" s="2010"/>
      <c r="CL907" s="2010"/>
      <c r="CM907" s="2010"/>
      <c r="CN907" s="2010"/>
      <c r="CO907" s="2010"/>
      <c r="CP907" s="2010"/>
      <c r="CQ907" s="2010"/>
      <c r="CR907" s="2010"/>
      <c r="CS907" s="2010"/>
      <c r="CT907" s="2010"/>
      <c r="CU907" s="2010"/>
      <c r="CV907" s="2010"/>
      <c r="CW907" s="2010"/>
      <c r="CX907" s="2010"/>
      <c r="CY907" s="2010"/>
      <c r="CZ907" s="2010"/>
      <c r="DA907" s="2010"/>
      <c r="DB907" s="2010"/>
      <c r="DC907" s="2010"/>
      <c r="DD907" s="2010"/>
      <c r="DE907" s="2010"/>
    </row>
    <row r="908" spans="1:109" s="2014" customFormat="1" x14ac:dyDescent="0.2">
      <c r="A908" s="2013"/>
      <c r="B908" s="2013"/>
      <c r="C908" s="2013"/>
      <c r="D908" s="2013"/>
      <c r="AB908" s="2010"/>
      <c r="AU908" s="2010"/>
      <c r="AV908" s="2010"/>
      <c r="AW908" s="2010"/>
      <c r="AX908" s="2010"/>
      <c r="AY908" s="2010"/>
      <c r="AZ908" s="2010"/>
      <c r="BA908" s="2010"/>
      <c r="BB908" s="2010"/>
      <c r="BC908" s="2010"/>
      <c r="BD908" s="2010"/>
      <c r="BE908" s="2010"/>
      <c r="BF908" s="2010"/>
      <c r="BG908" s="2010"/>
      <c r="BH908" s="2010"/>
      <c r="BI908" s="2010"/>
      <c r="BJ908" s="2010"/>
      <c r="BK908" s="2010"/>
      <c r="BL908" s="2010"/>
      <c r="BM908" s="2010"/>
      <c r="BN908" s="2010"/>
      <c r="BO908" s="2010"/>
      <c r="BP908" s="2010"/>
      <c r="BQ908" s="2010"/>
      <c r="BR908" s="2010"/>
      <c r="BS908" s="2010"/>
      <c r="BT908" s="2010"/>
      <c r="BU908" s="2010"/>
      <c r="BV908" s="2010"/>
      <c r="BW908" s="2010"/>
      <c r="BX908" s="2010"/>
      <c r="BY908" s="2010"/>
      <c r="BZ908" s="2010"/>
      <c r="CA908" s="2010"/>
      <c r="CB908" s="2010"/>
      <c r="CC908" s="2010"/>
      <c r="CD908" s="2010"/>
      <c r="CE908" s="2010"/>
      <c r="CF908" s="2010"/>
      <c r="CG908" s="2010"/>
      <c r="CH908" s="2010"/>
      <c r="CI908" s="2010"/>
      <c r="CJ908" s="2010"/>
      <c r="CK908" s="2010"/>
      <c r="CL908" s="2010"/>
      <c r="CM908" s="2010"/>
      <c r="CN908" s="2010"/>
      <c r="CO908" s="2010"/>
      <c r="CP908" s="2010"/>
      <c r="CQ908" s="2010"/>
      <c r="CR908" s="2010"/>
      <c r="CS908" s="2010"/>
      <c r="CT908" s="2010"/>
      <c r="CU908" s="2010"/>
      <c r="CV908" s="2010"/>
      <c r="CW908" s="2010"/>
      <c r="CX908" s="2010"/>
      <c r="CY908" s="2010"/>
      <c r="CZ908" s="2010"/>
      <c r="DA908" s="2010"/>
      <c r="DB908" s="2010"/>
      <c r="DC908" s="2010"/>
      <c r="DD908" s="2010"/>
      <c r="DE908" s="2010"/>
    </row>
    <row r="909" spans="1:109" s="2014" customFormat="1" x14ac:dyDescent="0.2">
      <c r="A909" s="2013"/>
      <c r="B909" s="2013"/>
      <c r="C909" s="2013"/>
      <c r="D909" s="2013"/>
      <c r="AB909" s="2010"/>
      <c r="AU909" s="2010"/>
      <c r="AV909" s="2010"/>
      <c r="AW909" s="2010"/>
      <c r="AX909" s="2010"/>
      <c r="AY909" s="2010"/>
      <c r="AZ909" s="2010"/>
      <c r="BA909" s="2010"/>
      <c r="BB909" s="2010"/>
      <c r="BC909" s="2010"/>
      <c r="BD909" s="2010"/>
      <c r="BE909" s="2010"/>
      <c r="BF909" s="2010"/>
      <c r="BG909" s="2010"/>
      <c r="BH909" s="2010"/>
      <c r="BI909" s="2010"/>
      <c r="BJ909" s="2010"/>
      <c r="BK909" s="2010"/>
      <c r="BL909" s="2010"/>
      <c r="BM909" s="2010"/>
      <c r="BN909" s="2010"/>
      <c r="BO909" s="2010"/>
      <c r="BP909" s="2010"/>
      <c r="BQ909" s="2010"/>
      <c r="BR909" s="2010"/>
      <c r="BS909" s="2010"/>
      <c r="BT909" s="2010"/>
      <c r="BU909" s="2010"/>
      <c r="BV909" s="2010"/>
      <c r="BW909" s="2010"/>
      <c r="BX909" s="2010"/>
      <c r="BY909" s="2010"/>
      <c r="BZ909" s="2010"/>
      <c r="CA909" s="2010"/>
      <c r="CB909" s="2010"/>
      <c r="CC909" s="2010"/>
      <c r="CD909" s="2010"/>
      <c r="CE909" s="2010"/>
      <c r="CF909" s="2010"/>
      <c r="CG909" s="2010"/>
      <c r="CH909" s="2010"/>
      <c r="CI909" s="2010"/>
      <c r="CJ909" s="2010"/>
      <c r="CK909" s="2010"/>
      <c r="CL909" s="2010"/>
      <c r="CM909" s="2010"/>
      <c r="CN909" s="2010"/>
      <c r="CO909" s="2010"/>
      <c r="CP909" s="2010"/>
      <c r="CQ909" s="2010"/>
      <c r="CR909" s="2010"/>
      <c r="CS909" s="2010"/>
      <c r="CT909" s="2010"/>
      <c r="CU909" s="2010"/>
      <c r="CV909" s="2010"/>
      <c r="CW909" s="2010"/>
      <c r="CX909" s="2010"/>
      <c r="CY909" s="2010"/>
      <c r="CZ909" s="2010"/>
      <c r="DA909" s="2010"/>
      <c r="DB909" s="2010"/>
      <c r="DC909" s="2010"/>
      <c r="DD909" s="2010"/>
      <c r="DE909" s="2010"/>
    </row>
    <row r="910" spans="1:109" s="2014" customFormat="1" x14ac:dyDescent="0.2">
      <c r="A910" s="2013"/>
      <c r="B910" s="2013"/>
      <c r="C910" s="2013"/>
      <c r="D910" s="2013"/>
      <c r="AB910" s="2010"/>
      <c r="AU910" s="2010"/>
      <c r="AV910" s="2010"/>
      <c r="AW910" s="2010"/>
      <c r="AX910" s="2010"/>
      <c r="AY910" s="2010"/>
      <c r="AZ910" s="2010"/>
      <c r="BA910" s="2010"/>
      <c r="BB910" s="2010"/>
      <c r="BC910" s="2010"/>
      <c r="BD910" s="2010"/>
      <c r="BE910" s="2010"/>
      <c r="BF910" s="2010"/>
      <c r="BG910" s="2010"/>
      <c r="BH910" s="2010"/>
      <c r="BI910" s="2010"/>
      <c r="BJ910" s="2010"/>
      <c r="BK910" s="2010"/>
      <c r="BL910" s="2010"/>
      <c r="BM910" s="2010"/>
      <c r="BN910" s="2010"/>
      <c r="BO910" s="2010"/>
      <c r="BP910" s="2010"/>
      <c r="BQ910" s="2010"/>
      <c r="BR910" s="2010"/>
      <c r="BS910" s="2010"/>
      <c r="BT910" s="2010"/>
      <c r="BU910" s="2010"/>
      <c r="BV910" s="2010"/>
      <c r="BW910" s="2010"/>
      <c r="BX910" s="2010"/>
      <c r="BY910" s="2010"/>
      <c r="BZ910" s="2010"/>
      <c r="CA910" s="2010"/>
      <c r="CB910" s="2010"/>
      <c r="CC910" s="2010"/>
      <c r="CD910" s="2010"/>
      <c r="CE910" s="2010"/>
      <c r="CF910" s="2010"/>
      <c r="CG910" s="2010"/>
      <c r="CH910" s="2010"/>
      <c r="CI910" s="2010"/>
      <c r="CJ910" s="2010"/>
      <c r="CK910" s="2010"/>
      <c r="CL910" s="2010"/>
      <c r="CM910" s="2010"/>
      <c r="CN910" s="2010"/>
      <c r="CO910" s="2010"/>
      <c r="CP910" s="2010"/>
      <c r="CQ910" s="2010"/>
      <c r="CR910" s="2010"/>
      <c r="CS910" s="2010"/>
      <c r="CT910" s="2010"/>
      <c r="CU910" s="2010"/>
      <c r="CV910" s="2010"/>
      <c r="CW910" s="2010"/>
      <c r="CX910" s="2010"/>
      <c r="CY910" s="2010"/>
      <c r="CZ910" s="2010"/>
      <c r="DA910" s="2010"/>
      <c r="DB910" s="2010"/>
      <c r="DC910" s="2010"/>
      <c r="DD910" s="2010"/>
      <c r="DE910" s="2010"/>
    </row>
    <row r="911" spans="1:109" s="2014" customFormat="1" x14ac:dyDescent="0.2">
      <c r="A911" s="2013"/>
      <c r="B911" s="2013"/>
      <c r="C911" s="2013"/>
      <c r="D911" s="2013"/>
      <c r="AB911" s="2010"/>
      <c r="AU911" s="2010"/>
      <c r="AV911" s="2010"/>
      <c r="AW911" s="2010"/>
      <c r="AX911" s="2010"/>
      <c r="AY911" s="2010"/>
      <c r="AZ911" s="2010"/>
      <c r="BA911" s="2010"/>
      <c r="BB911" s="2010"/>
      <c r="BC911" s="2010"/>
      <c r="BD911" s="2010"/>
      <c r="BE911" s="2010"/>
      <c r="BF911" s="2010"/>
      <c r="BG911" s="2010"/>
      <c r="BH911" s="2010"/>
      <c r="BI911" s="2010"/>
      <c r="BJ911" s="2010"/>
      <c r="BK911" s="2010"/>
      <c r="BL911" s="2010"/>
      <c r="BM911" s="2010"/>
      <c r="BN911" s="2010"/>
      <c r="BO911" s="2010"/>
      <c r="BP911" s="2010"/>
      <c r="BQ911" s="2010"/>
      <c r="BR911" s="2010"/>
      <c r="BS911" s="2010"/>
      <c r="BT911" s="2010"/>
      <c r="BU911" s="2010"/>
      <c r="BV911" s="2010"/>
      <c r="BW911" s="2010"/>
      <c r="BX911" s="2010"/>
      <c r="BY911" s="2010"/>
      <c r="BZ911" s="2010"/>
      <c r="CA911" s="2010"/>
      <c r="CB911" s="2010"/>
      <c r="CC911" s="2010"/>
      <c r="CD911" s="2010"/>
      <c r="CE911" s="2010"/>
      <c r="CF911" s="2010"/>
      <c r="CG911" s="2010"/>
      <c r="CH911" s="2010"/>
      <c r="CI911" s="2010"/>
      <c r="CJ911" s="2010"/>
      <c r="CK911" s="2010"/>
      <c r="CL911" s="2010"/>
      <c r="CM911" s="2010"/>
      <c r="CN911" s="2010"/>
      <c r="CO911" s="2010"/>
      <c r="CP911" s="2010"/>
      <c r="CQ911" s="2010"/>
      <c r="CR911" s="2010"/>
      <c r="CS911" s="2010"/>
      <c r="CT911" s="2010"/>
      <c r="CU911" s="2010"/>
      <c r="CV911" s="2010"/>
      <c r="CW911" s="2010"/>
      <c r="CX911" s="2010"/>
      <c r="CY911" s="2010"/>
      <c r="CZ911" s="2010"/>
      <c r="DA911" s="2010"/>
      <c r="DB911" s="2010"/>
      <c r="DC911" s="2010"/>
      <c r="DD911" s="2010"/>
      <c r="DE911" s="2010"/>
    </row>
    <row r="912" spans="1:109" s="2014" customFormat="1" x14ac:dyDescent="0.2">
      <c r="A912" s="2013"/>
      <c r="B912" s="2013"/>
      <c r="C912" s="2013"/>
      <c r="D912" s="2013"/>
      <c r="AB912" s="2010"/>
      <c r="AU912" s="2010"/>
      <c r="AV912" s="2010"/>
      <c r="AW912" s="2010"/>
      <c r="AX912" s="2010"/>
      <c r="AY912" s="2010"/>
      <c r="AZ912" s="2010"/>
      <c r="BA912" s="2010"/>
      <c r="BB912" s="2010"/>
      <c r="BC912" s="2010"/>
      <c r="BD912" s="2010"/>
      <c r="BE912" s="2010"/>
      <c r="BF912" s="2010"/>
      <c r="BG912" s="2010"/>
      <c r="BH912" s="2010"/>
      <c r="BI912" s="2010"/>
      <c r="BJ912" s="2010"/>
      <c r="BK912" s="2010"/>
      <c r="BL912" s="2010"/>
      <c r="BM912" s="2010"/>
      <c r="BN912" s="2010"/>
      <c r="BO912" s="2010"/>
      <c r="BP912" s="2010"/>
      <c r="BQ912" s="2010"/>
      <c r="BR912" s="2010"/>
      <c r="BS912" s="2010"/>
      <c r="BT912" s="2010"/>
      <c r="BU912" s="2010"/>
      <c r="BV912" s="2010"/>
      <c r="BW912" s="2010"/>
      <c r="BX912" s="2010"/>
      <c r="BY912" s="2010"/>
      <c r="BZ912" s="2010"/>
      <c r="CA912" s="2010"/>
      <c r="CB912" s="2010"/>
      <c r="CC912" s="2010"/>
      <c r="CD912" s="2010"/>
      <c r="CE912" s="2010"/>
      <c r="CF912" s="2010"/>
      <c r="CG912" s="2010"/>
      <c r="CH912" s="2010"/>
      <c r="CI912" s="2010"/>
      <c r="CJ912" s="2010"/>
      <c r="CK912" s="2010"/>
      <c r="CL912" s="2010"/>
      <c r="CM912" s="2010"/>
      <c r="CN912" s="2010"/>
      <c r="CO912" s="2010"/>
      <c r="CP912" s="2010"/>
      <c r="CQ912" s="2010"/>
      <c r="CR912" s="2010"/>
      <c r="CS912" s="2010"/>
      <c r="CT912" s="2010"/>
      <c r="CU912" s="2010"/>
      <c r="CV912" s="2010"/>
      <c r="CW912" s="2010"/>
      <c r="CX912" s="2010"/>
      <c r="CY912" s="2010"/>
      <c r="CZ912" s="2010"/>
      <c r="DA912" s="2010"/>
      <c r="DB912" s="2010"/>
      <c r="DC912" s="2010"/>
      <c r="DD912" s="2010"/>
      <c r="DE912" s="2010"/>
    </row>
    <row r="913" spans="1:109" s="2014" customFormat="1" x14ac:dyDescent="0.2">
      <c r="A913" s="2013"/>
      <c r="B913" s="2013"/>
      <c r="C913" s="2013"/>
      <c r="D913" s="2013"/>
      <c r="AB913" s="2010"/>
      <c r="AU913" s="2010"/>
      <c r="AV913" s="2010"/>
      <c r="AW913" s="2010"/>
      <c r="AX913" s="2010"/>
      <c r="AY913" s="2010"/>
      <c r="AZ913" s="2010"/>
      <c r="BA913" s="2010"/>
      <c r="BB913" s="2010"/>
      <c r="BC913" s="2010"/>
      <c r="BD913" s="2010"/>
      <c r="BE913" s="2010"/>
      <c r="BF913" s="2010"/>
      <c r="BG913" s="2010"/>
      <c r="BH913" s="2010"/>
      <c r="BI913" s="2010"/>
      <c r="BJ913" s="2010"/>
      <c r="BK913" s="2010"/>
      <c r="BL913" s="2010"/>
      <c r="BM913" s="2010"/>
      <c r="BN913" s="2010"/>
      <c r="BO913" s="2010"/>
      <c r="BP913" s="2010"/>
      <c r="BQ913" s="2010"/>
      <c r="BR913" s="2010"/>
      <c r="BS913" s="2010"/>
      <c r="BT913" s="2010"/>
      <c r="BU913" s="2010"/>
      <c r="BV913" s="2010"/>
      <c r="BW913" s="2010"/>
      <c r="BX913" s="2010"/>
      <c r="BY913" s="2010"/>
      <c r="BZ913" s="2010"/>
      <c r="CA913" s="2010"/>
      <c r="CB913" s="2010"/>
      <c r="CC913" s="2010"/>
      <c r="CD913" s="2010"/>
      <c r="CE913" s="2010"/>
      <c r="CF913" s="2010"/>
      <c r="CG913" s="2010"/>
      <c r="CH913" s="2010"/>
      <c r="CI913" s="2010"/>
      <c r="CJ913" s="2010"/>
      <c r="CK913" s="2010"/>
      <c r="CL913" s="2010"/>
      <c r="CM913" s="2010"/>
      <c r="CN913" s="2010"/>
      <c r="CO913" s="2010"/>
      <c r="CP913" s="2010"/>
      <c r="CQ913" s="2010"/>
      <c r="CR913" s="2010"/>
      <c r="CS913" s="2010"/>
      <c r="CT913" s="2010"/>
      <c r="CU913" s="2010"/>
      <c r="CV913" s="2010"/>
      <c r="CW913" s="2010"/>
      <c r="CX913" s="2010"/>
      <c r="CY913" s="2010"/>
      <c r="CZ913" s="2010"/>
      <c r="DA913" s="2010"/>
      <c r="DB913" s="2010"/>
      <c r="DC913" s="2010"/>
      <c r="DD913" s="2010"/>
      <c r="DE913" s="2010"/>
    </row>
    <row r="914" spans="1:109" s="2014" customFormat="1" x14ac:dyDescent="0.2">
      <c r="A914" s="2013"/>
      <c r="B914" s="2013"/>
      <c r="C914" s="2013"/>
      <c r="D914" s="2013"/>
      <c r="AB914" s="2010"/>
      <c r="AU914" s="2010"/>
      <c r="AV914" s="2010"/>
      <c r="AW914" s="2010"/>
      <c r="AX914" s="2010"/>
      <c r="AY914" s="2010"/>
      <c r="AZ914" s="2010"/>
      <c r="BA914" s="2010"/>
      <c r="BB914" s="2010"/>
      <c r="BC914" s="2010"/>
      <c r="BD914" s="2010"/>
      <c r="BE914" s="2010"/>
      <c r="BF914" s="2010"/>
      <c r="BG914" s="2010"/>
      <c r="BH914" s="2010"/>
      <c r="BI914" s="2010"/>
      <c r="BJ914" s="2010"/>
      <c r="BK914" s="2010"/>
      <c r="BL914" s="2010"/>
      <c r="BM914" s="2010"/>
      <c r="BN914" s="2010"/>
      <c r="BO914" s="2010"/>
      <c r="BP914" s="2010"/>
      <c r="BQ914" s="2010"/>
      <c r="BR914" s="2010"/>
      <c r="BS914" s="2010"/>
      <c r="BT914" s="2010"/>
      <c r="BU914" s="2010"/>
      <c r="BV914" s="2010"/>
      <c r="BW914" s="2010"/>
      <c r="BX914" s="2010"/>
      <c r="BY914" s="2010"/>
      <c r="BZ914" s="2010"/>
      <c r="CA914" s="2010"/>
      <c r="CB914" s="2010"/>
      <c r="CC914" s="2010"/>
      <c r="CD914" s="2010"/>
      <c r="CE914" s="2010"/>
      <c r="CF914" s="2010"/>
      <c r="CG914" s="2010"/>
      <c r="CH914" s="2010"/>
      <c r="CI914" s="2010"/>
      <c r="CJ914" s="2010"/>
      <c r="CK914" s="2010"/>
      <c r="CL914" s="2010"/>
      <c r="CM914" s="2010"/>
      <c r="CN914" s="2010"/>
      <c r="CO914" s="2010"/>
      <c r="CP914" s="2010"/>
      <c r="CQ914" s="2010"/>
      <c r="CR914" s="2010"/>
      <c r="CS914" s="2010"/>
      <c r="CT914" s="2010"/>
      <c r="CU914" s="2010"/>
      <c r="CV914" s="2010"/>
      <c r="CW914" s="2010"/>
      <c r="CX914" s="2010"/>
      <c r="CY914" s="2010"/>
      <c r="CZ914" s="2010"/>
      <c r="DA914" s="2010"/>
      <c r="DB914" s="2010"/>
      <c r="DC914" s="2010"/>
      <c r="DD914" s="2010"/>
      <c r="DE914" s="2010"/>
    </row>
    <row r="915" spans="1:109" s="2014" customFormat="1" x14ac:dyDescent="0.2">
      <c r="A915" s="2013"/>
      <c r="B915" s="2013"/>
      <c r="C915" s="2013"/>
      <c r="D915" s="2013"/>
      <c r="AB915" s="2010"/>
      <c r="AU915" s="2010"/>
      <c r="AV915" s="2010"/>
      <c r="AW915" s="2010"/>
      <c r="AX915" s="2010"/>
      <c r="AY915" s="2010"/>
      <c r="AZ915" s="2010"/>
      <c r="BA915" s="2010"/>
      <c r="BB915" s="2010"/>
      <c r="BC915" s="2010"/>
      <c r="BD915" s="2010"/>
      <c r="BE915" s="2010"/>
      <c r="BF915" s="2010"/>
      <c r="BG915" s="2010"/>
      <c r="BH915" s="2010"/>
      <c r="BI915" s="2010"/>
      <c r="BJ915" s="2010"/>
      <c r="BK915" s="2010"/>
      <c r="BL915" s="2010"/>
      <c r="BM915" s="2010"/>
      <c r="BN915" s="2010"/>
      <c r="BO915" s="2010"/>
      <c r="BP915" s="2010"/>
      <c r="BQ915" s="2010"/>
      <c r="BR915" s="2010"/>
      <c r="BS915" s="2010"/>
      <c r="BT915" s="2010"/>
      <c r="BU915" s="2010"/>
      <c r="BV915" s="2010"/>
      <c r="BW915" s="2010"/>
      <c r="BX915" s="2010"/>
      <c r="BY915" s="2010"/>
      <c r="BZ915" s="2010"/>
      <c r="CA915" s="2010"/>
      <c r="CB915" s="2010"/>
      <c r="CC915" s="2010"/>
      <c r="CD915" s="2010"/>
      <c r="CE915" s="2010"/>
      <c r="CF915" s="2010"/>
      <c r="CG915" s="2010"/>
      <c r="CH915" s="2010"/>
      <c r="CI915" s="2010"/>
      <c r="CJ915" s="2010"/>
      <c r="CK915" s="2010"/>
      <c r="CL915" s="2010"/>
      <c r="CM915" s="2010"/>
      <c r="CN915" s="2010"/>
      <c r="CO915" s="2010"/>
      <c r="CP915" s="2010"/>
      <c r="CQ915" s="2010"/>
      <c r="CR915" s="2010"/>
      <c r="CS915" s="2010"/>
      <c r="CT915" s="2010"/>
      <c r="CU915" s="2010"/>
      <c r="CV915" s="2010"/>
      <c r="CW915" s="2010"/>
      <c r="CX915" s="2010"/>
      <c r="CY915" s="2010"/>
      <c r="CZ915" s="2010"/>
      <c r="DA915" s="2010"/>
      <c r="DB915" s="2010"/>
      <c r="DC915" s="2010"/>
      <c r="DD915" s="2010"/>
      <c r="DE915" s="2010"/>
    </row>
    <row r="916" spans="1:109" s="2014" customFormat="1" x14ac:dyDescent="0.2">
      <c r="A916" s="2013"/>
      <c r="B916" s="2013"/>
      <c r="C916" s="2013"/>
      <c r="D916" s="2013"/>
      <c r="AB916" s="2010"/>
      <c r="AU916" s="2010"/>
      <c r="AV916" s="2010"/>
      <c r="AW916" s="2010"/>
      <c r="AX916" s="2010"/>
      <c r="AY916" s="2010"/>
      <c r="AZ916" s="2010"/>
      <c r="BA916" s="2010"/>
      <c r="BB916" s="2010"/>
      <c r="BC916" s="2010"/>
      <c r="BD916" s="2010"/>
      <c r="BE916" s="2010"/>
      <c r="BF916" s="2010"/>
      <c r="BG916" s="2010"/>
      <c r="BH916" s="2010"/>
      <c r="BI916" s="2010"/>
      <c r="BJ916" s="2010"/>
      <c r="BK916" s="2010"/>
      <c r="BL916" s="2010"/>
      <c r="BM916" s="2010"/>
      <c r="BN916" s="2010"/>
      <c r="BO916" s="2010"/>
      <c r="BP916" s="2010"/>
      <c r="BQ916" s="2010"/>
      <c r="BR916" s="2010"/>
      <c r="BS916" s="2010"/>
      <c r="BT916" s="2010"/>
      <c r="BU916" s="2010"/>
      <c r="BV916" s="2010"/>
      <c r="BW916" s="2010"/>
      <c r="BX916" s="2010"/>
      <c r="BY916" s="2010"/>
      <c r="BZ916" s="2010"/>
      <c r="CA916" s="2010"/>
      <c r="CB916" s="2010"/>
      <c r="CC916" s="2010"/>
      <c r="CD916" s="2010"/>
      <c r="CE916" s="2010"/>
      <c r="CF916" s="2010"/>
      <c r="CG916" s="2010"/>
      <c r="CH916" s="2010"/>
      <c r="CI916" s="2010"/>
      <c r="CJ916" s="2010"/>
      <c r="CK916" s="2010"/>
      <c r="CL916" s="2010"/>
      <c r="CM916" s="2010"/>
      <c r="CN916" s="2010"/>
      <c r="CO916" s="2010"/>
      <c r="CP916" s="2010"/>
      <c r="CQ916" s="2010"/>
      <c r="CR916" s="2010"/>
      <c r="CS916" s="2010"/>
      <c r="CT916" s="2010"/>
      <c r="CU916" s="2010"/>
      <c r="CV916" s="2010"/>
      <c r="CW916" s="2010"/>
      <c r="CX916" s="2010"/>
      <c r="CY916" s="2010"/>
      <c r="CZ916" s="2010"/>
      <c r="DA916" s="2010"/>
      <c r="DB916" s="2010"/>
      <c r="DC916" s="2010"/>
      <c r="DD916" s="2010"/>
      <c r="DE916" s="2010"/>
    </row>
    <row r="917" spans="1:109" s="2014" customFormat="1" x14ac:dyDescent="0.2">
      <c r="A917" s="2013"/>
      <c r="B917" s="2013"/>
      <c r="C917" s="2013"/>
      <c r="D917" s="2013"/>
      <c r="AB917" s="2010"/>
      <c r="AU917" s="2010"/>
      <c r="AV917" s="2010"/>
      <c r="AW917" s="2010"/>
      <c r="AX917" s="2010"/>
      <c r="AY917" s="2010"/>
      <c r="AZ917" s="2010"/>
      <c r="BA917" s="2010"/>
      <c r="BB917" s="2010"/>
      <c r="BC917" s="2010"/>
      <c r="BD917" s="2010"/>
      <c r="BE917" s="2010"/>
      <c r="BF917" s="2010"/>
      <c r="BG917" s="2010"/>
      <c r="BH917" s="2010"/>
      <c r="BI917" s="2010"/>
      <c r="BJ917" s="2010"/>
      <c r="BK917" s="2010"/>
      <c r="BL917" s="2010"/>
      <c r="BM917" s="2010"/>
      <c r="BN917" s="2010"/>
      <c r="BO917" s="2010"/>
      <c r="BP917" s="2010"/>
      <c r="BQ917" s="2010"/>
      <c r="BR917" s="2010"/>
      <c r="BS917" s="2010"/>
      <c r="BT917" s="2010"/>
      <c r="BU917" s="2010"/>
      <c r="BV917" s="2010"/>
      <c r="BW917" s="2010"/>
      <c r="BX917" s="2010"/>
      <c r="BY917" s="2010"/>
      <c r="BZ917" s="2010"/>
      <c r="CA917" s="2010"/>
      <c r="CB917" s="2010"/>
      <c r="CC917" s="2010"/>
      <c r="CD917" s="2010"/>
      <c r="CE917" s="2010"/>
      <c r="CF917" s="2010"/>
      <c r="CG917" s="2010"/>
      <c r="CH917" s="2010"/>
      <c r="CI917" s="2010"/>
      <c r="CJ917" s="2010"/>
      <c r="CK917" s="2010"/>
      <c r="CL917" s="2010"/>
      <c r="CM917" s="2010"/>
      <c r="CN917" s="2010"/>
      <c r="CO917" s="2010"/>
      <c r="CP917" s="2010"/>
      <c r="CQ917" s="2010"/>
      <c r="CR917" s="2010"/>
      <c r="CS917" s="2010"/>
      <c r="CT917" s="2010"/>
      <c r="CU917" s="2010"/>
      <c r="CV917" s="2010"/>
      <c r="CW917" s="2010"/>
      <c r="CX917" s="2010"/>
      <c r="CY917" s="2010"/>
      <c r="CZ917" s="2010"/>
      <c r="DA917" s="2010"/>
      <c r="DB917" s="2010"/>
      <c r="DC917" s="2010"/>
      <c r="DD917" s="2010"/>
      <c r="DE917" s="2010"/>
    </row>
    <row r="918" spans="1:109" s="2014" customFormat="1" x14ac:dyDescent="0.2">
      <c r="A918" s="2013"/>
      <c r="B918" s="2013"/>
      <c r="C918" s="2013"/>
      <c r="D918" s="2013"/>
      <c r="AB918" s="2010"/>
      <c r="AU918" s="2010"/>
      <c r="AV918" s="2010"/>
      <c r="AW918" s="2010"/>
      <c r="AX918" s="2010"/>
      <c r="AY918" s="2010"/>
      <c r="AZ918" s="2010"/>
      <c r="BA918" s="2010"/>
      <c r="BB918" s="2010"/>
      <c r="BC918" s="2010"/>
      <c r="BD918" s="2010"/>
      <c r="BE918" s="2010"/>
      <c r="BF918" s="2010"/>
      <c r="BG918" s="2010"/>
      <c r="BH918" s="2010"/>
      <c r="BI918" s="2010"/>
      <c r="BJ918" s="2010"/>
      <c r="BK918" s="2010"/>
      <c r="BL918" s="2010"/>
      <c r="BM918" s="2010"/>
      <c r="BN918" s="2010"/>
      <c r="BO918" s="2010"/>
      <c r="BP918" s="2010"/>
      <c r="BQ918" s="2010"/>
      <c r="BR918" s="2010"/>
      <c r="BS918" s="2010"/>
      <c r="BT918" s="2010"/>
      <c r="BU918" s="2010"/>
      <c r="BV918" s="2010"/>
      <c r="BW918" s="2010"/>
      <c r="BX918" s="2010"/>
      <c r="BY918" s="2010"/>
      <c r="BZ918" s="2010"/>
      <c r="CA918" s="2010"/>
      <c r="CB918" s="2010"/>
      <c r="CC918" s="2010"/>
      <c r="CD918" s="2010"/>
      <c r="CE918" s="2010"/>
      <c r="CF918" s="2010"/>
      <c r="CG918" s="2010"/>
      <c r="CH918" s="2010"/>
      <c r="CI918" s="2010"/>
      <c r="CJ918" s="2010"/>
      <c r="CK918" s="2010"/>
      <c r="CL918" s="2010"/>
      <c r="CM918" s="2010"/>
      <c r="CN918" s="2010"/>
      <c r="CO918" s="2010"/>
      <c r="CP918" s="2010"/>
      <c r="CQ918" s="2010"/>
      <c r="CR918" s="2010"/>
      <c r="CS918" s="2010"/>
      <c r="CT918" s="2010"/>
      <c r="CU918" s="2010"/>
      <c r="CV918" s="2010"/>
      <c r="CW918" s="2010"/>
      <c r="CX918" s="2010"/>
      <c r="CY918" s="2010"/>
      <c r="CZ918" s="2010"/>
      <c r="DA918" s="2010"/>
      <c r="DB918" s="2010"/>
      <c r="DC918" s="2010"/>
      <c r="DD918" s="2010"/>
      <c r="DE918" s="2010"/>
    </row>
    <row r="919" spans="1:109" s="2014" customFormat="1" x14ac:dyDescent="0.2">
      <c r="A919" s="2013"/>
      <c r="B919" s="2013"/>
      <c r="C919" s="2013"/>
      <c r="D919" s="2013"/>
      <c r="AB919" s="2010"/>
      <c r="AU919" s="2010"/>
      <c r="AV919" s="2010"/>
      <c r="AW919" s="2010"/>
      <c r="AX919" s="2010"/>
      <c r="AY919" s="2010"/>
      <c r="AZ919" s="2010"/>
      <c r="BA919" s="2010"/>
      <c r="BB919" s="2010"/>
      <c r="BC919" s="2010"/>
      <c r="BD919" s="2010"/>
      <c r="BE919" s="2010"/>
      <c r="BF919" s="2010"/>
      <c r="BG919" s="2010"/>
      <c r="BH919" s="2010"/>
      <c r="BI919" s="2010"/>
      <c r="BJ919" s="2010"/>
      <c r="BK919" s="2010"/>
      <c r="BL919" s="2010"/>
      <c r="BM919" s="2010"/>
      <c r="BN919" s="2010"/>
      <c r="BO919" s="2010"/>
      <c r="BP919" s="2010"/>
      <c r="BQ919" s="2010"/>
      <c r="BR919" s="2010"/>
      <c r="BS919" s="2010"/>
      <c r="BT919" s="2010"/>
      <c r="BU919" s="2010"/>
      <c r="BV919" s="2010"/>
      <c r="BW919" s="2010"/>
      <c r="BX919" s="2010"/>
      <c r="BY919" s="2010"/>
      <c r="BZ919" s="2010"/>
      <c r="CA919" s="2010"/>
      <c r="CB919" s="2010"/>
      <c r="CC919" s="2010"/>
      <c r="CD919" s="2010"/>
      <c r="CE919" s="2010"/>
      <c r="CF919" s="2010"/>
      <c r="CG919" s="2010"/>
      <c r="CH919" s="2010"/>
      <c r="CI919" s="2010"/>
      <c r="CJ919" s="2010"/>
      <c r="CK919" s="2010"/>
      <c r="CL919" s="2010"/>
      <c r="CM919" s="2010"/>
      <c r="CN919" s="2010"/>
      <c r="CO919" s="2010"/>
      <c r="CP919" s="2010"/>
      <c r="CQ919" s="2010"/>
      <c r="CR919" s="2010"/>
      <c r="CS919" s="2010"/>
      <c r="CT919" s="2010"/>
      <c r="CU919" s="2010"/>
      <c r="CV919" s="2010"/>
      <c r="CW919" s="2010"/>
      <c r="CX919" s="2010"/>
      <c r="CY919" s="2010"/>
      <c r="CZ919" s="2010"/>
      <c r="DA919" s="2010"/>
      <c r="DB919" s="2010"/>
      <c r="DC919" s="2010"/>
      <c r="DD919" s="2010"/>
      <c r="DE919" s="2010"/>
    </row>
    <row r="920" spans="1:109" s="2014" customFormat="1" x14ac:dyDescent="0.2">
      <c r="A920" s="2013"/>
      <c r="B920" s="2013"/>
      <c r="C920" s="2013"/>
      <c r="D920" s="2013"/>
      <c r="AB920" s="2010"/>
      <c r="AU920" s="2010"/>
      <c r="AV920" s="2010"/>
      <c r="AW920" s="2010"/>
      <c r="AX920" s="2010"/>
      <c r="AY920" s="2010"/>
      <c r="AZ920" s="2010"/>
      <c r="BA920" s="2010"/>
      <c r="BB920" s="2010"/>
      <c r="BC920" s="2010"/>
      <c r="BD920" s="2010"/>
      <c r="BE920" s="2010"/>
      <c r="BF920" s="2010"/>
      <c r="BG920" s="2010"/>
      <c r="BH920" s="2010"/>
      <c r="BI920" s="2010"/>
      <c r="BJ920" s="2010"/>
      <c r="BK920" s="2010"/>
      <c r="BL920" s="2010"/>
      <c r="BM920" s="2010"/>
      <c r="BN920" s="2010"/>
      <c r="BO920" s="2010"/>
      <c r="BP920" s="2010"/>
      <c r="BQ920" s="2010"/>
      <c r="BR920" s="2010"/>
      <c r="BS920" s="2010"/>
      <c r="BT920" s="2010"/>
      <c r="BU920" s="2010"/>
      <c r="BV920" s="2010"/>
      <c r="BW920" s="2010"/>
      <c r="BX920" s="2010"/>
      <c r="BY920" s="2010"/>
      <c r="BZ920" s="2010"/>
      <c r="CA920" s="2010"/>
      <c r="CB920" s="2010"/>
      <c r="CC920" s="2010"/>
      <c r="CD920" s="2010"/>
      <c r="CE920" s="2010"/>
      <c r="CF920" s="2010"/>
      <c r="CG920" s="2010"/>
      <c r="CH920" s="2010"/>
      <c r="CI920" s="2010"/>
      <c r="CJ920" s="2010"/>
      <c r="CK920" s="2010"/>
      <c r="CL920" s="2010"/>
      <c r="CM920" s="2010"/>
      <c r="CN920" s="2010"/>
      <c r="CO920" s="2010"/>
      <c r="CP920" s="2010"/>
      <c r="CQ920" s="2010"/>
      <c r="CR920" s="2010"/>
      <c r="CS920" s="2010"/>
      <c r="CT920" s="2010"/>
      <c r="CU920" s="2010"/>
      <c r="CV920" s="2010"/>
      <c r="CW920" s="2010"/>
      <c r="CX920" s="2010"/>
      <c r="CY920" s="2010"/>
      <c r="CZ920" s="2010"/>
      <c r="DA920" s="2010"/>
      <c r="DB920" s="2010"/>
      <c r="DC920" s="2010"/>
      <c r="DD920" s="2010"/>
      <c r="DE920" s="2010"/>
    </row>
    <row r="921" spans="1:109" s="2014" customFormat="1" x14ac:dyDescent="0.2">
      <c r="A921" s="2013"/>
      <c r="B921" s="2013"/>
      <c r="C921" s="2013"/>
      <c r="D921" s="2013"/>
      <c r="AB921" s="2010"/>
      <c r="AU921" s="2010"/>
      <c r="AV921" s="2010"/>
      <c r="AW921" s="2010"/>
      <c r="AX921" s="2010"/>
      <c r="AY921" s="2010"/>
      <c r="AZ921" s="2010"/>
      <c r="BA921" s="2010"/>
      <c r="BB921" s="2010"/>
      <c r="BC921" s="2010"/>
      <c r="BD921" s="2010"/>
      <c r="BE921" s="2010"/>
      <c r="BF921" s="2010"/>
      <c r="BG921" s="2010"/>
      <c r="BH921" s="2010"/>
      <c r="BI921" s="2010"/>
      <c r="BJ921" s="2010"/>
      <c r="BK921" s="2010"/>
      <c r="BL921" s="2010"/>
      <c r="BM921" s="2010"/>
      <c r="BN921" s="2010"/>
      <c r="BO921" s="2010"/>
      <c r="BP921" s="2010"/>
      <c r="BQ921" s="2010"/>
      <c r="BR921" s="2010"/>
      <c r="BS921" s="2010"/>
      <c r="BT921" s="2010"/>
      <c r="BU921" s="2010"/>
      <c r="BV921" s="2010"/>
      <c r="BW921" s="2010"/>
      <c r="BX921" s="2010"/>
      <c r="BY921" s="2010"/>
      <c r="BZ921" s="2010"/>
      <c r="CA921" s="2010"/>
      <c r="CB921" s="2010"/>
      <c r="CC921" s="2010"/>
      <c r="CD921" s="2010"/>
      <c r="CE921" s="2010"/>
      <c r="CF921" s="2010"/>
      <c r="CG921" s="2010"/>
      <c r="CH921" s="2010"/>
      <c r="CI921" s="2010"/>
      <c r="CJ921" s="2010"/>
      <c r="CK921" s="2010"/>
      <c r="CL921" s="2010"/>
      <c r="CM921" s="2010"/>
      <c r="CN921" s="2010"/>
      <c r="CO921" s="2010"/>
      <c r="CP921" s="2010"/>
      <c r="CQ921" s="2010"/>
      <c r="CR921" s="2010"/>
      <c r="CS921" s="2010"/>
      <c r="CT921" s="2010"/>
      <c r="CU921" s="2010"/>
      <c r="CV921" s="2010"/>
      <c r="CW921" s="2010"/>
      <c r="CX921" s="2010"/>
      <c r="CY921" s="2010"/>
      <c r="CZ921" s="2010"/>
      <c r="DA921" s="2010"/>
      <c r="DB921" s="2010"/>
      <c r="DC921" s="2010"/>
      <c r="DD921" s="2010"/>
      <c r="DE921" s="2010"/>
    </row>
    <row r="922" spans="1:109" s="2014" customFormat="1" x14ac:dyDescent="0.2">
      <c r="A922" s="2013"/>
      <c r="B922" s="2013"/>
      <c r="C922" s="2013"/>
      <c r="D922" s="2013"/>
      <c r="AB922" s="2010"/>
      <c r="AU922" s="2010"/>
      <c r="AV922" s="2010"/>
      <c r="AW922" s="2010"/>
      <c r="AX922" s="2010"/>
      <c r="AY922" s="2010"/>
      <c r="AZ922" s="2010"/>
      <c r="BA922" s="2010"/>
      <c r="BB922" s="2010"/>
      <c r="BC922" s="2010"/>
      <c r="BD922" s="2010"/>
      <c r="BE922" s="2010"/>
      <c r="BF922" s="2010"/>
      <c r="BG922" s="2010"/>
      <c r="BH922" s="2010"/>
      <c r="BI922" s="2010"/>
      <c r="BJ922" s="2010"/>
      <c r="BK922" s="2010"/>
      <c r="BL922" s="2010"/>
      <c r="BM922" s="2010"/>
      <c r="BN922" s="2010"/>
      <c r="BO922" s="2010"/>
      <c r="BP922" s="2010"/>
      <c r="BQ922" s="2010"/>
      <c r="BR922" s="2010"/>
      <c r="BS922" s="2010"/>
      <c r="BT922" s="2010"/>
      <c r="BU922" s="2010"/>
      <c r="BV922" s="2010"/>
      <c r="BW922" s="2010"/>
      <c r="BX922" s="2010"/>
      <c r="BY922" s="2010"/>
      <c r="BZ922" s="2010"/>
      <c r="CA922" s="2010"/>
      <c r="CB922" s="2010"/>
      <c r="CC922" s="2010"/>
      <c r="CD922" s="2010"/>
      <c r="CE922" s="2010"/>
      <c r="CF922" s="2010"/>
      <c r="CG922" s="2010"/>
      <c r="CH922" s="2010"/>
      <c r="CI922" s="2010"/>
      <c r="CJ922" s="2010"/>
      <c r="CK922" s="2010"/>
      <c r="CL922" s="2010"/>
      <c r="CM922" s="2010"/>
      <c r="CN922" s="2010"/>
      <c r="CO922" s="2010"/>
      <c r="CP922" s="2010"/>
      <c r="CQ922" s="2010"/>
      <c r="CR922" s="2010"/>
      <c r="CS922" s="2010"/>
      <c r="CT922" s="2010"/>
      <c r="CU922" s="2010"/>
      <c r="CV922" s="2010"/>
      <c r="CW922" s="2010"/>
      <c r="CX922" s="2010"/>
      <c r="CY922" s="2010"/>
      <c r="CZ922" s="2010"/>
      <c r="DA922" s="2010"/>
      <c r="DB922" s="2010"/>
      <c r="DC922" s="2010"/>
      <c r="DD922" s="2010"/>
      <c r="DE922" s="2010"/>
    </row>
    <row r="923" spans="1:109" s="2014" customFormat="1" x14ac:dyDescent="0.2">
      <c r="A923" s="2013"/>
      <c r="B923" s="2013"/>
      <c r="C923" s="2013"/>
      <c r="D923" s="2013"/>
      <c r="AB923" s="2010"/>
      <c r="AU923" s="2010"/>
      <c r="AV923" s="2010"/>
      <c r="AW923" s="2010"/>
      <c r="AX923" s="2010"/>
      <c r="AY923" s="2010"/>
      <c r="AZ923" s="2010"/>
      <c r="BA923" s="2010"/>
      <c r="BB923" s="2010"/>
      <c r="BC923" s="2010"/>
      <c r="BD923" s="2010"/>
      <c r="BE923" s="2010"/>
      <c r="BF923" s="2010"/>
      <c r="BG923" s="2010"/>
      <c r="BH923" s="2010"/>
      <c r="BI923" s="2010"/>
      <c r="BJ923" s="2010"/>
      <c r="BK923" s="2010"/>
      <c r="BL923" s="2010"/>
      <c r="BM923" s="2010"/>
      <c r="BN923" s="2010"/>
      <c r="BO923" s="2010"/>
      <c r="BP923" s="2010"/>
      <c r="BQ923" s="2010"/>
      <c r="BR923" s="2010"/>
      <c r="BS923" s="2010"/>
      <c r="BT923" s="2010"/>
      <c r="BU923" s="2010"/>
      <c r="BV923" s="2010"/>
      <c r="BW923" s="2010"/>
      <c r="BX923" s="2010"/>
      <c r="BY923" s="2010"/>
      <c r="BZ923" s="2010"/>
      <c r="CA923" s="2010"/>
      <c r="CB923" s="2010"/>
      <c r="CC923" s="2010"/>
      <c r="CD923" s="2010"/>
      <c r="CE923" s="2010"/>
      <c r="CF923" s="2010"/>
      <c r="CG923" s="2010"/>
      <c r="CH923" s="2010"/>
      <c r="CI923" s="2010"/>
      <c r="CJ923" s="2010"/>
      <c r="CK923" s="2010"/>
      <c r="CL923" s="2010"/>
      <c r="CM923" s="2010"/>
      <c r="CN923" s="2010"/>
      <c r="CO923" s="2010"/>
      <c r="CP923" s="2010"/>
      <c r="CQ923" s="2010"/>
      <c r="CR923" s="2010"/>
      <c r="CS923" s="2010"/>
      <c r="CT923" s="2010"/>
      <c r="CU923" s="2010"/>
      <c r="CV923" s="2010"/>
      <c r="CW923" s="2010"/>
      <c r="CX923" s="2010"/>
      <c r="CY923" s="2010"/>
      <c r="CZ923" s="2010"/>
      <c r="DA923" s="2010"/>
      <c r="DB923" s="2010"/>
      <c r="DC923" s="2010"/>
      <c r="DD923" s="2010"/>
      <c r="DE923" s="2010"/>
    </row>
    <row r="924" spans="1:109" s="2014" customFormat="1" x14ac:dyDescent="0.2">
      <c r="A924" s="2013"/>
      <c r="B924" s="2013"/>
      <c r="C924" s="2013"/>
      <c r="D924" s="2013"/>
      <c r="AB924" s="2010"/>
      <c r="AU924" s="2010"/>
      <c r="AV924" s="2010"/>
      <c r="AW924" s="2010"/>
      <c r="AX924" s="2010"/>
      <c r="AY924" s="2010"/>
      <c r="AZ924" s="2010"/>
      <c r="BA924" s="2010"/>
      <c r="BB924" s="2010"/>
      <c r="BC924" s="2010"/>
      <c r="BD924" s="2010"/>
      <c r="BE924" s="2010"/>
      <c r="BF924" s="2010"/>
      <c r="BG924" s="2010"/>
      <c r="BH924" s="2010"/>
      <c r="BI924" s="2010"/>
      <c r="BJ924" s="2010"/>
      <c r="BK924" s="2010"/>
      <c r="BL924" s="2010"/>
      <c r="BM924" s="2010"/>
      <c r="BN924" s="2010"/>
      <c r="BO924" s="2010"/>
      <c r="BP924" s="2010"/>
      <c r="BQ924" s="2010"/>
      <c r="BR924" s="2010"/>
      <c r="BS924" s="2010"/>
      <c r="BT924" s="2010"/>
      <c r="BU924" s="2010"/>
      <c r="BV924" s="2010"/>
      <c r="BW924" s="2010"/>
      <c r="BX924" s="2010"/>
      <c r="BY924" s="2010"/>
      <c r="BZ924" s="2010"/>
      <c r="CA924" s="2010"/>
      <c r="CB924" s="2010"/>
      <c r="CC924" s="2010"/>
      <c r="CD924" s="2010"/>
      <c r="CE924" s="2010"/>
      <c r="CF924" s="2010"/>
      <c r="CG924" s="2010"/>
      <c r="CH924" s="2010"/>
      <c r="CI924" s="2010"/>
      <c r="CJ924" s="2010"/>
      <c r="CK924" s="2010"/>
      <c r="CL924" s="2010"/>
      <c r="CM924" s="2010"/>
      <c r="CN924" s="2010"/>
      <c r="CO924" s="2010"/>
      <c r="CP924" s="2010"/>
      <c r="CQ924" s="2010"/>
      <c r="CR924" s="2010"/>
      <c r="CS924" s="2010"/>
      <c r="CT924" s="2010"/>
      <c r="CU924" s="2010"/>
      <c r="CV924" s="2010"/>
      <c r="CW924" s="2010"/>
      <c r="CX924" s="2010"/>
      <c r="CY924" s="2010"/>
      <c r="CZ924" s="2010"/>
      <c r="DA924" s="2010"/>
      <c r="DB924" s="2010"/>
      <c r="DC924" s="2010"/>
      <c r="DD924" s="2010"/>
      <c r="DE924" s="2010"/>
    </row>
    <row r="925" spans="1:109" s="2014" customFormat="1" x14ac:dyDescent="0.2">
      <c r="A925" s="2013"/>
      <c r="B925" s="2013"/>
      <c r="C925" s="2013"/>
      <c r="D925" s="2013"/>
      <c r="AB925" s="2010"/>
      <c r="AU925" s="2010"/>
      <c r="AV925" s="2010"/>
      <c r="AW925" s="2010"/>
      <c r="AX925" s="2010"/>
      <c r="AY925" s="2010"/>
      <c r="AZ925" s="2010"/>
      <c r="BA925" s="2010"/>
      <c r="BB925" s="2010"/>
      <c r="BC925" s="2010"/>
      <c r="BD925" s="2010"/>
      <c r="BE925" s="2010"/>
      <c r="BF925" s="2010"/>
      <c r="BG925" s="2010"/>
      <c r="BH925" s="2010"/>
      <c r="BI925" s="2010"/>
      <c r="BJ925" s="2010"/>
      <c r="BK925" s="2010"/>
      <c r="BL925" s="2010"/>
      <c r="BM925" s="2010"/>
      <c r="BN925" s="2010"/>
      <c r="BO925" s="2010"/>
      <c r="BP925" s="2010"/>
      <c r="BQ925" s="2010"/>
      <c r="BR925" s="2010"/>
      <c r="BS925" s="2010"/>
      <c r="BT925" s="2010"/>
      <c r="BU925" s="2010"/>
      <c r="BV925" s="2010"/>
      <c r="BW925" s="2010"/>
      <c r="BX925" s="2010"/>
      <c r="BY925" s="2010"/>
      <c r="BZ925" s="2010"/>
      <c r="CA925" s="2010"/>
      <c r="CB925" s="2010"/>
      <c r="CC925" s="2010"/>
      <c r="CD925" s="2010"/>
      <c r="CE925" s="2010"/>
      <c r="CF925" s="2010"/>
      <c r="CG925" s="2010"/>
      <c r="CH925" s="2010"/>
      <c r="CI925" s="2010"/>
      <c r="CJ925" s="2010"/>
      <c r="CK925" s="2010"/>
      <c r="CL925" s="2010"/>
      <c r="CM925" s="2010"/>
      <c r="CN925" s="2010"/>
      <c r="CO925" s="2010"/>
      <c r="CP925" s="2010"/>
      <c r="CQ925" s="2010"/>
      <c r="CR925" s="2010"/>
      <c r="CS925" s="2010"/>
      <c r="CT925" s="2010"/>
      <c r="CU925" s="2010"/>
      <c r="CV925" s="2010"/>
      <c r="CW925" s="2010"/>
      <c r="CX925" s="2010"/>
      <c r="CY925" s="2010"/>
      <c r="CZ925" s="2010"/>
      <c r="DA925" s="2010"/>
      <c r="DB925" s="2010"/>
      <c r="DC925" s="2010"/>
      <c r="DD925" s="2010"/>
      <c r="DE925" s="2010"/>
    </row>
    <row r="926" spans="1:109" s="2014" customFormat="1" x14ac:dyDescent="0.2">
      <c r="A926" s="2013"/>
      <c r="B926" s="2013"/>
      <c r="C926" s="2013"/>
      <c r="D926" s="2013"/>
      <c r="AB926" s="2010"/>
      <c r="AU926" s="2010"/>
      <c r="AV926" s="2010"/>
      <c r="AW926" s="2010"/>
      <c r="AX926" s="2010"/>
      <c r="AY926" s="2010"/>
      <c r="AZ926" s="2010"/>
      <c r="BA926" s="2010"/>
      <c r="BB926" s="2010"/>
      <c r="BC926" s="2010"/>
      <c r="BD926" s="2010"/>
      <c r="BE926" s="2010"/>
      <c r="BF926" s="2010"/>
      <c r="BG926" s="2010"/>
      <c r="BH926" s="2010"/>
      <c r="BI926" s="2010"/>
      <c r="BJ926" s="2010"/>
      <c r="BK926" s="2010"/>
      <c r="BL926" s="2010"/>
      <c r="BM926" s="2010"/>
      <c r="BN926" s="2010"/>
      <c r="BO926" s="2010"/>
      <c r="BP926" s="2010"/>
      <c r="BQ926" s="2010"/>
      <c r="BR926" s="2010"/>
      <c r="BS926" s="2010"/>
      <c r="BT926" s="2010"/>
      <c r="BU926" s="2010"/>
      <c r="BV926" s="2010"/>
      <c r="BW926" s="2010"/>
      <c r="BX926" s="2010"/>
      <c r="BY926" s="2010"/>
      <c r="BZ926" s="2010"/>
      <c r="CA926" s="2010"/>
      <c r="CB926" s="2010"/>
      <c r="CC926" s="2010"/>
      <c r="CD926" s="2010"/>
      <c r="CE926" s="2010"/>
      <c r="CF926" s="2010"/>
      <c r="CG926" s="2010"/>
      <c r="CH926" s="2010"/>
      <c r="CI926" s="2010"/>
      <c r="CJ926" s="2010"/>
      <c r="CK926" s="2010"/>
      <c r="CL926" s="2010"/>
      <c r="CM926" s="2010"/>
      <c r="CN926" s="2010"/>
      <c r="CO926" s="2010"/>
      <c r="CP926" s="2010"/>
      <c r="CQ926" s="2010"/>
      <c r="CR926" s="2010"/>
      <c r="CS926" s="2010"/>
      <c r="CT926" s="2010"/>
      <c r="CU926" s="2010"/>
      <c r="CV926" s="2010"/>
      <c r="CW926" s="2010"/>
      <c r="CX926" s="2010"/>
      <c r="CY926" s="2010"/>
      <c r="CZ926" s="2010"/>
      <c r="DA926" s="2010"/>
      <c r="DB926" s="2010"/>
      <c r="DC926" s="2010"/>
      <c r="DD926" s="2010"/>
      <c r="DE926" s="2010"/>
    </row>
    <row r="927" spans="1:109" s="2014" customFormat="1" x14ac:dyDescent="0.2">
      <c r="A927" s="2013"/>
      <c r="B927" s="2013"/>
      <c r="C927" s="2013"/>
      <c r="D927" s="2013"/>
      <c r="AB927" s="2010"/>
      <c r="AU927" s="2010"/>
      <c r="AV927" s="2010"/>
      <c r="AW927" s="2010"/>
      <c r="AX927" s="2010"/>
      <c r="AY927" s="2010"/>
      <c r="AZ927" s="2010"/>
      <c r="BA927" s="2010"/>
      <c r="BB927" s="2010"/>
      <c r="BC927" s="2010"/>
      <c r="BD927" s="2010"/>
      <c r="BE927" s="2010"/>
      <c r="BF927" s="2010"/>
      <c r="BG927" s="2010"/>
      <c r="BH927" s="2010"/>
      <c r="BI927" s="2010"/>
      <c r="BJ927" s="2010"/>
      <c r="BK927" s="2010"/>
      <c r="BL927" s="2010"/>
      <c r="BM927" s="2010"/>
      <c r="BN927" s="2010"/>
      <c r="BO927" s="2010"/>
      <c r="BP927" s="2010"/>
      <c r="BQ927" s="2010"/>
      <c r="BR927" s="2010"/>
      <c r="BS927" s="2010"/>
      <c r="BT927" s="2010"/>
      <c r="BU927" s="2010"/>
      <c r="BV927" s="2010"/>
      <c r="BW927" s="2010"/>
      <c r="BX927" s="2010"/>
      <c r="BY927" s="2010"/>
      <c r="BZ927" s="2010"/>
      <c r="CA927" s="2010"/>
      <c r="CB927" s="2010"/>
      <c r="CC927" s="2010"/>
      <c r="CD927" s="2010"/>
      <c r="CE927" s="2010"/>
      <c r="CF927" s="2010"/>
      <c r="CG927" s="2010"/>
      <c r="CH927" s="2010"/>
      <c r="CI927" s="2010"/>
      <c r="CJ927" s="2010"/>
      <c r="CK927" s="2010"/>
      <c r="CL927" s="2010"/>
      <c r="CM927" s="2010"/>
      <c r="CN927" s="2010"/>
      <c r="CO927" s="2010"/>
      <c r="CP927" s="2010"/>
      <c r="CQ927" s="2010"/>
      <c r="CR927" s="2010"/>
      <c r="CS927" s="2010"/>
      <c r="CT927" s="2010"/>
      <c r="CU927" s="2010"/>
      <c r="CV927" s="2010"/>
      <c r="CW927" s="2010"/>
      <c r="CX927" s="2010"/>
      <c r="CY927" s="2010"/>
      <c r="CZ927" s="2010"/>
      <c r="DA927" s="2010"/>
      <c r="DB927" s="2010"/>
      <c r="DC927" s="2010"/>
      <c r="DD927" s="2010"/>
      <c r="DE927" s="2010"/>
    </row>
    <row r="928" spans="1:109" s="2014" customFormat="1" x14ac:dyDescent="0.2">
      <c r="A928" s="2013"/>
      <c r="B928" s="2013"/>
      <c r="C928" s="2013"/>
      <c r="D928" s="2013"/>
      <c r="AB928" s="2010"/>
      <c r="AU928" s="2010"/>
      <c r="AV928" s="2010"/>
      <c r="AW928" s="2010"/>
      <c r="AX928" s="2010"/>
      <c r="AY928" s="2010"/>
      <c r="AZ928" s="2010"/>
      <c r="BA928" s="2010"/>
      <c r="BB928" s="2010"/>
      <c r="BC928" s="2010"/>
      <c r="BD928" s="2010"/>
      <c r="BE928" s="2010"/>
      <c r="BF928" s="2010"/>
      <c r="BG928" s="2010"/>
      <c r="BH928" s="2010"/>
      <c r="BI928" s="2010"/>
      <c r="BJ928" s="2010"/>
      <c r="BK928" s="2010"/>
      <c r="BL928" s="2010"/>
      <c r="BM928" s="2010"/>
      <c r="BN928" s="2010"/>
      <c r="BO928" s="2010"/>
      <c r="BP928" s="2010"/>
      <c r="BQ928" s="2010"/>
      <c r="BR928" s="2010"/>
      <c r="BS928" s="2010"/>
      <c r="BT928" s="2010"/>
      <c r="BU928" s="2010"/>
      <c r="BV928" s="2010"/>
      <c r="BW928" s="2010"/>
      <c r="BX928" s="2010"/>
      <c r="BY928" s="2010"/>
      <c r="BZ928" s="2010"/>
      <c r="CA928" s="2010"/>
      <c r="CB928" s="2010"/>
      <c r="CC928" s="2010"/>
      <c r="CD928" s="2010"/>
      <c r="CE928" s="2010"/>
      <c r="CF928" s="2010"/>
      <c r="CG928" s="2010"/>
      <c r="CH928" s="2010"/>
      <c r="CI928" s="2010"/>
      <c r="CJ928" s="2010"/>
      <c r="CK928" s="2010"/>
      <c r="CL928" s="2010"/>
      <c r="CM928" s="2010"/>
      <c r="CN928" s="2010"/>
      <c r="CO928" s="2010"/>
      <c r="CP928" s="2010"/>
      <c r="CQ928" s="2010"/>
      <c r="CR928" s="2010"/>
      <c r="CS928" s="2010"/>
      <c r="CT928" s="2010"/>
      <c r="CU928" s="2010"/>
      <c r="CV928" s="2010"/>
      <c r="CW928" s="2010"/>
      <c r="CX928" s="2010"/>
      <c r="CY928" s="2010"/>
      <c r="CZ928" s="2010"/>
      <c r="DA928" s="2010"/>
      <c r="DB928" s="2010"/>
      <c r="DC928" s="2010"/>
      <c r="DD928" s="2010"/>
      <c r="DE928" s="2010"/>
    </row>
    <row r="929" spans="1:109" s="2014" customFormat="1" x14ac:dyDescent="0.2">
      <c r="A929" s="2013"/>
      <c r="B929" s="2013"/>
      <c r="C929" s="2013"/>
      <c r="D929" s="2013"/>
      <c r="AB929" s="2010"/>
      <c r="AU929" s="2010"/>
      <c r="AV929" s="2010"/>
      <c r="AW929" s="2010"/>
      <c r="AX929" s="2010"/>
      <c r="AY929" s="2010"/>
      <c r="AZ929" s="2010"/>
      <c r="BA929" s="2010"/>
      <c r="BB929" s="2010"/>
      <c r="BC929" s="2010"/>
      <c r="BD929" s="2010"/>
      <c r="BE929" s="2010"/>
      <c r="BF929" s="2010"/>
      <c r="BG929" s="2010"/>
      <c r="BH929" s="2010"/>
      <c r="BI929" s="2010"/>
      <c r="BJ929" s="2010"/>
      <c r="BK929" s="2010"/>
      <c r="BL929" s="2010"/>
      <c r="BM929" s="2010"/>
      <c r="BN929" s="2010"/>
      <c r="BO929" s="2010"/>
      <c r="BP929" s="2010"/>
      <c r="BQ929" s="2010"/>
      <c r="BR929" s="2010"/>
      <c r="BS929" s="2010"/>
      <c r="BT929" s="2010"/>
      <c r="BU929" s="2010"/>
      <c r="BV929" s="2010"/>
      <c r="BW929" s="2010"/>
      <c r="BX929" s="2010"/>
      <c r="BY929" s="2010"/>
      <c r="BZ929" s="2010"/>
      <c r="CA929" s="2010"/>
      <c r="CB929" s="2010"/>
      <c r="CC929" s="2010"/>
      <c r="CD929" s="2010"/>
      <c r="CE929" s="2010"/>
      <c r="CF929" s="2010"/>
      <c r="CG929" s="2010"/>
      <c r="CH929" s="2010"/>
      <c r="CI929" s="2010"/>
      <c r="CJ929" s="2010"/>
      <c r="CK929" s="2010"/>
      <c r="CL929" s="2010"/>
      <c r="CM929" s="2010"/>
      <c r="CN929" s="2010"/>
      <c r="CO929" s="2010"/>
      <c r="CP929" s="2010"/>
      <c r="CQ929" s="2010"/>
      <c r="CR929" s="2010"/>
      <c r="CS929" s="2010"/>
      <c r="CT929" s="2010"/>
      <c r="CU929" s="2010"/>
      <c r="CV929" s="2010"/>
      <c r="CW929" s="2010"/>
      <c r="CX929" s="2010"/>
      <c r="CY929" s="2010"/>
      <c r="CZ929" s="2010"/>
      <c r="DA929" s="2010"/>
      <c r="DB929" s="2010"/>
      <c r="DC929" s="2010"/>
      <c r="DD929" s="2010"/>
      <c r="DE929" s="2010"/>
    </row>
    <row r="930" spans="1:109" s="2014" customFormat="1" x14ac:dyDescent="0.2">
      <c r="A930" s="2013"/>
      <c r="B930" s="2013"/>
      <c r="C930" s="2013"/>
      <c r="D930" s="2013"/>
      <c r="AB930" s="2010"/>
      <c r="AU930" s="2010"/>
      <c r="AV930" s="2010"/>
      <c r="AW930" s="2010"/>
      <c r="AX930" s="2010"/>
      <c r="AY930" s="2010"/>
      <c r="AZ930" s="2010"/>
      <c r="BA930" s="2010"/>
      <c r="BB930" s="2010"/>
      <c r="BC930" s="2010"/>
      <c r="BD930" s="2010"/>
      <c r="BE930" s="2010"/>
      <c r="BF930" s="2010"/>
      <c r="BG930" s="2010"/>
      <c r="BH930" s="2010"/>
      <c r="BI930" s="2010"/>
      <c r="BJ930" s="2010"/>
      <c r="BK930" s="2010"/>
      <c r="BL930" s="2010"/>
      <c r="BM930" s="2010"/>
      <c r="BN930" s="2010"/>
      <c r="BO930" s="2010"/>
      <c r="BP930" s="2010"/>
      <c r="BQ930" s="2010"/>
      <c r="BR930" s="2010"/>
      <c r="BS930" s="2010"/>
      <c r="BT930" s="2010"/>
      <c r="BU930" s="2010"/>
      <c r="BV930" s="2010"/>
      <c r="BW930" s="2010"/>
      <c r="BX930" s="2010"/>
      <c r="BY930" s="2010"/>
      <c r="BZ930" s="2010"/>
      <c r="CA930" s="2010"/>
      <c r="CB930" s="2010"/>
      <c r="CC930" s="2010"/>
      <c r="CD930" s="2010"/>
      <c r="CE930" s="2010"/>
      <c r="CF930" s="2010"/>
      <c r="CG930" s="2010"/>
      <c r="CH930" s="2010"/>
      <c r="CI930" s="2010"/>
      <c r="CJ930" s="2010"/>
      <c r="CK930" s="2010"/>
      <c r="CL930" s="2010"/>
      <c r="CM930" s="2010"/>
      <c r="CN930" s="2010"/>
      <c r="CO930" s="2010"/>
      <c r="CP930" s="2010"/>
      <c r="CQ930" s="2010"/>
      <c r="CR930" s="2010"/>
      <c r="CS930" s="2010"/>
      <c r="CT930" s="2010"/>
      <c r="CU930" s="2010"/>
      <c r="CV930" s="2010"/>
      <c r="CW930" s="2010"/>
      <c r="CX930" s="2010"/>
      <c r="CY930" s="2010"/>
      <c r="CZ930" s="2010"/>
      <c r="DA930" s="2010"/>
      <c r="DB930" s="2010"/>
      <c r="DC930" s="2010"/>
      <c r="DD930" s="2010"/>
      <c r="DE930" s="2010"/>
    </row>
    <row r="931" spans="1:109" s="2014" customFormat="1" x14ac:dyDescent="0.2">
      <c r="A931" s="2013"/>
      <c r="B931" s="2013"/>
      <c r="C931" s="2013"/>
      <c r="D931" s="2013"/>
      <c r="AB931" s="2010"/>
      <c r="AU931" s="2010"/>
      <c r="AV931" s="2010"/>
      <c r="AW931" s="2010"/>
      <c r="AX931" s="2010"/>
      <c r="AY931" s="2010"/>
      <c r="AZ931" s="2010"/>
      <c r="BA931" s="2010"/>
      <c r="BB931" s="2010"/>
      <c r="BC931" s="2010"/>
      <c r="BD931" s="2010"/>
      <c r="BE931" s="2010"/>
      <c r="BF931" s="2010"/>
      <c r="BG931" s="2010"/>
      <c r="BH931" s="2010"/>
      <c r="BI931" s="2010"/>
      <c r="BJ931" s="2010"/>
      <c r="BK931" s="2010"/>
      <c r="BL931" s="2010"/>
      <c r="BM931" s="2010"/>
      <c r="BN931" s="2010"/>
      <c r="BO931" s="2010"/>
      <c r="BP931" s="2010"/>
      <c r="BQ931" s="2010"/>
      <c r="BR931" s="2010"/>
      <c r="BS931" s="2010"/>
      <c r="BT931" s="2010"/>
      <c r="BU931" s="2010"/>
      <c r="BV931" s="2010"/>
      <c r="BW931" s="2010"/>
      <c r="BX931" s="2010"/>
      <c r="BY931" s="2010"/>
      <c r="BZ931" s="2010"/>
      <c r="CA931" s="2010"/>
      <c r="CB931" s="2010"/>
      <c r="CC931" s="2010"/>
      <c r="CD931" s="2010"/>
      <c r="CE931" s="2010"/>
      <c r="CF931" s="2010"/>
      <c r="CG931" s="2010"/>
      <c r="CH931" s="2010"/>
      <c r="CI931" s="2010"/>
      <c r="CJ931" s="2010"/>
      <c r="CK931" s="2010"/>
      <c r="CL931" s="2010"/>
      <c r="CM931" s="2010"/>
      <c r="CN931" s="2010"/>
      <c r="CO931" s="2010"/>
      <c r="CP931" s="2010"/>
      <c r="CQ931" s="2010"/>
      <c r="CR931" s="2010"/>
      <c r="CS931" s="2010"/>
      <c r="CT931" s="2010"/>
      <c r="CU931" s="2010"/>
      <c r="CV931" s="2010"/>
      <c r="CW931" s="2010"/>
      <c r="CX931" s="2010"/>
      <c r="CY931" s="2010"/>
      <c r="CZ931" s="2010"/>
      <c r="DA931" s="2010"/>
      <c r="DB931" s="2010"/>
      <c r="DC931" s="2010"/>
      <c r="DD931" s="2010"/>
      <c r="DE931" s="2010"/>
    </row>
    <row r="932" spans="1:109" s="2014" customFormat="1" x14ac:dyDescent="0.2">
      <c r="A932" s="2013"/>
      <c r="B932" s="2013"/>
      <c r="C932" s="2013"/>
      <c r="D932" s="2013"/>
      <c r="AB932" s="2010"/>
      <c r="AU932" s="2010"/>
      <c r="AV932" s="2010"/>
      <c r="AW932" s="2010"/>
      <c r="AX932" s="2010"/>
      <c r="AY932" s="2010"/>
      <c r="AZ932" s="2010"/>
      <c r="BA932" s="2010"/>
      <c r="BB932" s="2010"/>
      <c r="BC932" s="2010"/>
      <c r="BD932" s="2010"/>
      <c r="BE932" s="2010"/>
      <c r="BF932" s="2010"/>
      <c r="BG932" s="2010"/>
      <c r="BH932" s="2010"/>
      <c r="BI932" s="2010"/>
      <c r="BJ932" s="2010"/>
      <c r="BK932" s="2010"/>
      <c r="BL932" s="2010"/>
      <c r="BM932" s="2010"/>
      <c r="BN932" s="2010"/>
      <c r="BO932" s="2010"/>
      <c r="BP932" s="2010"/>
      <c r="BQ932" s="2010"/>
      <c r="BR932" s="2010"/>
      <c r="BS932" s="2010"/>
      <c r="BT932" s="2010"/>
      <c r="BU932" s="2010"/>
      <c r="BV932" s="2010"/>
      <c r="BW932" s="2010"/>
      <c r="BX932" s="2010"/>
      <c r="BY932" s="2010"/>
      <c r="BZ932" s="2010"/>
      <c r="CA932" s="2010"/>
      <c r="CB932" s="2010"/>
      <c r="CC932" s="2010"/>
      <c r="CD932" s="2010"/>
      <c r="CE932" s="2010"/>
      <c r="CF932" s="2010"/>
      <c r="CG932" s="2010"/>
      <c r="CH932" s="2010"/>
      <c r="CI932" s="2010"/>
      <c r="CJ932" s="2010"/>
      <c r="CK932" s="2010"/>
      <c r="CL932" s="2010"/>
      <c r="CM932" s="2010"/>
      <c r="CN932" s="2010"/>
      <c r="CO932" s="2010"/>
      <c r="CP932" s="2010"/>
      <c r="CQ932" s="2010"/>
      <c r="CR932" s="2010"/>
      <c r="CS932" s="2010"/>
      <c r="CT932" s="2010"/>
      <c r="CU932" s="2010"/>
      <c r="CV932" s="2010"/>
      <c r="CW932" s="2010"/>
      <c r="CX932" s="2010"/>
      <c r="CY932" s="2010"/>
      <c r="CZ932" s="2010"/>
      <c r="DA932" s="2010"/>
      <c r="DB932" s="2010"/>
      <c r="DC932" s="2010"/>
      <c r="DD932" s="2010"/>
      <c r="DE932" s="2010"/>
    </row>
    <row r="933" spans="1:109" s="2014" customFormat="1" x14ac:dyDescent="0.2">
      <c r="A933" s="2013"/>
      <c r="B933" s="2013"/>
      <c r="C933" s="2013"/>
      <c r="D933" s="2013"/>
      <c r="AB933" s="2010"/>
      <c r="AU933" s="2010"/>
      <c r="AV933" s="2010"/>
      <c r="AW933" s="2010"/>
      <c r="AX933" s="2010"/>
      <c r="AY933" s="2010"/>
      <c r="AZ933" s="2010"/>
      <c r="BA933" s="2010"/>
      <c r="BB933" s="2010"/>
      <c r="BC933" s="2010"/>
      <c r="BD933" s="2010"/>
      <c r="BE933" s="2010"/>
      <c r="BF933" s="2010"/>
      <c r="BG933" s="2010"/>
      <c r="BH933" s="2010"/>
      <c r="BI933" s="2010"/>
      <c r="BJ933" s="2010"/>
      <c r="BK933" s="2010"/>
      <c r="BL933" s="2010"/>
      <c r="BM933" s="2010"/>
      <c r="BN933" s="2010"/>
      <c r="BO933" s="2010"/>
      <c r="BP933" s="2010"/>
      <c r="BQ933" s="2010"/>
      <c r="BR933" s="2010"/>
      <c r="BS933" s="2010"/>
      <c r="BT933" s="2010"/>
      <c r="BU933" s="2010"/>
      <c r="BV933" s="2010"/>
      <c r="BW933" s="2010"/>
      <c r="BX933" s="2010"/>
      <c r="BY933" s="2010"/>
      <c r="BZ933" s="2010"/>
      <c r="CA933" s="2010"/>
      <c r="CB933" s="2010"/>
      <c r="CC933" s="2010"/>
      <c r="CD933" s="2010"/>
      <c r="CE933" s="2010"/>
      <c r="CF933" s="2010"/>
      <c r="CG933" s="2010"/>
      <c r="CH933" s="2010"/>
      <c r="CI933" s="2010"/>
      <c r="CJ933" s="2010"/>
      <c r="CK933" s="2010"/>
      <c r="CL933" s="2010"/>
      <c r="CM933" s="2010"/>
      <c r="CN933" s="2010"/>
      <c r="CO933" s="2010"/>
      <c r="CP933" s="2010"/>
      <c r="CQ933" s="2010"/>
      <c r="CR933" s="2010"/>
      <c r="CS933" s="2010"/>
      <c r="CT933" s="2010"/>
      <c r="CU933" s="2010"/>
      <c r="CV933" s="2010"/>
      <c r="CW933" s="2010"/>
      <c r="CX933" s="2010"/>
      <c r="CY933" s="2010"/>
      <c r="CZ933" s="2010"/>
      <c r="DA933" s="2010"/>
      <c r="DB933" s="2010"/>
      <c r="DC933" s="2010"/>
      <c r="DD933" s="2010"/>
      <c r="DE933" s="2010"/>
    </row>
    <row r="934" spans="1:109" s="2014" customFormat="1" x14ac:dyDescent="0.2">
      <c r="A934" s="2013"/>
      <c r="B934" s="2013"/>
      <c r="C934" s="2013"/>
      <c r="D934" s="2013"/>
      <c r="AB934" s="2010"/>
      <c r="AU934" s="2010"/>
      <c r="AV934" s="2010"/>
      <c r="AW934" s="2010"/>
      <c r="AX934" s="2010"/>
      <c r="AY934" s="2010"/>
      <c r="AZ934" s="2010"/>
      <c r="BA934" s="2010"/>
      <c r="BB934" s="2010"/>
      <c r="BC934" s="2010"/>
      <c r="BD934" s="2010"/>
      <c r="BE934" s="2010"/>
      <c r="BF934" s="2010"/>
      <c r="BG934" s="2010"/>
      <c r="BH934" s="2010"/>
      <c r="BI934" s="2010"/>
      <c r="BJ934" s="2010"/>
      <c r="BK934" s="2010"/>
      <c r="BL934" s="2010"/>
      <c r="BM934" s="2010"/>
      <c r="BN934" s="2010"/>
      <c r="BO934" s="2010"/>
      <c r="BP934" s="2010"/>
      <c r="BQ934" s="2010"/>
      <c r="BR934" s="2010"/>
      <c r="BS934" s="2010"/>
      <c r="BT934" s="2010"/>
      <c r="BU934" s="2010"/>
      <c r="BV934" s="2010"/>
      <c r="BW934" s="2010"/>
      <c r="BX934" s="2010"/>
      <c r="BY934" s="2010"/>
      <c r="BZ934" s="2010"/>
      <c r="CA934" s="2010"/>
      <c r="CB934" s="2010"/>
      <c r="CC934" s="2010"/>
      <c r="CD934" s="2010"/>
      <c r="CE934" s="2010"/>
      <c r="CF934" s="2010"/>
      <c r="CG934" s="2010"/>
      <c r="CH934" s="2010"/>
      <c r="CI934" s="2010"/>
      <c r="CJ934" s="2010"/>
      <c r="CK934" s="2010"/>
      <c r="CL934" s="2010"/>
      <c r="CM934" s="2010"/>
      <c r="CN934" s="2010"/>
      <c r="CO934" s="2010"/>
      <c r="CP934" s="2010"/>
      <c r="CQ934" s="2010"/>
      <c r="CR934" s="2010"/>
      <c r="CS934" s="2010"/>
      <c r="CT934" s="2010"/>
      <c r="CU934" s="2010"/>
      <c r="CV934" s="2010"/>
      <c r="CW934" s="2010"/>
      <c r="CX934" s="2010"/>
      <c r="CY934" s="2010"/>
      <c r="CZ934" s="2010"/>
      <c r="DA934" s="2010"/>
      <c r="DB934" s="2010"/>
      <c r="DC934" s="2010"/>
      <c r="DD934" s="2010"/>
      <c r="DE934" s="2010"/>
    </row>
    <row r="935" spans="1:109" s="2014" customFormat="1" x14ac:dyDescent="0.2">
      <c r="A935" s="2013"/>
      <c r="B935" s="2013"/>
      <c r="C935" s="2013"/>
      <c r="D935" s="2013"/>
      <c r="AB935" s="2010"/>
      <c r="AU935" s="2010"/>
      <c r="AV935" s="2010"/>
      <c r="AW935" s="2010"/>
      <c r="AX935" s="2010"/>
      <c r="AY935" s="2010"/>
      <c r="AZ935" s="2010"/>
      <c r="BA935" s="2010"/>
      <c r="BB935" s="2010"/>
      <c r="BC935" s="2010"/>
      <c r="BD935" s="2010"/>
      <c r="BE935" s="2010"/>
      <c r="BF935" s="2010"/>
      <c r="BG935" s="2010"/>
      <c r="BH935" s="2010"/>
      <c r="BI935" s="2010"/>
      <c r="BJ935" s="2010"/>
      <c r="BK935" s="2010"/>
      <c r="BL935" s="2010"/>
      <c r="BM935" s="2010"/>
      <c r="BN935" s="2010"/>
      <c r="BO935" s="2010"/>
      <c r="BP935" s="2010"/>
      <c r="BQ935" s="2010"/>
      <c r="BR935" s="2010"/>
      <c r="BS935" s="2010"/>
      <c r="BT935" s="2010"/>
      <c r="BU935" s="2010"/>
      <c r="BV935" s="2010"/>
      <c r="BW935" s="2010"/>
      <c r="BX935" s="2010"/>
      <c r="BY935" s="2010"/>
      <c r="BZ935" s="2010"/>
      <c r="CA935" s="2010"/>
      <c r="CB935" s="2010"/>
      <c r="CC935" s="2010"/>
      <c r="CD935" s="2010"/>
      <c r="CE935" s="2010"/>
      <c r="CF935" s="2010"/>
      <c r="CG935" s="2010"/>
      <c r="CH935" s="2010"/>
      <c r="CI935" s="2010"/>
      <c r="CJ935" s="2010"/>
      <c r="CK935" s="2010"/>
      <c r="CL935" s="2010"/>
      <c r="CM935" s="2010"/>
      <c r="CN935" s="2010"/>
      <c r="CO935" s="2010"/>
      <c r="CP935" s="2010"/>
      <c r="CQ935" s="2010"/>
      <c r="CR935" s="2010"/>
      <c r="CS935" s="2010"/>
      <c r="CT935" s="2010"/>
      <c r="CU935" s="2010"/>
      <c r="CV935" s="2010"/>
      <c r="CW935" s="2010"/>
      <c r="CX935" s="2010"/>
      <c r="CY935" s="2010"/>
      <c r="CZ935" s="2010"/>
      <c r="DA935" s="2010"/>
      <c r="DB935" s="2010"/>
      <c r="DC935" s="2010"/>
      <c r="DD935" s="2010"/>
      <c r="DE935" s="2010"/>
    </row>
    <row r="936" spans="1:109" s="2014" customFormat="1" x14ac:dyDescent="0.2">
      <c r="A936" s="2013"/>
      <c r="B936" s="2013"/>
      <c r="C936" s="2013"/>
      <c r="D936" s="2013"/>
      <c r="AB936" s="2010"/>
      <c r="AU936" s="2010"/>
      <c r="AV936" s="2010"/>
      <c r="AW936" s="2010"/>
      <c r="AX936" s="2010"/>
      <c r="AY936" s="2010"/>
      <c r="AZ936" s="2010"/>
      <c r="BA936" s="2010"/>
      <c r="BB936" s="2010"/>
      <c r="BC936" s="2010"/>
      <c r="BD936" s="2010"/>
      <c r="BE936" s="2010"/>
      <c r="BF936" s="2010"/>
      <c r="BG936" s="2010"/>
      <c r="BH936" s="2010"/>
      <c r="BI936" s="2010"/>
      <c r="BJ936" s="2010"/>
      <c r="BK936" s="2010"/>
      <c r="BL936" s="2010"/>
      <c r="BM936" s="2010"/>
      <c r="BN936" s="2010"/>
      <c r="BO936" s="2010"/>
      <c r="BP936" s="2010"/>
      <c r="BQ936" s="2010"/>
      <c r="BR936" s="2010"/>
      <c r="BS936" s="2010"/>
      <c r="BT936" s="2010"/>
      <c r="BU936" s="2010"/>
      <c r="BV936" s="2010"/>
      <c r="BW936" s="2010"/>
      <c r="BX936" s="2010"/>
      <c r="BY936" s="2010"/>
      <c r="BZ936" s="2010"/>
      <c r="CA936" s="2010"/>
      <c r="CB936" s="2010"/>
      <c r="CC936" s="2010"/>
      <c r="CD936" s="2010"/>
      <c r="CE936" s="2010"/>
      <c r="CF936" s="2010"/>
      <c r="CG936" s="2010"/>
      <c r="CH936" s="2010"/>
      <c r="CI936" s="2010"/>
      <c r="CJ936" s="2010"/>
      <c r="CK936" s="2010"/>
      <c r="CL936" s="2010"/>
      <c r="CM936" s="2010"/>
      <c r="CN936" s="2010"/>
      <c r="CO936" s="2010"/>
      <c r="CP936" s="2010"/>
      <c r="CQ936" s="2010"/>
      <c r="CR936" s="2010"/>
      <c r="CS936" s="2010"/>
      <c r="CT936" s="2010"/>
      <c r="CU936" s="2010"/>
      <c r="CV936" s="2010"/>
      <c r="CW936" s="2010"/>
      <c r="CX936" s="2010"/>
      <c r="CY936" s="2010"/>
      <c r="CZ936" s="2010"/>
      <c r="DA936" s="2010"/>
      <c r="DB936" s="2010"/>
      <c r="DC936" s="2010"/>
      <c r="DD936" s="2010"/>
      <c r="DE936" s="2010"/>
    </row>
    <row r="937" spans="1:109" s="2014" customFormat="1" x14ac:dyDescent="0.2">
      <c r="A937" s="2013"/>
      <c r="B937" s="2013"/>
      <c r="C937" s="2013"/>
      <c r="D937" s="2013"/>
      <c r="AB937" s="2010"/>
      <c r="AU937" s="2010"/>
      <c r="AV937" s="2010"/>
      <c r="AW937" s="2010"/>
      <c r="AX937" s="2010"/>
      <c r="AY937" s="2010"/>
      <c r="AZ937" s="2010"/>
      <c r="BA937" s="2010"/>
      <c r="BB937" s="2010"/>
      <c r="BC937" s="2010"/>
      <c r="BD937" s="2010"/>
      <c r="BE937" s="2010"/>
      <c r="BF937" s="2010"/>
      <c r="BG937" s="2010"/>
      <c r="BH937" s="2010"/>
      <c r="BI937" s="2010"/>
      <c r="BJ937" s="2010"/>
      <c r="BK937" s="2010"/>
      <c r="BL937" s="2010"/>
      <c r="BM937" s="2010"/>
      <c r="BN937" s="2010"/>
      <c r="BO937" s="2010"/>
      <c r="BP937" s="2010"/>
      <c r="BQ937" s="2010"/>
      <c r="BR937" s="2010"/>
      <c r="BS937" s="2010"/>
      <c r="BT937" s="2010"/>
      <c r="BU937" s="2010"/>
      <c r="BV937" s="2010"/>
      <c r="BW937" s="2010"/>
      <c r="BX937" s="2010"/>
      <c r="BY937" s="2010"/>
      <c r="BZ937" s="2010"/>
      <c r="CA937" s="2010"/>
      <c r="CB937" s="2010"/>
      <c r="CC937" s="2010"/>
      <c r="CD937" s="2010"/>
      <c r="CE937" s="2010"/>
      <c r="CF937" s="2010"/>
      <c r="CG937" s="2010"/>
      <c r="CH937" s="2010"/>
      <c r="CI937" s="2010"/>
      <c r="CJ937" s="2010"/>
      <c r="CK937" s="2010"/>
      <c r="CL937" s="2010"/>
      <c r="CM937" s="2010"/>
      <c r="CN937" s="2010"/>
      <c r="CO937" s="2010"/>
      <c r="CP937" s="2010"/>
      <c r="CQ937" s="2010"/>
      <c r="CR937" s="2010"/>
      <c r="CS937" s="2010"/>
      <c r="CT937" s="2010"/>
      <c r="CU937" s="2010"/>
      <c r="CV937" s="2010"/>
      <c r="CW937" s="2010"/>
      <c r="CX937" s="2010"/>
      <c r="CY937" s="2010"/>
      <c r="CZ937" s="2010"/>
      <c r="DA937" s="2010"/>
      <c r="DB937" s="2010"/>
      <c r="DC937" s="2010"/>
      <c r="DD937" s="2010"/>
      <c r="DE937" s="2010"/>
    </row>
    <row r="938" spans="1:109" s="2014" customFormat="1" x14ac:dyDescent="0.2">
      <c r="A938" s="2013"/>
      <c r="B938" s="2013"/>
      <c r="C938" s="2013"/>
      <c r="D938" s="2013"/>
      <c r="AB938" s="2010"/>
      <c r="AU938" s="2010"/>
      <c r="AV938" s="2010"/>
      <c r="AW938" s="2010"/>
      <c r="AX938" s="2010"/>
      <c r="AY938" s="2010"/>
      <c r="AZ938" s="2010"/>
      <c r="BA938" s="2010"/>
      <c r="BB938" s="2010"/>
      <c r="BC938" s="2010"/>
      <c r="BD938" s="2010"/>
      <c r="BE938" s="2010"/>
      <c r="BF938" s="2010"/>
      <c r="BG938" s="2010"/>
      <c r="BH938" s="2010"/>
      <c r="BI938" s="2010"/>
      <c r="BJ938" s="2010"/>
      <c r="BK938" s="2010"/>
      <c r="BL938" s="2010"/>
      <c r="BM938" s="2010"/>
      <c r="BN938" s="2010"/>
      <c r="BO938" s="2010"/>
      <c r="BP938" s="2010"/>
      <c r="BQ938" s="2010"/>
      <c r="BR938" s="2010"/>
      <c r="BS938" s="2010"/>
      <c r="BT938" s="2010"/>
      <c r="BU938" s="2010"/>
      <c r="BV938" s="2010"/>
      <c r="BW938" s="2010"/>
      <c r="BX938" s="2010"/>
      <c r="BY938" s="2010"/>
      <c r="BZ938" s="2010"/>
      <c r="CA938" s="2010"/>
      <c r="CB938" s="2010"/>
      <c r="CC938" s="2010"/>
      <c r="CD938" s="2010"/>
      <c r="CE938" s="2010"/>
      <c r="CF938" s="2010"/>
      <c r="CG938" s="2010"/>
      <c r="CH938" s="2010"/>
      <c r="CI938" s="2010"/>
      <c r="CJ938" s="2010"/>
      <c r="CK938" s="2010"/>
      <c r="CL938" s="2010"/>
      <c r="CM938" s="2010"/>
      <c r="CN938" s="2010"/>
      <c r="CO938" s="2010"/>
      <c r="CP938" s="2010"/>
      <c r="CQ938" s="2010"/>
      <c r="CR938" s="2010"/>
      <c r="CS938" s="2010"/>
      <c r="CT938" s="2010"/>
      <c r="CU938" s="2010"/>
      <c r="CV938" s="2010"/>
      <c r="CW938" s="2010"/>
      <c r="CX938" s="2010"/>
      <c r="CY938" s="2010"/>
      <c r="CZ938" s="2010"/>
      <c r="DA938" s="2010"/>
      <c r="DB938" s="2010"/>
      <c r="DC938" s="2010"/>
      <c r="DD938" s="2010"/>
      <c r="DE938" s="2010"/>
    </row>
    <row r="939" spans="1:109" s="2014" customFormat="1" x14ac:dyDescent="0.2">
      <c r="A939" s="2013"/>
      <c r="B939" s="2013"/>
      <c r="C939" s="2013"/>
      <c r="D939" s="2013"/>
      <c r="AB939" s="2010"/>
      <c r="AU939" s="2010"/>
      <c r="AV939" s="2010"/>
      <c r="AW939" s="2010"/>
      <c r="AX939" s="2010"/>
      <c r="AY939" s="2010"/>
      <c r="AZ939" s="2010"/>
      <c r="BA939" s="2010"/>
      <c r="BB939" s="2010"/>
      <c r="BC939" s="2010"/>
      <c r="BD939" s="2010"/>
      <c r="BE939" s="2010"/>
      <c r="BF939" s="2010"/>
      <c r="BG939" s="2010"/>
      <c r="BH939" s="2010"/>
      <c r="BI939" s="2010"/>
      <c r="BJ939" s="2010"/>
      <c r="BK939" s="2010"/>
      <c r="BL939" s="2010"/>
      <c r="BM939" s="2010"/>
      <c r="BN939" s="2010"/>
      <c r="BO939" s="2010"/>
      <c r="BP939" s="2010"/>
      <c r="BQ939" s="2010"/>
      <c r="BR939" s="2010"/>
      <c r="BS939" s="2010"/>
      <c r="BT939" s="2010"/>
      <c r="BU939" s="2010"/>
      <c r="BV939" s="2010"/>
      <c r="BW939" s="2010"/>
      <c r="BX939" s="2010"/>
      <c r="BY939" s="2010"/>
      <c r="BZ939" s="2010"/>
      <c r="CA939" s="2010"/>
      <c r="CB939" s="2010"/>
      <c r="CC939" s="2010"/>
      <c r="CD939" s="2010"/>
      <c r="CE939" s="2010"/>
      <c r="CF939" s="2010"/>
      <c r="CG939" s="2010"/>
      <c r="CH939" s="2010"/>
      <c r="CI939" s="2010"/>
      <c r="CJ939" s="2010"/>
      <c r="CK939" s="2010"/>
      <c r="CL939" s="2010"/>
      <c r="CM939" s="2010"/>
      <c r="CN939" s="2010"/>
      <c r="CO939" s="2010"/>
      <c r="CP939" s="2010"/>
      <c r="CQ939" s="2010"/>
      <c r="CR939" s="2010"/>
      <c r="CS939" s="2010"/>
      <c r="CT939" s="2010"/>
      <c r="CU939" s="2010"/>
      <c r="CV939" s="2010"/>
      <c r="CW939" s="2010"/>
      <c r="CX939" s="2010"/>
      <c r="CY939" s="2010"/>
      <c r="CZ939" s="2010"/>
      <c r="DA939" s="2010"/>
      <c r="DB939" s="2010"/>
      <c r="DC939" s="2010"/>
      <c r="DD939" s="2010"/>
      <c r="DE939" s="2010"/>
    </row>
    <row r="940" spans="1:109" s="2014" customFormat="1" x14ac:dyDescent="0.2">
      <c r="A940" s="2013"/>
      <c r="B940" s="2013"/>
      <c r="C940" s="2013"/>
      <c r="D940" s="2013"/>
      <c r="AB940" s="2010"/>
      <c r="AU940" s="2010"/>
      <c r="AV940" s="2010"/>
      <c r="AW940" s="2010"/>
      <c r="AX940" s="2010"/>
      <c r="AY940" s="2010"/>
      <c r="AZ940" s="2010"/>
      <c r="BA940" s="2010"/>
      <c r="BB940" s="2010"/>
      <c r="BC940" s="2010"/>
      <c r="BD940" s="2010"/>
      <c r="BE940" s="2010"/>
      <c r="BF940" s="2010"/>
      <c r="BG940" s="2010"/>
      <c r="BH940" s="2010"/>
      <c r="BI940" s="2010"/>
      <c r="BJ940" s="2010"/>
      <c r="BK940" s="2010"/>
      <c r="BL940" s="2010"/>
      <c r="BM940" s="2010"/>
      <c r="BN940" s="2010"/>
      <c r="BO940" s="2010"/>
      <c r="BP940" s="2010"/>
      <c r="BQ940" s="2010"/>
      <c r="BR940" s="2010"/>
      <c r="BS940" s="2010"/>
      <c r="BT940" s="2010"/>
      <c r="BU940" s="2010"/>
      <c r="BV940" s="2010"/>
      <c r="BW940" s="2010"/>
      <c r="BX940" s="2010"/>
      <c r="BY940" s="2010"/>
      <c r="BZ940" s="2010"/>
      <c r="CA940" s="2010"/>
      <c r="CB940" s="2010"/>
      <c r="CC940" s="2010"/>
      <c r="CD940" s="2010"/>
      <c r="CE940" s="2010"/>
      <c r="CF940" s="2010"/>
      <c r="CG940" s="2010"/>
      <c r="CH940" s="2010"/>
      <c r="CI940" s="2010"/>
      <c r="CJ940" s="2010"/>
      <c r="CK940" s="2010"/>
      <c r="CL940" s="2010"/>
      <c r="CM940" s="2010"/>
      <c r="CN940" s="2010"/>
      <c r="CO940" s="2010"/>
      <c r="CP940" s="2010"/>
      <c r="CQ940" s="2010"/>
      <c r="CR940" s="2010"/>
      <c r="CS940" s="2010"/>
      <c r="CT940" s="2010"/>
      <c r="CU940" s="2010"/>
      <c r="CV940" s="2010"/>
      <c r="CW940" s="2010"/>
      <c r="CX940" s="2010"/>
      <c r="CY940" s="2010"/>
      <c r="CZ940" s="2010"/>
      <c r="DA940" s="2010"/>
      <c r="DB940" s="2010"/>
      <c r="DC940" s="2010"/>
      <c r="DD940" s="2010"/>
      <c r="DE940" s="2010"/>
    </row>
    <row r="941" spans="1:109" s="2014" customFormat="1" x14ac:dyDescent="0.2">
      <c r="A941" s="2013"/>
      <c r="B941" s="2013"/>
      <c r="C941" s="2013"/>
      <c r="D941" s="2013"/>
      <c r="AB941" s="2010"/>
      <c r="AU941" s="2010"/>
      <c r="AV941" s="2010"/>
      <c r="AW941" s="2010"/>
      <c r="AX941" s="2010"/>
      <c r="AY941" s="2010"/>
      <c r="AZ941" s="2010"/>
      <c r="BA941" s="2010"/>
      <c r="BB941" s="2010"/>
      <c r="BC941" s="2010"/>
      <c r="BD941" s="2010"/>
      <c r="BE941" s="2010"/>
      <c r="BF941" s="2010"/>
      <c r="BG941" s="2010"/>
      <c r="BH941" s="2010"/>
      <c r="BI941" s="2010"/>
      <c r="BJ941" s="2010"/>
      <c r="BK941" s="2010"/>
      <c r="BL941" s="2010"/>
      <c r="BM941" s="2010"/>
      <c r="BN941" s="2010"/>
      <c r="BO941" s="2010"/>
      <c r="BP941" s="2010"/>
      <c r="BQ941" s="2010"/>
      <c r="BR941" s="2010"/>
      <c r="BS941" s="2010"/>
      <c r="BT941" s="2010"/>
      <c r="BU941" s="2010"/>
      <c r="BV941" s="2010"/>
      <c r="BW941" s="2010"/>
      <c r="BX941" s="2010"/>
      <c r="BY941" s="2010"/>
      <c r="BZ941" s="2010"/>
      <c r="CA941" s="2010"/>
      <c r="CB941" s="2010"/>
      <c r="CC941" s="2010"/>
      <c r="CD941" s="2010"/>
      <c r="CE941" s="2010"/>
      <c r="CF941" s="2010"/>
      <c r="CG941" s="2010"/>
      <c r="CH941" s="2010"/>
      <c r="CI941" s="2010"/>
      <c r="CJ941" s="2010"/>
      <c r="CK941" s="2010"/>
      <c r="CL941" s="2010"/>
      <c r="CM941" s="2010"/>
      <c r="CN941" s="2010"/>
      <c r="CO941" s="2010"/>
      <c r="CP941" s="2010"/>
      <c r="CQ941" s="2010"/>
      <c r="CR941" s="2010"/>
      <c r="CS941" s="2010"/>
      <c r="CT941" s="2010"/>
      <c r="CU941" s="2010"/>
      <c r="CV941" s="2010"/>
      <c r="CW941" s="2010"/>
      <c r="CX941" s="2010"/>
      <c r="CY941" s="2010"/>
      <c r="CZ941" s="2010"/>
      <c r="DA941" s="2010"/>
      <c r="DB941" s="2010"/>
      <c r="DC941" s="2010"/>
      <c r="DD941" s="2010"/>
      <c r="DE941" s="2010"/>
    </row>
    <row r="942" spans="1:109" s="2014" customFormat="1" x14ac:dyDescent="0.2">
      <c r="A942" s="2013"/>
      <c r="B942" s="2013"/>
      <c r="C942" s="2013"/>
      <c r="D942" s="2013"/>
      <c r="AB942" s="2010"/>
      <c r="AU942" s="2010"/>
      <c r="AV942" s="2010"/>
      <c r="AW942" s="2010"/>
      <c r="AX942" s="2010"/>
      <c r="AY942" s="2010"/>
      <c r="AZ942" s="2010"/>
      <c r="BA942" s="2010"/>
      <c r="BB942" s="2010"/>
      <c r="BC942" s="2010"/>
      <c r="BD942" s="2010"/>
      <c r="BE942" s="2010"/>
      <c r="BF942" s="2010"/>
      <c r="BG942" s="2010"/>
      <c r="BH942" s="2010"/>
      <c r="BI942" s="2010"/>
      <c r="BJ942" s="2010"/>
      <c r="BK942" s="2010"/>
      <c r="BL942" s="2010"/>
      <c r="BM942" s="2010"/>
      <c r="BN942" s="2010"/>
      <c r="BO942" s="2010"/>
      <c r="BP942" s="2010"/>
      <c r="BQ942" s="2010"/>
      <c r="BR942" s="2010"/>
      <c r="BS942" s="2010"/>
      <c r="BT942" s="2010"/>
      <c r="BU942" s="2010"/>
      <c r="BV942" s="2010"/>
      <c r="BW942" s="2010"/>
      <c r="BX942" s="2010"/>
      <c r="BY942" s="2010"/>
      <c r="BZ942" s="2010"/>
      <c r="CA942" s="2010"/>
      <c r="CB942" s="2010"/>
      <c r="CC942" s="2010"/>
      <c r="CD942" s="2010"/>
      <c r="CE942" s="2010"/>
      <c r="CF942" s="2010"/>
      <c r="CG942" s="2010"/>
      <c r="CH942" s="2010"/>
      <c r="CI942" s="2010"/>
      <c r="CJ942" s="2010"/>
      <c r="CK942" s="2010"/>
      <c r="CL942" s="2010"/>
      <c r="CM942" s="2010"/>
      <c r="CN942" s="2010"/>
      <c r="CO942" s="2010"/>
      <c r="CP942" s="2010"/>
      <c r="CQ942" s="2010"/>
      <c r="CR942" s="2010"/>
      <c r="CS942" s="2010"/>
      <c r="CT942" s="2010"/>
      <c r="CU942" s="2010"/>
      <c r="CV942" s="2010"/>
      <c r="CW942" s="2010"/>
      <c r="CX942" s="2010"/>
      <c r="CY942" s="2010"/>
      <c r="CZ942" s="2010"/>
      <c r="DA942" s="2010"/>
      <c r="DB942" s="2010"/>
      <c r="DC942" s="2010"/>
      <c r="DD942" s="2010"/>
      <c r="DE942" s="2010"/>
    </row>
    <row r="943" spans="1:109" s="2014" customFormat="1" x14ac:dyDescent="0.2">
      <c r="A943" s="2013"/>
      <c r="B943" s="2013"/>
      <c r="C943" s="2013"/>
      <c r="D943" s="2013"/>
      <c r="AB943" s="2010"/>
      <c r="AU943" s="2010"/>
      <c r="AV943" s="2010"/>
      <c r="AW943" s="2010"/>
      <c r="AX943" s="2010"/>
      <c r="AY943" s="2010"/>
      <c r="AZ943" s="2010"/>
      <c r="BA943" s="2010"/>
      <c r="BB943" s="2010"/>
      <c r="BC943" s="2010"/>
      <c r="BD943" s="2010"/>
      <c r="BE943" s="2010"/>
      <c r="BF943" s="2010"/>
      <c r="BG943" s="2010"/>
      <c r="BH943" s="2010"/>
      <c r="BI943" s="2010"/>
      <c r="BJ943" s="2010"/>
      <c r="BK943" s="2010"/>
      <c r="BL943" s="2010"/>
      <c r="BM943" s="2010"/>
      <c r="BN943" s="2010"/>
      <c r="BO943" s="2010"/>
      <c r="BP943" s="2010"/>
      <c r="BQ943" s="2010"/>
      <c r="BR943" s="2010"/>
      <c r="BS943" s="2010"/>
      <c r="BT943" s="2010"/>
      <c r="BU943" s="2010"/>
      <c r="BV943" s="2010"/>
      <c r="BW943" s="2010"/>
      <c r="BX943" s="2010"/>
      <c r="BY943" s="2010"/>
      <c r="BZ943" s="2010"/>
      <c r="CA943" s="2010"/>
      <c r="CB943" s="2010"/>
      <c r="CC943" s="2010"/>
      <c r="CD943" s="2010"/>
      <c r="CE943" s="2010"/>
      <c r="CF943" s="2010"/>
      <c r="CG943" s="2010"/>
      <c r="CH943" s="2010"/>
      <c r="CI943" s="2010"/>
      <c r="CJ943" s="2010"/>
      <c r="CK943" s="2010"/>
      <c r="CL943" s="2010"/>
      <c r="CM943" s="2010"/>
      <c r="CN943" s="2010"/>
      <c r="CO943" s="2010"/>
      <c r="CP943" s="2010"/>
      <c r="CQ943" s="2010"/>
      <c r="CR943" s="2010"/>
      <c r="CS943" s="2010"/>
      <c r="CT943" s="2010"/>
      <c r="CU943" s="2010"/>
      <c r="CV943" s="2010"/>
      <c r="CW943" s="2010"/>
      <c r="CX943" s="2010"/>
      <c r="CY943" s="2010"/>
      <c r="CZ943" s="2010"/>
      <c r="DA943" s="2010"/>
      <c r="DB943" s="2010"/>
      <c r="DC943" s="2010"/>
      <c r="DD943" s="2010"/>
      <c r="DE943" s="2010"/>
    </row>
    <row r="944" spans="1:109" s="2014" customFormat="1" x14ac:dyDescent="0.2">
      <c r="A944" s="2013"/>
      <c r="B944" s="2013"/>
      <c r="C944" s="2013"/>
      <c r="D944" s="2013"/>
      <c r="AB944" s="2010"/>
      <c r="AU944" s="2010"/>
      <c r="AV944" s="2010"/>
      <c r="AW944" s="2010"/>
      <c r="AX944" s="2010"/>
      <c r="AY944" s="2010"/>
      <c r="AZ944" s="2010"/>
      <c r="BA944" s="2010"/>
      <c r="BB944" s="2010"/>
      <c r="BC944" s="2010"/>
      <c r="BD944" s="2010"/>
      <c r="BE944" s="2010"/>
      <c r="BF944" s="2010"/>
      <c r="BG944" s="2010"/>
      <c r="BH944" s="2010"/>
      <c r="BI944" s="2010"/>
      <c r="BJ944" s="2010"/>
      <c r="BK944" s="2010"/>
      <c r="BL944" s="2010"/>
      <c r="BM944" s="2010"/>
      <c r="BN944" s="2010"/>
      <c r="BO944" s="2010"/>
      <c r="BP944" s="2010"/>
      <c r="BQ944" s="2010"/>
      <c r="BR944" s="2010"/>
      <c r="BS944" s="2010"/>
      <c r="BT944" s="2010"/>
      <c r="BU944" s="2010"/>
      <c r="BV944" s="2010"/>
      <c r="BW944" s="2010"/>
      <c r="BX944" s="2010"/>
      <c r="BY944" s="2010"/>
      <c r="BZ944" s="2010"/>
      <c r="CA944" s="2010"/>
      <c r="CB944" s="2010"/>
      <c r="CC944" s="2010"/>
      <c r="CD944" s="2010"/>
      <c r="CE944" s="2010"/>
      <c r="CF944" s="2010"/>
      <c r="CG944" s="2010"/>
      <c r="CH944" s="2010"/>
      <c r="CI944" s="2010"/>
      <c r="CJ944" s="2010"/>
      <c r="CK944" s="2010"/>
      <c r="CL944" s="2010"/>
      <c r="CM944" s="2010"/>
      <c r="CN944" s="2010"/>
      <c r="CO944" s="2010"/>
      <c r="CP944" s="2010"/>
      <c r="CQ944" s="2010"/>
      <c r="CR944" s="2010"/>
      <c r="CS944" s="2010"/>
      <c r="CT944" s="2010"/>
      <c r="CU944" s="2010"/>
      <c r="CV944" s="2010"/>
      <c r="CW944" s="2010"/>
      <c r="CX944" s="2010"/>
      <c r="CY944" s="2010"/>
      <c r="CZ944" s="2010"/>
      <c r="DA944" s="2010"/>
      <c r="DB944" s="2010"/>
      <c r="DC944" s="2010"/>
      <c r="DD944" s="2010"/>
      <c r="DE944" s="2010"/>
    </row>
    <row r="945" spans="1:109" s="2014" customFormat="1" x14ac:dyDescent="0.2">
      <c r="A945" s="2013"/>
      <c r="B945" s="2013"/>
      <c r="C945" s="2013"/>
      <c r="D945" s="2013"/>
      <c r="AB945" s="2010"/>
      <c r="AU945" s="2010"/>
      <c r="AV945" s="2010"/>
      <c r="AW945" s="2010"/>
      <c r="AX945" s="2010"/>
      <c r="AY945" s="2010"/>
      <c r="AZ945" s="2010"/>
      <c r="BA945" s="2010"/>
      <c r="BB945" s="2010"/>
      <c r="BC945" s="2010"/>
      <c r="BD945" s="2010"/>
      <c r="BE945" s="2010"/>
      <c r="BF945" s="2010"/>
      <c r="BG945" s="2010"/>
      <c r="BH945" s="2010"/>
      <c r="BI945" s="2010"/>
      <c r="BJ945" s="2010"/>
      <c r="BK945" s="2010"/>
      <c r="BL945" s="2010"/>
      <c r="BM945" s="2010"/>
      <c r="BN945" s="2010"/>
      <c r="BO945" s="2010"/>
      <c r="BP945" s="2010"/>
      <c r="BQ945" s="2010"/>
      <c r="BR945" s="2010"/>
      <c r="BS945" s="2010"/>
      <c r="BT945" s="2010"/>
      <c r="BU945" s="2010"/>
      <c r="BV945" s="2010"/>
      <c r="BW945" s="2010"/>
      <c r="BX945" s="2010"/>
      <c r="BY945" s="2010"/>
      <c r="BZ945" s="2010"/>
      <c r="CA945" s="2010"/>
      <c r="CB945" s="2010"/>
      <c r="CC945" s="2010"/>
      <c r="CD945" s="2010"/>
      <c r="CE945" s="2010"/>
      <c r="CF945" s="2010"/>
      <c r="CG945" s="2010"/>
      <c r="CH945" s="2010"/>
      <c r="CI945" s="2010"/>
      <c r="CJ945" s="2010"/>
      <c r="CK945" s="2010"/>
      <c r="CL945" s="2010"/>
      <c r="CM945" s="2010"/>
      <c r="CN945" s="2010"/>
      <c r="CO945" s="2010"/>
      <c r="CP945" s="2010"/>
      <c r="CQ945" s="2010"/>
      <c r="CR945" s="2010"/>
      <c r="CS945" s="2010"/>
      <c r="CT945" s="2010"/>
      <c r="CU945" s="2010"/>
      <c r="CV945" s="2010"/>
      <c r="CW945" s="2010"/>
      <c r="CX945" s="2010"/>
      <c r="CY945" s="2010"/>
      <c r="CZ945" s="2010"/>
      <c r="DA945" s="2010"/>
      <c r="DB945" s="2010"/>
      <c r="DC945" s="2010"/>
      <c r="DD945" s="2010"/>
      <c r="DE945" s="2010"/>
    </row>
    <row r="946" spans="1:109" s="2014" customFormat="1" x14ac:dyDescent="0.2">
      <c r="A946" s="2013"/>
      <c r="B946" s="2013"/>
      <c r="C946" s="2013"/>
      <c r="D946" s="2013"/>
      <c r="AB946" s="2010"/>
      <c r="AU946" s="2010"/>
      <c r="AV946" s="2010"/>
      <c r="AW946" s="2010"/>
      <c r="AX946" s="2010"/>
      <c r="AY946" s="2010"/>
      <c r="AZ946" s="2010"/>
      <c r="BA946" s="2010"/>
      <c r="BB946" s="2010"/>
      <c r="BC946" s="2010"/>
      <c r="BD946" s="2010"/>
      <c r="BE946" s="2010"/>
      <c r="BF946" s="2010"/>
      <c r="BG946" s="2010"/>
      <c r="BH946" s="2010"/>
      <c r="BI946" s="2010"/>
      <c r="BJ946" s="2010"/>
      <c r="BK946" s="2010"/>
      <c r="BL946" s="2010"/>
      <c r="BM946" s="2010"/>
      <c r="BN946" s="2010"/>
      <c r="BO946" s="2010"/>
      <c r="BP946" s="2010"/>
      <c r="BQ946" s="2010"/>
      <c r="BR946" s="2010"/>
      <c r="BS946" s="2010"/>
      <c r="BT946" s="2010"/>
      <c r="BU946" s="2010"/>
      <c r="BV946" s="2010"/>
      <c r="BW946" s="2010"/>
      <c r="BX946" s="2010"/>
      <c r="BY946" s="2010"/>
      <c r="BZ946" s="2010"/>
      <c r="CA946" s="2010"/>
      <c r="CB946" s="2010"/>
      <c r="CC946" s="2010"/>
      <c r="CD946" s="2010"/>
      <c r="CE946" s="2010"/>
      <c r="CF946" s="2010"/>
      <c r="CG946" s="2010"/>
      <c r="CH946" s="2010"/>
      <c r="CI946" s="2010"/>
      <c r="CJ946" s="2010"/>
      <c r="CK946" s="2010"/>
      <c r="CL946" s="2010"/>
      <c r="CM946" s="2010"/>
      <c r="CN946" s="2010"/>
      <c r="CO946" s="2010"/>
      <c r="CP946" s="2010"/>
      <c r="CQ946" s="2010"/>
      <c r="CR946" s="2010"/>
      <c r="CS946" s="2010"/>
      <c r="CT946" s="2010"/>
      <c r="CU946" s="2010"/>
      <c r="CV946" s="2010"/>
      <c r="CW946" s="2010"/>
      <c r="CX946" s="2010"/>
      <c r="CY946" s="2010"/>
      <c r="CZ946" s="2010"/>
      <c r="DA946" s="2010"/>
      <c r="DB946" s="2010"/>
      <c r="DC946" s="2010"/>
      <c r="DD946" s="2010"/>
      <c r="DE946" s="2010"/>
    </row>
    <row r="947" spans="1:109" s="2014" customFormat="1" x14ac:dyDescent="0.2">
      <c r="A947" s="2013"/>
      <c r="B947" s="2013"/>
      <c r="C947" s="2013"/>
      <c r="D947" s="2013"/>
      <c r="AB947" s="2010"/>
      <c r="AU947" s="2010"/>
      <c r="AV947" s="2010"/>
      <c r="AW947" s="2010"/>
      <c r="AX947" s="2010"/>
      <c r="AY947" s="2010"/>
      <c r="AZ947" s="2010"/>
      <c r="BA947" s="2010"/>
      <c r="BB947" s="2010"/>
      <c r="BC947" s="2010"/>
      <c r="BD947" s="2010"/>
      <c r="BE947" s="2010"/>
      <c r="BF947" s="2010"/>
      <c r="BG947" s="2010"/>
      <c r="BH947" s="2010"/>
      <c r="BI947" s="2010"/>
      <c r="BJ947" s="2010"/>
      <c r="BK947" s="2010"/>
      <c r="BL947" s="2010"/>
      <c r="BM947" s="2010"/>
      <c r="BN947" s="2010"/>
      <c r="BO947" s="2010"/>
      <c r="BP947" s="2010"/>
      <c r="BQ947" s="2010"/>
      <c r="BR947" s="2010"/>
      <c r="BS947" s="2010"/>
      <c r="BT947" s="2010"/>
      <c r="BU947" s="2010"/>
      <c r="BV947" s="2010"/>
      <c r="BW947" s="2010"/>
      <c r="BX947" s="2010"/>
      <c r="BY947" s="2010"/>
      <c r="BZ947" s="2010"/>
      <c r="CA947" s="2010"/>
      <c r="CB947" s="2010"/>
      <c r="CC947" s="2010"/>
      <c r="CD947" s="2010"/>
      <c r="CE947" s="2010"/>
      <c r="CF947" s="2010"/>
      <c r="CG947" s="2010"/>
      <c r="CH947" s="2010"/>
      <c r="CI947" s="2010"/>
      <c r="CJ947" s="2010"/>
      <c r="CK947" s="2010"/>
      <c r="CL947" s="2010"/>
      <c r="CM947" s="2010"/>
      <c r="CN947" s="2010"/>
      <c r="CO947" s="2010"/>
      <c r="CP947" s="2010"/>
      <c r="CQ947" s="2010"/>
      <c r="CR947" s="2010"/>
      <c r="CS947" s="2010"/>
      <c r="CT947" s="2010"/>
      <c r="CU947" s="2010"/>
      <c r="CV947" s="2010"/>
      <c r="CW947" s="2010"/>
      <c r="CX947" s="2010"/>
      <c r="CY947" s="2010"/>
      <c r="CZ947" s="2010"/>
      <c r="DA947" s="2010"/>
      <c r="DB947" s="2010"/>
      <c r="DC947" s="2010"/>
      <c r="DD947" s="2010"/>
      <c r="DE947" s="2010"/>
    </row>
    <row r="948" spans="1:109" s="2014" customFormat="1" x14ac:dyDescent="0.2">
      <c r="A948" s="2013"/>
      <c r="B948" s="2013"/>
      <c r="C948" s="2013"/>
      <c r="D948" s="2013"/>
      <c r="AB948" s="2010"/>
      <c r="AU948" s="2010"/>
      <c r="AV948" s="2010"/>
      <c r="AW948" s="2010"/>
      <c r="AX948" s="2010"/>
      <c r="AY948" s="2010"/>
      <c r="AZ948" s="2010"/>
      <c r="BA948" s="2010"/>
      <c r="BB948" s="2010"/>
      <c r="BC948" s="2010"/>
      <c r="BD948" s="2010"/>
      <c r="BE948" s="2010"/>
      <c r="BF948" s="2010"/>
      <c r="BG948" s="2010"/>
      <c r="BH948" s="2010"/>
      <c r="BI948" s="2010"/>
      <c r="BJ948" s="2010"/>
      <c r="BK948" s="2010"/>
      <c r="BL948" s="2010"/>
      <c r="BM948" s="2010"/>
      <c r="BN948" s="2010"/>
      <c r="BO948" s="2010"/>
      <c r="BP948" s="2010"/>
      <c r="BQ948" s="2010"/>
      <c r="BR948" s="2010"/>
      <c r="BS948" s="2010"/>
      <c r="BT948" s="2010"/>
      <c r="BU948" s="2010"/>
      <c r="BV948" s="2010"/>
      <c r="BW948" s="2010"/>
      <c r="BX948" s="2010"/>
      <c r="BY948" s="2010"/>
      <c r="BZ948" s="2010"/>
      <c r="CA948" s="2010"/>
      <c r="CB948" s="2010"/>
      <c r="CC948" s="2010"/>
      <c r="CD948" s="2010"/>
      <c r="CE948" s="2010"/>
      <c r="CF948" s="2010"/>
      <c r="CG948" s="2010"/>
      <c r="CH948" s="2010"/>
      <c r="CI948" s="2010"/>
      <c r="CJ948" s="2010"/>
      <c r="CK948" s="2010"/>
      <c r="CL948" s="2010"/>
      <c r="CM948" s="2010"/>
      <c r="CN948" s="2010"/>
      <c r="CO948" s="2010"/>
      <c r="CP948" s="2010"/>
      <c r="CQ948" s="2010"/>
      <c r="CR948" s="2010"/>
      <c r="CS948" s="2010"/>
      <c r="CT948" s="2010"/>
      <c r="CU948" s="2010"/>
      <c r="CV948" s="2010"/>
      <c r="CW948" s="2010"/>
      <c r="CX948" s="2010"/>
      <c r="CY948" s="2010"/>
      <c r="CZ948" s="2010"/>
      <c r="DA948" s="2010"/>
      <c r="DB948" s="2010"/>
      <c r="DC948" s="2010"/>
      <c r="DD948" s="2010"/>
      <c r="DE948" s="2010"/>
    </row>
    <row r="949" spans="1:109" s="2014" customFormat="1" x14ac:dyDescent="0.2">
      <c r="A949" s="2013"/>
      <c r="B949" s="2013"/>
      <c r="C949" s="2013"/>
      <c r="D949" s="2013"/>
      <c r="AB949" s="2010"/>
      <c r="AU949" s="2010"/>
      <c r="AV949" s="2010"/>
      <c r="AW949" s="2010"/>
      <c r="AX949" s="2010"/>
      <c r="AY949" s="2010"/>
      <c r="AZ949" s="2010"/>
      <c r="BA949" s="2010"/>
      <c r="BB949" s="2010"/>
      <c r="BC949" s="2010"/>
      <c r="BD949" s="2010"/>
      <c r="BE949" s="2010"/>
      <c r="BF949" s="2010"/>
      <c r="BG949" s="2010"/>
      <c r="BH949" s="2010"/>
      <c r="BI949" s="2010"/>
      <c r="BJ949" s="2010"/>
      <c r="BK949" s="2010"/>
      <c r="BL949" s="2010"/>
      <c r="BM949" s="2010"/>
      <c r="BN949" s="2010"/>
      <c r="BO949" s="2010"/>
      <c r="BP949" s="2010"/>
      <c r="BQ949" s="2010"/>
      <c r="BR949" s="2010"/>
      <c r="BS949" s="2010"/>
      <c r="BT949" s="2010"/>
      <c r="BU949" s="2010"/>
      <c r="BV949" s="2010"/>
      <c r="BW949" s="2010"/>
      <c r="BX949" s="2010"/>
      <c r="BY949" s="2010"/>
      <c r="BZ949" s="2010"/>
      <c r="CA949" s="2010"/>
      <c r="CB949" s="2010"/>
      <c r="CC949" s="2010"/>
      <c r="CD949" s="2010"/>
      <c r="CE949" s="2010"/>
      <c r="CF949" s="2010"/>
      <c r="CG949" s="2010"/>
      <c r="CH949" s="2010"/>
      <c r="CI949" s="2010"/>
      <c r="CJ949" s="2010"/>
      <c r="CK949" s="2010"/>
      <c r="CL949" s="2010"/>
      <c r="CM949" s="2010"/>
      <c r="CN949" s="2010"/>
      <c r="CO949" s="2010"/>
      <c r="CP949" s="2010"/>
      <c r="CQ949" s="2010"/>
      <c r="CR949" s="2010"/>
      <c r="CS949" s="2010"/>
      <c r="CT949" s="2010"/>
      <c r="CU949" s="2010"/>
      <c r="CV949" s="2010"/>
      <c r="CW949" s="2010"/>
      <c r="CX949" s="2010"/>
      <c r="CY949" s="2010"/>
      <c r="CZ949" s="2010"/>
      <c r="DA949" s="2010"/>
      <c r="DB949" s="2010"/>
      <c r="DC949" s="2010"/>
      <c r="DD949" s="2010"/>
      <c r="DE949" s="2010"/>
    </row>
    <row r="950" spans="1:109" s="2014" customFormat="1" x14ac:dyDescent="0.2">
      <c r="A950" s="2013"/>
      <c r="B950" s="2013"/>
      <c r="C950" s="2013"/>
      <c r="D950" s="2013"/>
      <c r="AB950" s="2010"/>
      <c r="AU950" s="2010"/>
      <c r="AV950" s="2010"/>
      <c r="AW950" s="2010"/>
      <c r="AX950" s="2010"/>
      <c r="AY950" s="2010"/>
      <c r="AZ950" s="2010"/>
      <c r="BA950" s="2010"/>
      <c r="BB950" s="2010"/>
      <c r="BC950" s="2010"/>
      <c r="BD950" s="2010"/>
      <c r="BE950" s="2010"/>
      <c r="BF950" s="2010"/>
      <c r="BG950" s="2010"/>
      <c r="BH950" s="2010"/>
      <c r="BI950" s="2010"/>
      <c r="BJ950" s="2010"/>
      <c r="BK950" s="2010"/>
      <c r="BL950" s="2010"/>
      <c r="BM950" s="2010"/>
      <c r="BN950" s="2010"/>
      <c r="BO950" s="2010"/>
      <c r="BP950" s="2010"/>
      <c r="BQ950" s="2010"/>
      <c r="BR950" s="2010"/>
      <c r="BS950" s="2010"/>
      <c r="BT950" s="2010"/>
      <c r="BU950" s="2010"/>
      <c r="BV950" s="2010"/>
      <c r="BW950" s="2010"/>
      <c r="BX950" s="2010"/>
      <c r="BY950" s="2010"/>
      <c r="BZ950" s="2010"/>
      <c r="CA950" s="2010"/>
      <c r="CB950" s="2010"/>
      <c r="CC950" s="2010"/>
      <c r="CD950" s="2010"/>
      <c r="CE950" s="2010"/>
      <c r="CF950" s="2010"/>
      <c r="CG950" s="2010"/>
      <c r="CH950" s="2010"/>
      <c r="CI950" s="2010"/>
      <c r="CJ950" s="2010"/>
      <c r="CK950" s="2010"/>
      <c r="CL950" s="2010"/>
      <c r="CM950" s="2010"/>
      <c r="CN950" s="2010"/>
      <c r="CO950" s="2010"/>
      <c r="CP950" s="2010"/>
      <c r="CQ950" s="2010"/>
      <c r="CR950" s="2010"/>
      <c r="CS950" s="2010"/>
      <c r="CT950" s="2010"/>
      <c r="CU950" s="2010"/>
      <c r="CV950" s="2010"/>
      <c r="CW950" s="2010"/>
      <c r="CX950" s="2010"/>
      <c r="CY950" s="2010"/>
      <c r="CZ950" s="2010"/>
      <c r="DA950" s="2010"/>
      <c r="DB950" s="2010"/>
      <c r="DC950" s="2010"/>
      <c r="DD950" s="2010"/>
      <c r="DE950" s="2010"/>
    </row>
    <row r="951" spans="1:109" s="2014" customFormat="1" x14ac:dyDescent="0.2">
      <c r="A951" s="2013"/>
      <c r="B951" s="2013"/>
      <c r="C951" s="2013"/>
      <c r="D951" s="2013"/>
      <c r="AB951" s="2010"/>
      <c r="AU951" s="2010"/>
      <c r="AV951" s="2010"/>
      <c r="AW951" s="2010"/>
      <c r="AX951" s="2010"/>
      <c r="AY951" s="2010"/>
      <c r="AZ951" s="2010"/>
      <c r="BA951" s="2010"/>
      <c r="BB951" s="2010"/>
      <c r="BC951" s="2010"/>
      <c r="BD951" s="2010"/>
      <c r="BE951" s="2010"/>
      <c r="BF951" s="2010"/>
      <c r="BG951" s="2010"/>
      <c r="BH951" s="2010"/>
      <c r="BI951" s="2010"/>
      <c r="BJ951" s="2010"/>
      <c r="BK951" s="2010"/>
      <c r="BL951" s="2010"/>
      <c r="BM951" s="2010"/>
      <c r="BN951" s="2010"/>
      <c r="BO951" s="2010"/>
      <c r="BP951" s="2010"/>
      <c r="BQ951" s="2010"/>
      <c r="BR951" s="2010"/>
      <c r="BS951" s="2010"/>
      <c r="BT951" s="2010"/>
      <c r="BU951" s="2010"/>
      <c r="BV951" s="2010"/>
      <c r="BW951" s="2010"/>
      <c r="BX951" s="2010"/>
      <c r="BY951" s="2010"/>
      <c r="BZ951" s="2010"/>
      <c r="CA951" s="2010"/>
      <c r="CB951" s="2010"/>
      <c r="CC951" s="2010"/>
      <c r="CD951" s="2010"/>
      <c r="CE951" s="2010"/>
      <c r="CF951" s="2010"/>
      <c r="CG951" s="2010"/>
      <c r="CH951" s="2010"/>
      <c r="CI951" s="2010"/>
      <c r="CJ951" s="2010"/>
      <c r="CK951" s="2010"/>
      <c r="CL951" s="2010"/>
      <c r="CM951" s="2010"/>
      <c r="CN951" s="2010"/>
      <c r="CO951" s="2010"/>
      <c r="CP951" s="2010"/>
      <c r="CQ951" s="2010"/>
      <c r="CR951" s="2010"/>
      <c r="CS951" s="2010"/>
      <c r="CT951" s="2010"/>
      <c r="CU951" s="2010"/>
      <c r="CV951" s="2010"/>
      <c r="CW951" s="2010"/>
      <c r="CX951" s="2010"/>
      <c r="CY951" s="2010"/>
      <c r="CZ951" s="2010"/>
      <c r="DA951" s="2010"/>
      <c r="DB951" s="2010"/>
      <c r="DC951" s="2010"/>
      <c r="DD951" s="2010"/>
      <c r="DE951" s="2010"/>
    </row>
    <row r="952" spans="1:109" s="2014" customFormat="1" x14ac:dyDescent="0.2">
      <c r="A952" s="2013"/>
      <c r="B952" s="2013"/>
      <c r="C952" s="2013"/>
      <c r="D952" s="2013"/>
      <c r="AB952" s="2010"/>
      <c r="AU952" s="2010"/>
      <c r="AV952" s="2010"/>
      <c r="AW952" s="2010"/>
      <c r="AX952" s="2010"/>
      <c r="AY952" s="2010"/>
      <c r="AZ952" s="2010"/>
      <c r="BA952" s="2010"/>
      <c r="BB952" s="2010"/>
      <c r="BC952" s="2010"/>
      <c r="BD952" s="2010"/>
      <c r="BE952" s="2010"/>
      <c r="BF952" s="2010"/>
      <c r="BG952" s="2010"/>
      <c r="BH952" s="2010"/>
      <c r="BI952" s="2010"/>
      <c r="BJ952" s="2010"/>
      <c r="BK952" s="2010"/>
      <c r="BL952" s="2010"/>
      <c r="BM952" s="2010"/>
      <c r="BN952" s="2010"/>
      <c r="BO952" s="2010"/>
      <c r="BP952" s="2010"/>
      <c r="BQ952" s="2010"/>
      <c r="BR952" s="2010"/>
      <c r="BS952" s="2010"/>
      <c r="BT952" s="2010"/>
      <c r="BU952" s="2010"/>
      <c r="BV952" s="2010"/>
      <c r="BW952" s="2010"/>
      <c r="BX952" s="2010"/>
      <c r="BY952" s="2010"/>
      <c r="BZ952" s="2010"/>
      <c r="CA952" s="2010"/>
      <c r="CB952" s="2010"/>
      <c r="CC952" s="2010"/>
      <c r="CD952" s="2010"/>
      <c r="CE952" s="2010"/>
      <c r="CF952" s="2010"/>
      <c r="CG952" s="2010"/>
      <c r="CH952" s="2010"/>
      <c r="CI952" s="2010"/>
      <c r="CJ952" s="2010"/>
      <c r="CK952" s="2010"/>
      <c r="CL952" s="2010"/>
      <c r="CM952" s="2010"/>
      <c r="CN952" s="2010"/>
      <c r="CO952" s="2010"/>
      <c r="CP952" s="2010"/>
      <c r="CQ952" s="2010"/>
      <c r="CR952" s="2010"/>
      <c r="CS952" s="2010"/>
      <c r="CT952" s="2010"/>
      <c r="CU952" s="2010"/>
      <c r="CV952" s="2010"/>
      <c r="CW952" s="2010"/>
      <c r="CX952" s="2010"/>
      <c r="CY952" s="2010"/>
      <c r="CZ952" s="2010"/>
      <c r="DA952" s="2010"/>
      <c r="DB952" s="2010"/>
      <c r="DC952" s="2010"/>
      <c r="DD952" s="2010"/>
      <c r="DE952" s="2010"/>
    </row>
    <row r="953" spans="1:109" s="2014" customFormat="1" x14ac:dyDescent="0.2">
      <c r="A953" s="2013"/>
      <c r="B953" s="2013"/>
      <c r="C953" s="2013"/>
      <c r="D953" s="2013"/>
      <c r="AB953" s="2010"/>
      <c r="AU953" s="2010"/>
      <c r="AV953" s="2010"/>
      <c r="AW953" s="2010"/>
      <c r="AX953" s="2010"/>
      <c r="AY953" s="2010"/>
      <c r="AZ953" s="2010"/>
      <c r="BA953" s="2010"/>
      <c r="BB953" s="2010"/>
      <c r="BC953" s="2010"/>
      <c r="BD953" s="2010"/>
      <c r="BE953" s="2010"/>
      <c r="BF953" s="2010"/>
      <c r="BG953" s="2010"/>
      <c r="BH953" s="2010"/>
      <c r="BI953" s="2010"/>
      <c r="BJ953" s="2010"/>
      <c r="BK953" s="2010"/>
      <c r="BL953" s="2010"/>
      <c r="BM953" s="2010"/>
      <c r="BN953" s="2010"/>
      <c r="BO953" s="2010"/>
      <c r="BP953" s="2010"/>
      <c r="BQ953" s="2010"/>
      <c r="BR953" s="2010"/>
      <c r="BS953" s="2010"/>
      <c r="BT953" s="2010"/>
      <c r="BU953" s="2010"/>
      <c r="BV953" s="2010"/>
      <c r="BW953" s="2010"/>
      <c r="BX953" s="2010"/>
      <c r="BY953" s="2010"/>
      <c r="BZ953" s="2010"/>
      <c r="CA953" s="2010"/>
      <c r="CB953" s="2010"/>
      <c r="CC953" s="2010"/>
      <c r="CD953" s="2010"/>
      <c r="CE953" s="2010"/>
      <c r="CF953" s="2010"/>
      <c r="CG953" s="2010"/>
      <c r="CH953" s="2010"/>
      <c r="CI953" s="2010"/>
      <c r="CJ953" s="2010"/>
      <c r="CK953" s="2010"/>
      <c r="CL953" s="2010"/>
      <c r="CM953" s="2010"/>
      <c r="CN953" s="2010"/>
      <c r="CO953" s="2010"/>
      <c r="CP953" s="2010"/>
      <c r="CQ953" s="2010"/>
      <c r="CR953" s="2010"/>
      <c r="CS953" s="2010"/>
      <c r="CT953" s="2010"/>
      <c r="CU953" s="2010"/>
      <c r="CV953" s="2010"/>
      <c r="CW953" s="2010"/>
      <c r="CX953" s="2010"/>
      <c r="CY953" s="2010"/>
      <c r="CZ953" s="2010"/>
      <c r="DA953" s="2010"/>
      <c r="DB953" s="2010"/>
      <c r="DC953" s="2010"/>
      <c r="DD953" s="2010"/>
      <c r="DE953" s="2010"/>
    </row>
    <row r="954" spans="1:109" s="2014" customFormat="1" x14ac:dyDescent="0.2">
      <c r="A954" s="2013"/>
      <c r="B954" s="2013"/>
      <c r="C954" s="2013"/>
      <c r="D954" s="2013"/>
      <c r="AB954" s="2010"/>
      <c r="AU954" s="2010"/>
      <c r="AV954" s="2010"/>
      <c r="AW954" s="2010"/>
      <c r="AX954" s="2010"/>
      <c r="AY954" s="2010"/>
      <c r="AZ954" s="2010"/>
      <c r="BA954" s="2010"/>
      <c r="BB954" s="2010"/>
      <c r="BC954" s="2010"/>
      <c r="BD954" s="2010"/>
      <c r="BE954" s="2010"/>
      <c r="BF954" s="2010"/>
      <c r="BG954" s="2010"/>
      <c r="BH954" s="2010"/>
      <c r="BI954" s="2010"/>
      <c r="BJ954" s="2010"/>
      <c r="BK954" s="2010"/>
      <c r="BL954" s="2010"/>
      <c r="BM954" s="2010"/>
      <c r="BN954" s="2010"/>
      <c r="BO954" s="2010"/>
      <c r="BP954" s="2010"/>
      <c r="BQ954" s="2010"/>
      <c r="BR954" s="2010"/>
      <c r="BS954" s="2010"/>
      <c r="BT954" s="2010"/>
      <c r="BU954" s="2010"/>
      <c r="BV954" s="2010"/>
      <c r="BW954" s="2010"/>
      <c r="BX954" s="2010"/>
      <c r="BY954" s="2010"/>
      <c r="BZ954" s="2010"/>
      <c r="CA954" s="2010"/>
      <c r="CB954" s="2010"/>
      <c r="CC954" s="2010"/>
      <c r="CD954" s="2010"/>
      <c r="CE954" s="2010"/>
      <c r="CF954" s="2010"/>
      <c r="CG954" s="2010"/>
      <c r="CH954" s="2010"/>
      <c r="CI954" s="2010"/>
      <c r="CJ954" s="2010"/>
      <c r="CK954" s="2010"/>
      <c r="CL954" s="2010"/>
      <c r="CM954" s="2010"/>
      <c r="CN954" s="2010"/>
      <c r="CO954" s="2010"/>
      <c r="CP954" s="2010"/>
      <c r="CQ954" s="2010"/>
      <c r="CR954" s="2010"/>
      <c r="CS954" s="2010"/>
      <c r="CT954" s="2010"/>
      <c r="CU954" s="2010"/>
      <c r="CV954" s="2010"/>
      <c r="CW954" s="2010"/>
      <c r="CX954" s="2010"/>
      <c r="CY954" s="2010"/>
      <c r="CZ954" s="2010"/>
      <c r="DA954" s="2010"/>
      <c r="DB954" s="2010"/>
      <c r="DC954" s="2010"/>
      <c r="DD954" s="2010"/>
      <c r="DE954" s="2010"/>
    </row>
    <row r="955" spans="1:109" s="2014" customFormat="1" x14ac:dyDescent="0.2">
      <c r="A955" s="2013"/>
      <c r="B955" s="2013"/>
      <c r="C955" s="2013"/>
      <c r="D955" s="2013"/>
      <c r="AB955" s="2010"/>
      <c r="AU955" s="2010"/>
      <c r="AV955" s="2010"/>
      <c r="AW955" s="2010"/>
      <c r="AX955" s="2010"/>
      <c r="AY955" s="2010"/>
      <c r="AZ955" s="2010"/>
      <c r="BA955" s="2010"/>
      <c r="BB955" s="2010"/>
      <c r="BC955" s="2010"/>
      <c r="BD955" s="2010"/>
      <c r="BE955" s="2010"/>
      <c r="BF955" s="2010"/>
      <c r="BG955" s="2010"/>
      <c r="BH955" s="2010"/>
      <c r="BI955" s="2010"/>
      <c r="BJ955" s="2010"/>
      <c r="BK955" s="2010"/>
      <c r="BL955" s="2010"/>
      <c r="BM955" s="2010"/>
      <c r="BN955" s="2010"/>
      <c r="BO955" s="2010"/>
      <c r="BP955" s="2010"/>
      <c r="BQ955" s="2010"/>
      <c r="BR955" s="2010"/>
      <c r="BS955" s="2010"/>
      <c r="BT955" s="2010"/>
      <c r="BU955" s="2010"/>
      <c r="BV955" s="2010"/>
      <c r="BW955" s="2010"/>
      <c r="BX955" s="2010"/>
      <c r="BY955" s="2010"/>
      <c r="BZ955" s="2010"/>
      <c r="CA955" s="2010"/>
      <c r="CB955" s="2010"/>
      <c r="CC955" s="2010"/>
      <c r="CD955" s="2010"/>
      <c r="CE955" s="2010"/>
      <c r="CF955" s="2010"/>
      <c r="CG955" s="2010"/>
      <c r="CH955" s="2010"/>
      <c r="CI955" s="2010"/>
      <c r="CJ955" s="2010"/>
      <c r="CK955" s="2010"/>
      <c r="CL955" s="2010"/>
      <c r="CM955" s="2010"/>
      <c r="CN955" s="2010"/>
      <c r="CO955" s="2010"/>
      <c r="CP955" s="2010"/>
      <c r="CQ955" s="2010"/>
      <c r="CR955" s="2010"/>
      <c r="CS955" s="2010"/>
      <c r="CT955" s="2010"/>
      <c r="CU955" s="2010"/>
      <c r="CV955" s="2010"/>
      <c r="CW955" s="2010"/>
      <c r="CX955" s="2010"/>
      <c r="CY955" s="2010"/>
      <c r="CZ955" s="2010"/>
      <c r="DA955" s="2010"/>
      <c r="DB955" s="2010"/>
      <c r="DC955" s="2010"/>
      <c r="DD955" s="2010"/>
      <c r="DE955" s="2010"/>
    </row>
    <row r="956" spans="1:109" s="2014" customFormat="1" x14ac:dyDescent="0.2">
      <c r="A956" s="2013"/>
      <c r="B956" s="2013"/>
      <c r="C956" s="2013"/>
      <c r="D956" s="2013"/>
      <c r="AB956" s="2010"/>
      <c r="AU956" s="2010"/>
      <c r="AV956" s="2010"/>
      <c r="AW956" s="2010"/>
      <c r="AX956" s="2010"/>
      <c r="AY956" s="2010"/>
      <c r="AZ956" s="2010"/>
      <c r="BA956" s="2010"/>
      <c r="BB956" s="2010"/>
      <c r="BC956" s="2010"/>
      <c r="BD956" s="2010"/>
      <c r="BE956" s="2010"/>
      <c r="BF956" s="2010"/>
      <c r="BG956" s="2010"/>
      <c r="BH956" s="2010"/>
      <c r="BI956" s="2010"/>
      <c r="BJ956" s="2010"/>
      <c r="BK956" s="2010"/>
      <c r="BL956" s="2010"/>
      <c r="BM956" s="2010"/>
      <c r="BN956" s="2010"/>
      <c r="BO956" s="2010"/>
      <c r="BP956" s="2010"/>
      <c r="BQ956" s="2010"/>
      <c r="BR956" s="2010"/>
      <c r="BS956" s="2010"/>
      <c r="BT956" s="2010"/>
      <c r="BU956" s="2010"/>
      <c r="BV956" s="2010"/>
      <c r="BW956" s="2010"/>
      <c r="BX956" s="2010"/>
      <c r="BY956" s="2010"/>
      <c r="BZ956" s="2010"/>
      <c r="CA956" s="2010"/>
      <c r="CB956" s="2010"/>
      <c r="CC956" s="2010"/>
      <c r="CD956" s="2010"/>
      <c r="CE956" s="2010"/>
      <c r="CF956" s="2010"/>
      <c r="CG956" s="2010"/>
      <c r="CH956" s="2010"/>
      <c r="CI956" s="2010"/>
      <c r="CJ956" s="2010"/>
      <c r="CK956" s="2010"/>
      <c r="CL956" s="2010"/>
      <c r="CM956" s="2010"/>
      <c r="CN956" s="2010"/>
      <c r="CO956" s="2010"/>
      <c r="CP956" s="2010"/>
      <c r="CQ956" s="2010"/>
      <c r="CR956" s="2010"/>
      <c r="CS956" s="2010"/>
      <c r="CT956" s="2010"/>
      <c r="CU956" s="2010"/>
      <c r="CV956" s="2010"/>
      <c r="CW956" s="2010"/>
      <c r="CX956" s="2010"/>
      <c r="CY956" s="2010"/>
      <c r="CZ956" s="2010"/>
      <c r="DA956" s="2010"/>
      <c r="DB956" s="2010"/>
      <c r="DC956" s="2010"/>
      <c r="DD956" s="2010"/>
      <c r="DE956" s="2010"/>
    </row>
    <row r="957" spans="1:109" s="2014" customFormat="1" x14ac:dyDescent="0.2">
      <c r="A957" s="2013"/>
      <c r="B957" s="2013"/>
      <c r="C957" s="2013"/>
      <c r="D957" s="2013"/>
      <c r="AB957" s="2010"/>
      <c r="AU957" s="2010"/>
      <c r="AV957" s="2010"/>
      <c r="AW957" s="2010"/>
      <c r="AX957" s="2010"/>
      <c r="AY957" s="2010"/>
      <c r="AZ957" s="2010"/>
      <c r="BA957" s="2010"/>
      <c r="BB957" s="2010"/>
      <c r="BC957" s="2010"/>
      <c r="BD957" s="2010"/>
      <c r="BE957" s="2010"/>
      <c r="BF957" s="2010"/>
      <c r="BG957" s="2010"/>
      <c r="BH957" s="2010"/>
      <c r="BI957" s="2010"/>
      <c r="BJ957" s="2010"/>
      <c r="BK957" s="2010"/>
      <c r="BL957" s="2010"/>
      <c r="BM957" s="2010"/>
      <c r="BN957" s="2010"/>
      <c r="BO957" s="2010"/>
      <c r="BP957" s="2010"/>
      <c r="BQ957" s="2010"/>
      <c r="BR957" s="2010"/>
      <c r="BS957" s="2010"/>
      <c r="BT957" s="2010"/>
      <c r="BU957" s="2010"/>
      <c r="BV957" s="2010"/>
      <c r="BW957" s="2010"/>
      <c r="BX957" s="2010"/>
      <c r="BY957" s="2010"/>
      <c r="BZ957" s="2010"/>
      <c r="CA957" s="2010"/>
      <c r="CB957" s="2010"/>
      <c r="CC957" s="2010"/>
      <c r="CD957" s="2010"/>
      <c r="CE957" s="2010"/>
      <c r="CF957" s="2010"/>
      <c r="CG957" s="2010"/>
      <c r="CH957" s="2010"/>
      <c r="CI957" s="2010"/>
      <c r="CJ957" s="2010"/>
      <c r="CK957" s="2010"/>
      <c r="CL957" s="2010"/>
      <c r="CM957" s="2010"/>
      <c r="CN957" s="2010"/>
      <c r="CO957" s="2010"/>
      <c r="CP957" s="2010"/>
      <c r="CQ957" s="2010"/>
      <c r="CR957" s="2010"/>
      <c r="CS957" s="2010"/>
      <c r="CT957" s="2010"/>
      <c r="CU957" s="2010"/>
      <c r="CV957" s="2010"/>
      <c r="CW957" s="2010"/>
      <c r="CX957" s="2010"/>
      <c r="CY957" s="2010"/>
      <c r="CZ957" s="2010"/>
      <c r="DA957" s="2010"/>
      <c r="DB957" s="2010"/>
      <c r="DC957" s="2010"/>
      <c r="DD957" s="2010"/>
      <c r="DE957" s="2010"/>
    </row>
    <row r="958" spans="1:109" s="2014" customFormat="1" x14ac:dyDescent="0.2">
      <c r="A958" s="2013"/>
      <c r="B958" s="2013"/>
      <c r="C958" s="2013"/>
      <c r="D958" s="2013"/>
      <c r="AB958" s="2010"/>
      <c r="AU958" s="2010"/>
      <c r="AV958" s="2010"/>
      <c r="AW958" s="2010"/>
      <c r="AX958" s="2010"/>
      <c r="AY958" s="2010"/>
      <c r="AZ958" s="2010"/>
      <c r="BA958" s="2010"/>
      <c r="BB958" s="2010"/>
      <c r="BC958" s="2010"/>
      <c r="BD958" s="2010"/>
      <c r="BE958" s="2010"/>
      <c r="BF958" s="2010"/>
      <c r="BG958" s="2010"/>
      <c r="BH958" s="2010"/>
      <c r="BI958" s="2010"/>
      <c r="BJ958" s="2010"/>
      <c r="BK958" s="2010"/>
      <c r="BL958" s="2010"/>
      <c r="BM958" s="2010"/>
      <c r="BN958" s="2010"/>
      <c r="BO958" s="2010"/>
      <c r="BP958" s="2010"/>
      <c r="BQ958" s="2010"/>
      <c r="BR958" s="2010"/>
      <c r="BS958" s="2010"/>
      <c r="BT958" s="2010"/>
      <c r="BU958" s="2010"/>
      <c r="BV958" s="2010"/>
      <c r="BW958" s="2010"/>
      <c r="BX958" s="2010"/>
      <c r="BY958" s="2010"/>
      <c r="BZ958" s="2010"/>
      <c r="CA958" s="2010"/>
      <c r="CB958" s="2010"/>
      <c r="CC958" s="2010"/>
      <c r="CD958" s="2010"/>
      <c r="CE958" s="2010"/>
      <c r="CF958" s="2010"/>
      <c r="CG958" s="2010"/>
      <c r="CH958" s="2010"/>
      <c r="CI958" s="2010"/>
      <c r="CJ958" s="2010"/>
      <c r="CK958" s="2010"/>
      <c r="CL958" s="2010"/>
      <c r="CM958" s="2010"/>
      <c r="CN958" s="2010"/>
      <c r="CO958" s="2010"/>
      <c r="CP958" s="2010"/>
      <c r="CQ958" s="2010"/>
      <c r="CR958" s="2010"/>
      <c r="CS958" s="2010"/>
      <c r="CT958" s="2010"/>
      <c r="CU958" s="2010"/>
      <c r="CV958" s="2010"/>
      <c r="CW958" s="2010"/>
      <c r="CX958" s="2010"/>
      <c r="CY958" s="2010"/>
      <c r="CZ958" s="2010"/>
      <c r="DA958" s="2010"/>
      <c r="DB958" s="2010"/>
      <c r="DC958" s="2010"/>
      <c r="DD958" s="2010"/>
      <c r="DE958" s="2010"/>
    </row>
    <row r="959" spans="1:109" s="2014" customFormat="1" x14ac:dyDescent="0.2">
      <c r="A959" s="2013"/>
      <c r="B959" s="2013"/>
      <c r="C959" s="2013"/>
      <c r="D959" s="2013"/>
      <c r="AB959" s="2010"/>
      <c r="AU959" s="2010"/>
      <c r="AV959" s="2010"/>
      <c r="AW959" s="2010"/>
      <c r="AX959" s="2010"/>
      <c r="AY959" s="2010"/>
      <c r="AZ959" s="2010"/>
      <c r="BA959" s="2010"/>
      <c r="BB959" s="2010"/>
      <c r="BC959" s="2010"/>
      <c r="BD959" s="2010"/>
      <c r="BE959" s="2010"/>
      <c r="BF959" s="2010"/>
      <c r="BG959" s="2010"/>
      <c r="BH959" s="2010"/>
      <c r="BI959" s="2010"/>
      <c r="BJ959" s="2010"/>
      <c r="BK959" s="2010"/>
      <c r="BL959" s="2010"/>
      <c r="BM959" s="2010"/>
      <c r="BN959" s="2010"/>
      <c r="BO959" s="2010"/>
      <c r="BP959" s="2010"/>
      <c r="BQ959" s="2010"/>
      <c r="BR959" s="2010"/>
      <c r="BS959" s="2010"/>
      <c r="BT959" s="2010"/>
      <c r="BU959" s="2010"/>
      <c r="BV959" s="2010"/>
      <c r="BW959" s="2010"/>
      <c r="BX959" s="2010"/>
      <c r="BY959" s="2010"/>
      <c r="BZ959" s="2010"/>
      <c r="CA959" s="2010"/>
      <c r="CB959" s="2010"/>
      <c r="CC959" s="2010"/>
      <c r="CD959" s="2010"/>
      <c r="CE959" s="2010"/>
      <c r="CF959" s="2010"/>
      <c r="CG959" s="2010"/>
      <c r="CH959" s="2010"/>
      <c r="CI959" s="2010"/>
      <c r="CJ959" s="2010"/>
      <c r="CK959" s="2010"/>
      <c r="CL959" s="2010"/>
      <c r="CM959" s="2010"/>
      <c r="CN959" s="2010"/>
      <c r="CO959" s="2010"/>
      <c r="CP959" s="2010"/>
      <c r="CQ959" s="2010"/>
      <c r="CR959" s="2010"/>
      <c r="CS959" s="2010"/>
      <c r="CT959" s="2010"/>
      <c r="CU959" s="2010"/>
      <c r="CV959" s="2010"/>
      <c r="CW959" s="2010"/>
      <c r="CX959" s="2010"/>
      <c r="CY959" s="2010"/>
      <c r="CZ959" s="2010"/>
      <c r="DA959" s="2010"/>
      <c r="DB959" s="2010"/>
      <c r="DC959" s="2010"/>
      <c r="DD959" s="2010"/>
      <c r="DE959" s="2010"/>
    </row>
    <row r="960" spans="1:109" s="2014" customFormat="1" x14ac:dyDescent="0.2">
      <c r="A960" s="2013"/>
      <c r="B960" s="2013"/>
      <c r="C960" s="2013"/>
      <c r="D960" s="2013"/>
      <c r="AB960" s="2010"/>
      <c r="AU960" s="2010"/>
      <c r="AV960" s="2010"/>
      <c r="AW960" s="2010"/>
      <c r="AX960" s="2010"/>
      <c r="AY960" s="2010"/>
      <c r="AZ960" s="2010"/>
      <c r="BA960" s="2010"/>
      <c r="BB960" s="2010"/>
      <c r="BC960" s="2010"/>
      <c r="BD960" s="2010"/>
      <c r="BE960" s="2010"/>
      <c r="BF960" s="2010"/>
      <c r="BG960" s="2010"/>
      <c r="BH960" s="2010"/>
      <c r="BI960" s="2010"/>
      <c r="BJ960" s="2010"/>
      <c r="BK960" s="2010"/>
      <c r="BL960" s="2010"/>
      <c r="BM960" s="2010"/>
      <c r="BN960" s="2010"/>
      <c r="BO960" s="2010"/>
      <c r="BP960" s="2010"/>
      <c r="BQ960" s="2010"/>
      <c r="BR960" s="2010"/>
      <c r="BS960" s="2010"/>
      <c r="BT960" s="2010"/>
      <c r="BU960" s="2010"/>
      <c r="BV960" s="2010"/>
      <c r="BW960" s="2010"/>
      <c r="BX960" s="2010"/>
      <c r="BY960" s="2010"/>
      <c r="BZ960" s="2010"/>
      <c r="CA960" s="2010"/>
      <c r="CB960" s="2010"/>
      <c r="CC960" s="2010"/>
      <c r="CD960" s="2010"/>
      <c r="CE960" s="2010"/>
      <c r="CF960" s="2010"/>
      <c r="CG960" s="2010"/>
      <c r="CH960" s="2010"/>
      <c r="CI960" s="2010"/>
      <c r="CJ960" s="2010"/>
      <c r="CK960" s="2010"/>
      <c r="CL960" s="2010"/>
      <c r="CM960" s="2010"/>
      <c r="CN960" s="2010"/>
      <c r="CO960" s="2010"/>
      <c r="CP960" s="2010"/>
      <c r="CQ960" s="2010"/>
      <c r="CR960" s="2010"/>
      <c r="CS960" s="2010"/>
      <c r="CT960" s="2010"/>
      <c r="CU960" s="2010"/>
      <c r="CV960" s="2010"/>
      <c r="CW960" s="2010"/>
      <c r="CX960" s="2010"/>
      <c r="CY960" s="2010"/>
      <c r="CZ960" s="2010"/>
      <c r="DA960" s="2010"/>
      <c r="DB960" s="2010"/>
      <c r="DC960" s="2010"/>
      <c r="DD960" s="2010"/>
      <c r="DE960" s="2010"/>
    </row>
    <row r="961" spans="1:109" s="2014" customFormat="1" x14ac:dyDescent="0.2">
      <c r="A961" s="2013"/>
      <c r="B961" s="2013"/>
      <c r="C961" s="2013"/>
      <c r="D961" s="2013"/>
      <c r="AB961" s="2010"/>
      <c r="AU961" s="2010"/>
      <c r="AV961" s="2010"/>
      <c r="AW961" s="2010"/>
      <c r="AX961" s="2010"/>
      <c r="AY961" s="2010"/>
      <c r="AZ961" s="2010"/>
      <c r="BA961" s="2010"/>
      <c r="BB961" s="2010"/>
      <c r="BC961" s="2010"/>
      <c r="BD961" s="2010"/>
      <c r="BE961" s="2010"/>
      <c r="BF961" s="2010"/>
      <c r="BG961" s="2010"/>
      <c r="BH961" s="2010"/>
      <c r="BI961" s="2010"/>
      <c r="BJ961" s="2010"/>
      <c r="BK961" s="2010"/>
      <c r="BL961" s="2010"/>
      <c r="BM961" s="2010"/>
      <c r="BN961" s="2010"/>
      <c r="BO961" s="2010"/>
      <c r="BP961" s="2010"/>
      <c r="BQ961" s="2010"/>
      <c r="BR961" s="2010"/>
      <c r="BS961" s="2010"/>
      <c r="BT961" s="2010"/>
      <c r="BU961" s="2010"/>
      <c r="BV961" s="2010"/>
      <c r="BW961" s="2010"/>
      <c r="BX961" s="2010"/>
      <c r="BY961" s="2010"/>
      <c r="BZ961" s="2010"/>
      <c r="CA961" s="2010"/>
      <c r="CB961" s="2010"/>
      <c r="CC961" s="2010"/>
      <c r="CD961" s="2010"/>
      <c r="CE961" s="2010"/>
      <c r="CF961" s="2010"/>
      <c r="CG961" s="2010"/>
      <c r="CH961" s="2010"/>
      <c r="CI961" s="2010"/>
      <c r="CJ961" s="2010"/>
      <c r="CK961" s="2010"/>
      <c r="CL961" s="2010"/>
      <c r="CM961" s="2010"/>
      <c r="CN961" s="2010"/>
      <c r="CO961" s="2010"/>
      <c r="CP961" s="2010"/>
      <c r="CQ961" s="2010"/>
      <c r="CR961" s="2010"/>
      <c r="CS961" s="2010"/>
      <c r="CT961" s="2010"/>
      <c r="CU961" s="2010"/>
      <c r="CV961" s="2010"/>
      <c r="CW961" s="2010"/>
      <c r="CX961" s="2010"/>
      <c r="CY961" s="2010"/>
      <c r="CZ961" s="2010"/>
      <c r="DA961" s="2010"/>
      <c r="DB961" s="2010"/>
      <c r="DC961" s="2010"/>
      <c r="DD961" s="2010"/>
      <c r="DE961" s="2010"/>
    </row>
    <row r="962" spans="1:109" s="2014" customFormat="1" x14ac:dyDescent="0.2">
      <c r="A962" s="2013"/>
      <c r="B962" s="2013"/>
      <c r="C962" s="2013"/>
      <c r="D962" s="2013"/>
      <c r="AB962" s="2010"/>
      <c r="AU962" s="2010"/>
      <c r="AV962" s="2010"/>
      <c r="AW962" s="2010"/>
      <c r="AX962" s="2010"/>
      <c r="AY962" s="2010"/>
      <c r="AZ962" s="2010"/>
      <c r="BA962" s="2010"/>
      <c r="BB962" s="2010"/>
      <c r="BC962" s="2010"/>
      <c r="BD962" s="2010"/>
      <c r="BE962" s="2010"/>
      <c r="BF962" s="2010"/>
      <c r="BG962" s="2010"/>
      <c r="BH962" s="2010"/>
      <c r="BI962" s="2010"/>
      <c r="BJ962" s="2010"/>
      <c r="BK962" s="2010"/>
      <c r="BL962" s="2010"/>
      <c r="BM962" s="2010"/>
      <c r="BN962" s="2010"/>
      <c r="BO962" s="2010"/>
      <c r="BP962" s="2010"/>
      <c r="BQ962" s="2010"/>
      <c r="BR962" s="2010"/>
      <c r="BS962" s="2010"/>
      <c r="BT962" s="2010"/>
      <c r="BU962" s="2010"/>
      <c r="BV962" s="2010"/>
      <c r="BW962" s="2010"/>
      <c r="BX962" s="2010"/>
      <c r="BY962" s="2010"/>
      <c r="BZ962" s="2010"/>
      <c r="CA962" s="2010"/>
      <c r="CB962" s="2010"/>
      <c r="CC962" s="2010"/>
      <c r="CD962" s="2010"/>
      <c r="CE962" s="2010"/>
      <c r="CF962" s="2010"/>
      <c r="CG962" s="2010"/>
      <c r="CH962" s="2010"/>
      <c r="CI962" s="2010"/>
      <c r="CJ962" s="2010"/>
      <c r="CK962" s="2010"/>
      <c r="CL962" s="2010"/>
      <c r="CM962" s="2010"/>
      <c r="CN962" s="2010"/>
      <c r="CO962" s="2010"/>
      <c r="CP962" s="2010"/>
      <c r="CQ962" s="2010"/>
      <c r="CR962" s="2010"/>
      <c r="CS962" s="2010"/>
      <c r="CT962" s="2010"/>
      <c r="CU962" s="2010"/>
      <c r="CV962" s="2010"/>
      <c r="CW962" s="2010"/>
      <c r="CX962" s="2010"/>
      <c r="CY962" s="2010"/>
      <c r="CZ962" s="2010"/>
      <c r="DA962" s="2010"/>
      <c r="DB962" s="2010"/>
      <c r="DC962" s="2010"/>
      <c r="DD962" s="2010"/>
      <c r="DE962" s="2010"/>
    </row>
    <row r="963" spans="1:109" s="2014" customFormat="1" x14ac:dyDescent="0.2">
      <c r="A963" s="2013"/>
      <c r="B963" s="2013"/>
      <c r="C963" s="2013"/>
      <c r="D963" s="2013"/>
      <c r="AB963" s="2010"/>
      <c r="AU963" s="2010"/>
      <c r="AV963" s="2010"/>
      <c r="AW963" s="2010"/>
      <c r="AX963" s="2010"/>
      <c r="AY963" s="2010"/>
      <c r="AZ963" s="2010"/>
      <c r="BA963" s="2010"/>
      <c r="BB963" s="2010"/>
      <c r="BC963" s="2010"/>
      <c r="BD963" s="2010"/>
      <c r="BE963" s="2010"/>
      <c r="BF963" s="2010"/>
      <c r="BG963" s="2010"/>
      <c r="BH963" s="2010"/>
      <c r="BI963" s="2010"/>
      <c r="BJ963" s="2010"/>
      <c r="BK963" s="2010"/>
      <c r="BL963" s="2010"/>
      <c r="BM963" s="2010"/>
      <c r="BN963" s="2010"/>
      <c r="BO963" s="2010"/>
      <c r="BP963" s="2010"/>
      <c r="BQ963" s="2010"/>
      <c r="BR963" s="2010"/>
      <c r="BS963" s="2010"/>
      <c r="BT963" s="2010"/>
      <c r="BU963" s="2010"/>
      <c r="BV963" s="2010"/>
      <c r="BW963" s="2010"/>
      <c r="BX963" s="2010"/>
      <c r="BY963" s="2010"/>
      <c r="BZ963" s="2010"/>
      <c r="CA963" s="2010"/>
      <c r="CB963" s="2010"/>
      <c r="CC963" s="2010"/>
      <c r="CD963" s="2010"/>
      <c r="CE963" s="2010"/>
      <c r="CF963" s="2010"/>
      <c r="CG963" s="2010"/>
      <c r="CH963" s="2010"/>
      <c r="CI963" s="2010"/>
      <c r="CJ963" s="2010"/>
      <c r="CK963" s="2010"/>
      <c r="CL963" s="2010"/>
      <c r="CM963" s="2010"/>
      <c r="CN963" s="2010"/>
      <c r="CO963" s="2010"/>
      <c r="CP963" s="2010"/>
      <c r="CQ963" s="2010"/>
      <c r="CR963" s="2010"/>
      <c r="CS963" s="2010"/>
      <c r="CT963" s="2010"/>
      <c r="CU963" s="2010"/>
      <c r="CV963" s="2010"/>
      <c r="CW963" s="2010"/>
      <c r="CX963" s="2010"/>
      <c r="CY963" s="2010"/>
      <c r="CZ963" s="2010"/>
      <c r="DA963" s="2010"/>
      <c r="DB963" s="2010"/>
      <c r="DC963" s="2010"/>
      <c r="DD963" s="2010"/>
      <c r="DE963" s="2010"/>
    </row>
    <row r="964" spans="1:109" s="2014" customFormat="1" x14ac:dyDescent="0.2">
      <c r="A964" s="2013"/>
      <c r="B964" s="2013"/>
      <c r="C964" s="2013"/>
      <c r="D964" s="2013"/>
      <c r="AB964" s="2010"/>
      <c r="AU964" s="2010"/>
      <c r="AV964" s="2010"/>
      <c r="AW964" s="2010"/>
      <c r="AX964" s="2010"/>
      <c r="AY964" s="2010"/>
      <c r="AZ964" s="2010"/>
      <c r="BA964" s="2010"/>
      <c r="BB964" s="2010"/>
      <c r="BC964" s="2010"/>
      <c r="BD964" s="2010"/>
      <c r="BE964" s="2010"/>
      <c r="BF964" s="2010"/>
      <c r="BG964" s="2010"/>
      <c r="BH964" s="2010"/>
      <c r="BI964" s="2010"/>
      <c r="BJ964" s="2010"/>
      <c r="BK964" s="2010"/>
      <c r="BL964" s="2010"/>
      <c r="BM964" s="2010"/>
      <c r="BN964" s="2010"/>
      <c r="BO964" s="2010"/>
      <c r="BP964" s="2010"/>
      <c r="BQ964" s="2010"/>
      <c r="BR964" s="2010"/>
      <c r="BS964" s="2010"/>
      <c r="BT964" s="2010"/>
      <c r="BU964" s="2010"/>
      <c r="BV964" s="2010"/>
      <c r="BW964" s="2010"/>
      <c r="BX964" s="2010"/>
      <c r="BY964" s="2010"/>
      <c r="BZ964" s="2010"/>
      <c r="CA964" s="2010"/>
      <c r="CB964" s="2010"/>
      <c r="CC964" s="2010"/>
      <c r="CD964" s="2010"/>
      <c r="CE964" s="2010"/>
      <c r="CF964" s="2010"/>
      <c r="CG964" s="2010"/>
      <c r="CH964" s="2010"/>
      <c r="CI964" s="2010"/>
      <c r="CJ964" s="2010"/>
      <c r="CK964" s="2010"/>
      <c r="CL964" s="2010"/>
      <c r="CM964" s="2010"/>
      <c r="CN964" s="2010"/>
      <c r="CO964" s="2010"/>
      <c r="CP964" s="2010"/>
      <c r="CQ964" s="2010"/>
      <c r="CR964" s="2010"/>
      <c r="CS964" s="2010"/>
      <c r="CT964" s="2010"/>
      <c r="CU964" s="2010"/>
      <c r="CV964" s="2010"/>
      <c r="CW964" s="2010"/>
      <c r="CX964" s="2010"/>
      <c r="CY964" s="2010"/>
      <c r="CZ964" s="2010"/>
      <c r="DA964" s="2010"/>
      <c r="DB964" s="2010"/>
      <c r="DC964" s="2010"/>
      <c r="DD964" s="2010"/>
      <c r="DE964" s="2010"/>
    </row>
    <row r="965" spans="1:109" s="2014" customFormat="1" x14ac:dyDescent="0.2">
      <c r="A965" s="2013"/>
      <c r="B965" s="2013"/>
      <c r="C965" s="2013"/>
      <c r="D965" s="2013"/>
      <c r="AB965" s="2010"/>
      <c r="AU965" s="2010"/>
      <c r="AV965" s="2010"/>
      <c r="AW965" s="2010"/>
      <c r="AX965" s="2010"/>
      <c r="AY965" s="2010"/>
      <c r="AZ965" s="2010"/>
      <c r="BA965" s="2010"/>
      <c r="BB965" s="2010"/>
      <c r="BC965" s="2010"/>
      <c r="BD965" s="2010"/>
      <c r="BE965" s="2010"/>
      <c r="BF965" s="2010"/>
      <c r="BG965" s="2010"/>
      <c r="BH965" s="2010"/>
      <c r="BI965" s="2010"/>
      <c r="BJ965" s="2010"/>
      <c r="BK965" s="2010"/>
      <c r="BL965" s="2010"/>
      <c r="BM965" s="2010"/>
      <c r="BN965" s="2010"/>
      <c r="BO965" s="2010"/>
      <c r="BP965" s="2010"/>
      <c r="BQ965" s="2010"/>
      <c r="BR965" s="2010"/>
      <c r="BS965" s="2010"/>
      <c r="BT965" s="2010"/>
      <c r="BU965" s="2010"/>
      <c r="BV965" s="2010"/>
      <c r="BW965" s="2010"/>
      <c r="BX965" s="2010"/>
      <c r="BY965" s="2010"/>
      <c r="BZ965" s="2010"/>
      <c r="CA965" s="2010"/>
      <c r="CB965" s="2010"/>
      <c r="CC965" s="2010"/>
      <c r="CD965" s="2010"/>
      <c r="CE965" s="2010"/>
      <c r="CF965" s="2010"/>
      <c r="CG965" s="2010"/>
      <c r="CH965" s="2010"/>
      <c r="CI965" s="2010"/>
      <c r="CJ965" s="2010"/>
      <c r="CK965" s="2010"/>
      <c r="CL965" s="2010"/>
      <c r="CM965" s="2010"/>
      <c r="CN965" s="2010"/>
      <c r="CO965" s="2010"/>
      <c r="CP965" s="2010"/>
      <c r="CQ965" s="2010"/>
      <c r="CR965" s="2010"/>
      <c r="CS965" s="2010"/>
      <c r="CT965" s="2010"/>
      <c r="CU965" s="2010"/>
      <c r="CV965" s="2010"/>
      <c r="CW965" s="2010"/>
      <c r="CX965" s="2010"/>
      <c r="CY965" s="2010"/>
      <c r="CZ965" s="2010"/>
      <c r="DA965" s="2010"/>
      <c r="DB965" s="2010"/>
      <c r="DC965" s="2010"/>
      <c r="DD965" s="2010"/>
      <c r="DE965" s="2010"/>
    </row>
    <row r="966" spans="1:109" s="2014" customFormat="1" x14ac:dyDescent="0.2">
      <c r="A966" s="2013"/>
      <c r="B966" s="2013"/>
      <c r="C966" s="2013"/>
      <c r="D966" s="2013"/>
      <c r="AB966" s="2010"/>
      <c r="AU966" s="2010"/>
      <c r="AV966" s="2010"/>
      <c r="AW966" s="2010"/>
      <c r="AX966" s="2010"/>
      <c r="AY966" s="2010"/>
      <c r="AZ966" s="2010"/>
      <c r="BA966" s="2010"/>
      <c r="BB966" s="2010"/>
      <c r="BC966" s="2010"/>
      <c r="BD966" s="2010"/>
      <c r="BE966" s="2010"/>
      <c r="BF966" s="2010"/>
      <c r="BG966" s="2010"/>
      <c r="BH966" s="2010"/>
      <c r="BI966" s="2010"/>
      <c r="BJ966" s="2010"/>
      <c r="BK966" s="2010"/>
      <c r="BL966" s="2010"/>
      <c r="BM966" s="2010"/>
      <c r="BN966" s="2010"/>
      <c r="BO966" s="2010"/>
      <c r="BP966" s="2010"/>
      <c r="BQ966" s="2010"/>
      <c r="BR966" s="2010"/>
      <c r="BS966" s="2010"/>
      <c r="BT966" s="2010"/>
      <c r="BU966" s="2010"/>
      <c r="BV966" s="2010"/>
      <c r="BW966" s="2010"/>
      <c r="BX966" s="2010"/>
      <c r="BY966" s="2010"/>
      <c r="BZ966" s="2010"/>
      <c r="CA966" s="2010"/>
      <c r="CB966" s="2010"/>
      <c r="CC966" s="2010"/>
      <c r="CD966" s="2010"/>
      <c r="CE966" s="2010"/>
      <c r="CF966" s="2010"/>
      <c r="CG966" s="2010"/>
      <c r="CH966" s="2010"/>
      <c r="CI966" s="2010"/>
      <c r="CJ966" s="2010"/>
      <c r="CK966" s="2010"/>
      <c r="CL966" s="2010"/>
      <c r="CM966" s="2010"/>
      <c r="CN966" s="2010"/>
      <c r="CO966" s="2010"/>
      <c r="CP966" s="2010"/>
      <c r="CQ966" s="2010"/>
      <c r="CR966" s="2010"/>
      <c r="CS966" s="2010"/>
      <c r="CT966" s="2010"/>
      <c r="CU966" s="2010"/>
      <c r="CV966" s="2010"/>
      <c r="CW966" s="2010"/>
      <c r="CX966" s="2010"/>
      <c r="CY966" s="2010"/>
      <c r="CZ966" s="2010"/>
      <c r="DA966" s="2010"/>
      <c r="DB966" s="2010"/>
      <c r="DC966" s="2010"/>
      <c r="DD966" s="2010"/>
      <c r="DE966" s="2010"/>
    </row>
    <row r="967" spans="1:109" s="2014" customFormat="1" x14ac:dyDescent="0.2">
      <c r="A967" s="2013"/>
      <c r="B967" s="2013"/>
      <c r="C967" s="2013"/>
      <c r="D967" s="2013"/>
      <c r="AB967" s="2010"/>
      <c r="AU967" s="2010"/>
      <c r="AV967" s="2010"/>
      <c r="AW967" s="2010"/>
      <c r="AX967" s="2010"/>
      <c r="AY967" s="2010"/>
      <c r="AZ967" s="2010"/>
      <c r="BA967" s="2010"/>
      <c r="BB967" s="2010"/>
      <c r="BC967" s="2010"/>
      <c r="BD967" s="2010"/>
      <c r="BE967" s="2010"/>
      <c r="BF967" s="2010"/>
      <c r="BG967" s="2010"/>
      <c r="BH967" s="2010"/>
      <c r="BI967" s="2010"/>
      <c r="BJ967" s="2010"/>
      <c r="BK967" s="2010"/>
      <c r="BL967" s="2010"/>
      <c r="BM967" s="2010"/>
      <c r="BN967" s="2010"/>
      <c r="BO967" s="2010"/>
      <c r="BP967" s="2010"/>
      <c r="BQ967" s="2010"/>
      <c r="BR967" s="2010"/>
      <c r="BS967" s="2010"/>
      <c r="BT967" s="2010"/>
      <c r="BU967" s="2010"/>
      <c r="BV967" s="2010"/>
      <c r="BW967" s="2010"/>
      <c r="BX967" s="2010"/>
      <c r="BY967" s="2010"/>
      <c r="BZ967" s="2010"/>
      <c r="CA967" s="2010"/>
      <c r="CB967" s="2010"/>
      <c r="CC967" s="2010"/>
      <c r="CD967" s="2010"/>
      <c r="CE967" s="2010"/>
      <c r="CF967" s="2010"/>
      <c r="CG967" s="2010"/>
      <c r="CH967" s="2010"/>
      <c r="CI967" s="2010"/>
      <c r="CJ967" s="2010"/>
      <c r="CK967" s="2010"/>
      <c r="CL967" s="2010"/>
      <c r="CM967" s="2010"/>
      <c r="CN967" s="2010"/>
      <c r="CO967" s="2010"/>
      <c r="CP967" s="2010"/>
      <c r="CQ967" s="2010"/>
      <c r="CR967" s="2010"/>
      <c r="CS967" s="2010"/>
      <c r="CT967" s="2010"/>
      <c r="CU967" s="2010"/>
      <c r="CV967" s="2010"/>
      <c r="CW967" s="2010"/>
      <c r="CX967" s="2010"/>
      <c r="CY967" s="2010"/>
      <c r="CZ967" s="2010"/>
      <c r="DA967" s="2010"/>
      <c r="DB967" s="2010"/>
      <c r="DC967" s="2010"/>
      <c r="DD967" s="2010"/>
      <c r="DE967" s="2010"/>
    </row>
    <row r="968" spans="1:109" s="2014" customFormat="1" x14ac:dyDescent="0.2">
      <c r="A968" s="2013"/>
      <c r="B968" s="2013"/>
      <c r="C968" s="2013"/>
      <c r="D968" s="2013"/>
      <c r="AB968" s="2010"/>
      <c r="AU968" s="2010"/>
      <c r="AV968" s="2010"/>
      <c r="AW968" s="2010"/>
      <c r="AX968" s="2010"/>
      <c r="AY968" s="2010"/>
      <c r="AZ968" s="2010"/>
      <c r="BA968" s="2010"/>
      <c r="BB968" s="2010"/>
      <c r="BC968" s="2010"/>
      <c r="BD968" s="2010"/>
      <c r="BE968" s="2010"/>
      <c r="BF968" s="2010"/>
      <c r="BG968" s="2010"/>
      <c r="BH968" s="2010"/>
      <c r="BI968" s="2010"/>
      <c r="BJ968" s="2010"/>
      <c r="BK968" s="2010"/>
      <c r="BL968" s="2010"/>
      <c r="BM968" s="2010"/>
      <c r="BN968" s="2010"/>
      <c r="BO968" s="2010"/>
      <c r="BP968" s="2010"/>
      <c r="BQ968" s="2010"/>
      <c r="BR968" s="2010"/>
      <c r="BS968" s="2010"/>
      <c r="BT968" s="2010"/>
      <c r="BU968" s="2010"/>
      <c r="BV968" s="2010"/>
      <c r="BW968" s="2010"/>
      <c r="BX968" s="2010"/>
      <c r="BY968" s="2010"/>
      <c r="BZ968" s="2010"/>
      <c r="CA968" s="2010"/>
      <c r="CB968" s="2010"/>
      <c r="CC968" s="2010"/>
      <c r="CD968" s="2010"/>
      <c r="CE968" s="2010"/>
      <c r="CF968" s="2010"/>
      <c r="CG968" s="2010"/>
      <c r="CH968" s="2010"/>
      <c r="CI968" s="2010"/>
      <c r="CJ968" s="2010"/>
      <c r="CK968" s="2010"/>
      <c r="CL968" s="2010"/>
      <c r="CM968" s="2010"/>
      <c r="CN968" s="2010"/>
      <c r="CO968" s="2010"/>
      <c r="CP968" s="2010"/>
      <c r="CQ968" s="2010"/>
      <c r="CR968" s="2010"/>
      <c r="CS968" s="2010"/>
      <c r="CT968" s="2010"/>
      <c r="CU968" s="2010"/>
      <c r="CV968" s="2010"/>
      <c r="CW968" s="2010"/>
      <c r="CX968" s="2010"/>
      <c r="CY968" s="2010"/>
      <c r="CZ968" s="2010"/>
      <c r="DA968" s="2010"/>
      <c r="DB968" s="2010"/>
      <c r="DC968" s="2010"/>
      <c r="DD968" s="2010"/>
      <c r="DE968" s="2010"/>
    </row>
    <row r="969" spans="1:109" s="2014" customFormat="1" x14ac:dyDescent="0.2">
      <c r="A969" s="2013"/>
      <c r="B969" s="2013"/>
      <c r="C969" s="2013"/>
      <c r="D969" s="2013"/>
      <c r="AB969" s="2010"/>
      <c r="AU969" s="2010"/>
      <c r="AV969" s="2010"/>
      <c r="AW969" s="2010"/>
      <c r="AX969" s="2010"/>
      <c r="AY969" s="2010"/>
      <c r="AZ969" s="2010"/>
      <c r="BA969" s="2010"/>
      <c r="BB969" s="2010"/>
      <c r="BC969" s="2010"/>
      <c r="BD969" s="2010"/>
      <c r="BE969" s="2010"/>
      <c r="BF969" s="2010"/>
      <c r="BG969" s="2010"/>
      <c r="BH969" s="2010"/>
      <c r="BI969" s="2010"/>
      <c r="BJ969" s="2010"/>
      <c r="BK969" s="2010"/>
      <c r="BL969" s="2010"/>
      <c r="BM969" s="2010"/>
      <c r="BN969" s="2010"/>
      <c r="BO969" s="2010"/>
      <c r="BP969" s="2010"/>
      <c r="BQ969" s="2010"/>
      <c r="BR969" s="2010"/>
      <c r="BS969" s="2010"/>
      <c r="BT969" s="2010"/>
      <c r="BU969" s="2010"/>
      <c r="BV969" s="2010"/>
      <c r="BW969" s="2010"/>
      <c r="BX969" s="2010"/>
      <c r="BY969" s="2010"/>
      <c r="BZ969" s="2010"/>
      <c r="CA969" s="2010"/>
      <c r="CB969" s="2010"/>
      <c r="CC969" s="2010"/>
      <c r="CD969" s="2010"/>
      <c r="CE969" s="2010"/>
      <c r="CF969" s="2010"/>
      <c r="CG969" s="2010"/>
      <c r="CH969" s="2010"/>
      <c r="CI969" s="2010"/>
      <c r="CJ969" s="2010"/>
      <c r="CK969" s="2010"/>
      <c r="CL969" s="2010"/>
      <c r="CM969" s="2010"/>
      <c r="CN969" s="2010"/>
      <c r="CO969" s="2010"/>
      <c r="CP969" s="2010"/>
      <c r="CQ969" s="2010"/>
      <c r="CR969" s="2010"/>
      <c r="CS969" s="2010"/>
      <c r="CT969" s="2010"/>
      <c r="CU969" s="2010"/>
      <c r="CV969" s="2010"/>
      <c r="CW969" s="2010"/>
      <c r="CX969" s="2010"/>
      <c r="CY969" s="2010"/>
      <c r="CZ969" s="2010"/>
      <c r="DA969" s="2010"/>
      <c r="DB969" s="2010"/>
      <c r="DC969" s="2010"/>
      <c r="DD969" s="2010"/>
      <c r="DE969" s="2010"/>
    </row>
    <row r="970" spans="1:109" s="2014" customFormat="1" x14ac:dyDescent="0.2">
      <c r="A970" s="2013"/>
      <c r="B970" s="2013"/>
      <c r="C970" s="2013"/>
      <c r="D970" s="2013"/>
      <c r="AB970" s="2010"/>
      <c r="AU970" s="2010"/>
      <c r="AV970" s="2010"/>
      <c r="AW970" s="2010"/>
      <c r="AX970" s="2010"/>
      <c r="AY970" s="2010"/>
      <c r="AZ970" s="2010"/>
      <c r="BA970" s="2010"/>
      <c r="BB970" s="2010"/>
      <c r="BC970" s="2010"/>
      <c r="BD970" s="2010"/>
      <c r="BE970" s="2010"/>
      <c r="BF970" s="2010"/>
      <c r="BG970" s="2010"/>
      <c r="BH970" s="2010"/>
      <c r="BI970" s="2010"/>
      <c r="BJ970" s="2010"/>
      <c r="BK970" s="2010"/>
      <c r="BL970" s="2010"/>
      <c r="BM970" s="2010"/>
      <c r="BN970" s="2010"/>
      <c r="BO970" s="2010"/>
      <c r="BP970" s="2010"/>
      <c r="BQ970" s="2010"/>
      <c r="BR970" s="2010"/>
      <c r="BS970" s="2010"/>
      <c r="BT970" s="2010"/>
      <c r="BU970" s="2010"/>
      <c r="BV970" s="2010"/>
      <c r="BW970" s="2010"/>
      <c r="BX970" s="2010"/>
      <c r="BY970" s="2010"/>
      <c r="BZ970" s="2010"/>
      <c r="CA970" s="2010"/>
      <c r="CB970" s="2010"/>
      <c r="CC970" s="2010"/>
      <c r="CD970" s="2010"/>
      <c r="CE970" s="2010"/>
      <c r="CF970" s="2010"/>
      <c r="CG970" s="2010"/>
      <c r="CH970" s="2010"/>
      <c r="CI970" s="2010"/>
      <c r="CJ970" s="2010"/>
      <c r="CK970" s="2010"/>
      <c r="CL970" s="2010"/>
      <c r="CM970" s="2010"/>
      <c r="CN970" s="2010"/>
      <c r="CO970" s="2010"/>
      <c r="CP970" s="2010"/>
      <c r="CQ970" s="2010"/>
      <c r="CR970" s="2010"/>
      <c r="CS970" s="2010"/>
      <c r="CT970" s="2010"/>
      <c r="CU970" s="2010"/>
      <c r="CV970" s="2010"/>
      <c r="CW970" s="2010"/>
      <c r="CX970" s="2010"/>
      <c r="CY970" s="2010"/>
      <c r="CZ970" s="2010"/>
      <c r="DA970" s="2010"/>
      <c r="DB970" s="2010"/>
      <c r="DC970" s="2010"/>
      <c r="DD970" s="2010"/>
      <c r="DE970" s="2010"/>
    </row>
    <row r="971" spans="1:109" s="2014" customFormat="1" x14ac:dyDescent="0.2">
      <c r="A971" s="2013"/>
      <c r="B971" s="2013"/>
      <c r="C971" s="2013"/>
      <c r="D971" s="2013"/>
      <c r="AB971" s="2010"/>
      <c r="AU971" s="2010"/>
      <c r="AV971" s="2010"/>
      <c r="AW971" s="2010"/>
      <c r="AX971" s="2010"/>
      <c r="AY971" s="2010"/>
      <c r="AZ971" s="2010"/>
      <c r="BA971" s="2010"/>
      <c r="BB971" s="2010"/>
      <c r="BC971" s="2010"/>
      <c r="BD971" s="2010"/>
      <c r="BE971" s="2010"/>
      <c r="BF971" s="2010"/>
      <c r="BG971" s="2010"/>
      <c r="BH971" s="2010"/>
      <c r="BI971" s="2010"/>
      <c r="BJ971" s="2010"/>
      <c r="BK971" s="2010"/>
      <c r="BL971" s="2010"/>
      <c r="BM971" s="2010"/>
      <c r="BN971" s="2010"/>
      <c r="BO971" s="2010"/>
      <c r="BP971" s="2010"/>
      <c r="BQ971" s="2010"/>
      <c r="BR971" s="2010"/>
      <c r="BS971" s="2010"/>
      <c r="BT971" s="2010"/>
      <c r="BU971" s="2010"/>
      <c r="BV971" s="2010"/>
      <c r="BW971" s="2010"/>
      <c r="BX971" s="2010"/>
      <c r="BY971" s="2010"/>
      <c r="BZ971" s="2010"/>
      <c r="CA971" s="2010"/>
      <c r="CB971" s="2010"/>
      <c r="CC971" s="2010"/>
      <c r="CD971" s="2010"/>
      <c r="CE971" s="2010"/>
      <c r="CF971" s="2010"/>
      <c r="CG971" s="2010"/>
      <c r="CH971" s="2010"/>
      <c r="CI971" s="2010"/>
      <c r="CJ971" s="2010"/>
      <c r="CK971" s="2010"/>
      <c r="CL971" s="2010"/>
      <c r="CM971" s="2010"/>
      <c r="CN971" s="2010"/>
      <c r="CO971" s="2010"/>
      <c r="CP971" s="2010"/>
      <c r="CQ971" s="2010"/>
      <c r="CR971" s="2010"/>
      <c r="CS971" s="2010"/>
      <c r="CT971" s="2010"/>
      <c r="CU971" s="2010"/>
      <c r="CV971" s="2010"/>
      <c r="CW971" s="2010"/>
      <c r="CX971" s="2010"/>
      <c r="CY971" s="2010"/>
      <c r="CZ971" s="2010"/>
      <c r="DA971" s="2010"/>
      <c r="DB971" s="2010"/>
      <c r="DC971" s="2010"/>
      <c r="DD971" s="2010"/>
      <c r="DE971" s="2010"/>
    </row>
    <row r="972" spans="1:109" s="2014" customFormat="1" x14ac:dyDescent="0.2">
      <c r="A972" s="2013"/>
      <c r="B972" s="2013"/>
      <c r="C972" s="2013"/>
      <c r="D972" s="2013"/>
      <c r="AB972" s="2010"/>
      <c r="AU972" s="2010"/>
      <c r="AV972" s="2010"/>
      <c r="AW972" s="2010"/>
      <c r="AX972" s="2010"/>
      <c r="AY972" s="2010"/>
      <c r="AZ972" s="2010"/>
      <c r="BA972" s="2010"/>
      <c r="BB972" s="2010"/>
      <c r="BC972" s="2010"/>
      <c r="BD972" s="2010"/>
      <c r="BE972" s="2010"/>
      <c r="BF972" s="2010"/>
      <c r="BG972" s="2010"/>
      <c r="BH972" s="2010"/>
      <c r="BI972" s="2010"/>
      <c r="BJ972" s="2010"/>
      <c r="BK972" s="2010"/>
      <c r="BL972" s="2010"/>
      <c r="BM972" s="2010"/>
      <c r="BN972" s="2010"/>
      <c r="BO972" s="2010"/>
      <c r="BP972" s="2010"/>
      <c r="BQ972" s="2010"/>
      <c r="BR972" s="2010"/>
      <c r="BS972" s="2010"/>
      <c r="BT972" s="2010"/>
      <c r="BU972" s="2010"/>
      <c r="BV972" s="2010"/>
      <c r="BW972" s="2010"/>
      <c r="BX972" s="2010"/>
      <c r="BY972" s="2010"/>
      <c r="BZ972" s="2010"/>
      <c r="CA972" s="2010"/>
      <c r="CB972" s="2010"/>
      <c r="CC972" s="2010"/>
      <c r="CD972" s="2010"/>
      <c r="CE972" s="2010"/>
      <c r="CF972" s="2010"/>
      <c r="CG972" s="2010"/>
      <c r="CH972" s="2010"/>
      <c r="CI972" s="2010"/>
      <c r="CJ972" s="2010"/>
      <c r="CK972" s="2010"/>
      <c r="CL972" s="2010"/>
      <c r="CM972" s="2010"/>
      <c r="CN972" s="2010"/>
      <c r="CO972" s="2010"/>
      <c r="CP972" s="2010"/>
      <c r="CQ972" s="2010"/>
      <c r="CR972" s="2010"/>
      <c r="CS972" s="2010"/>
      <c r="CT972" s="2010"/>
      <c r="CU972" s="2010"/>
      <c r="CV972" s="2010"/>
      <c r="CW972" s="2010"/>
      <c r="CX972" s="2010"/>
      <c r="CY972" s="2010"/>
      <c r="CZ972" s="2010"/>
      <c r="DA972" s="2010"/>
      <c r="DB972" s="2010"/>
      <c r="DC972" s="2010"/>
      <c r="DD972" s="2010"/>
      <c r="DE972" s="2010"/>
    </row>
    <row r="973" spans="1:109" s="2014" customFormat="1" x14ac:dyDescent="0.2">
      <c r="A973" s="2013"/>
      <c r="B973" s="2013"/>
      <c r="C973" s="2013"/>
      <c r="D973" s="2013"/>
      <c r="AB973" s="2010"/>
      <c r="AU973" s="2010"/>
      <c r="AV973" s="2010"/>
      <c r="AW973" s="2010"/>
      <c r="AX973" s="2010"/>
      <c r="AY973" s="2010"/>
      <c r="AZ973" s="2010"/>
      <c r="BA973" s="2010"/>
      <c r="BB973" s="2010"/>
      <c r="BC973" s="2010"/>
      <c r="BD973" s="2010"/>
      <c r="BE973" s="2010"/>
      <c r="BF973" s="2010"/>
      <c r="BG973" s="2010"/>
      <c r="BH973" s="2010"/>
      <c r="BI973" s="2010"/>
      <c r="BJ973" s="2010"/>
      <c r="BK973" s="2010"/>
      <c r="BL973" s="2010"/>
      <c r="BM973" s="2010"/>
      <c r="BN973" s="2010"/>
      <c r="BO973" s="2010"/>
      <c r="BP973" s="2010"/>
      <c r="BQ973" s="2010"/>
      <c r="BR973" s="2010"/>
      <c r="BS973" s="2010"/>
      <c r="BT973" s="2010"/>
      <c r="BU973" s="2010"/>
      <c r="BV973" s="2010"/>
      <c r="BW973" s="2010"/>
      <c r="BX973" s="2010"/>
      <c r="BY973" s="2010"/>
      <c r="BZ973" s="2010"/>
      <c r="CA973" s="2010"/>
      <c r="CB973" s="2010"/>
      <c r="CC973" s="2010"/>
      <c r="CD973" s="2010"/>
      <c r="CE973" s="2010"/>
      <c r="CF973" s="2010"/>
      <c r="CG973" s="2010"/>
      <c r="CH973" s="2010"/>
      <c r="CI973" s="2010"/>
      <c r="CJ973" s="2010"/>
      <c r="CK973" s="2010"/>
      <c r="CL973" s="2010"/>
      <c r="CM973" s="2010"/>
      <c r="CN973" s="2010"/>
      <c r="CO973" s="2010"/>
      <c r="CP973" s="2010"/>
      <c r="CQ973" s="2010"/>
      <c r="CR973" s="2010"/>
      <c r="CS973" s="2010"/>
      <c r="CT973" s="2010"/>
      <c r="CU973" s="2010"/>
      <c r="CV973" s="2010"/>
      <c r="CW973" s="2010"/>
      <c r="CX973" s="2010"/>
      <c r="CY973" s="2010"/>
      <c r="CZ973" s="2010"/>
      <c r="DA973" s="2010"/>
      <c r="DB973" s="2010"/>
      <c r="DC973" s="2010"/>
      <c r="DD973" s="2010"/>
      <c r="DE973" s="2010"/>
    </row>
    <row r="974" spans="1:109" s="2014" customFormat="1" x14ac:dyDescent="0.2">
      <c r="A974" s="2013"/>
      <c r="B974" s="2013"/>
      <c r="C974" s="2013"/>
      <c r="D974" s="2013"/>
      <c r="AB974" s="2010"/>
      <c r="AU974" s="2010"/>
      <c r="AV974" s="2010"/>
      <c r="AW974" s="2010"/>
      <c r="AX974" s="2010"/>
      <c r="AY974" s="2010"/>
      <c r="AZ974" s="2010"/>
      <c r="BA974" s="2010"/>
      <c r="BB974" s="2010"/>
      <c r="BC974" s="2010"/>
      <c r="BD974" s="2010"/>
      <c r="BE974" s="2010"/>
      <c r="BF974" s="2010"/>
      <c r="BG974" s="2010"/>
      <c r="BH974" s="2010"/>
      <c r="BI974" s="2010"/>
      <c r="BJ974" s="2010"/>
      <c r="BK974" s="2010"/>
      <c r="BL974" s="2010"/>
      <c r="BM974" s="2010"/>
      <c r="BN974" s="2010"/>
      <c r="BO974" s="2010"/>
      <c r="BP974" s="2010"/>
      <c r="BQ974" s="2010"/>
      <c r="BR974" s="2010"/>
      <c r="BS974" s="2010"/>
      <c r="BT974" s="2010"/>
      <c r="BU974" s="2010"/>
      <c r="BV974" s="2010"/>
      <c r="BW974" s="2010"/>
      <c r="BX974" s="2010"/>
      <c r="BY974" s="2010"/>
      <c r="BZ974" s="2010"/>
      <c r="CA974" s="2010"/>
      <c r="CB974" s="2010"/>
      <c r="CC974" s="2010"/>
      <c r="CD974" s="2010"/>
      <c r="CE974" s="2010"/>
      <c r="CF974" s="2010"/>
      <c r="CG974" s="2010"/>
      <c r="CH974" s="2010"/>
      <c r="CI974" s="2010"/>
      <c r="CJ974" s="2010"/>
      <c r="CK974" s="2010"/>
      <c r="CL974" s="2010"/>
      <c r="CM974" s="2010"/>
      <c r="CN974" s="2010"/>
      <c r="CO974" s="2010"/>
      <c r="CP974" s="2010"/>
      <c r="CQ974" s="2010"/>
      <c r="CR974" s="2010"/>
      <c r="CS974" s="2010"/>
      <c r="CT974" s="2010"/>
      <c r="CU974" s="2010"/>
      <c r="CV974" s="2010"/>
      <c r="CW974" s="2010"/>
      <c r="CX974" s="2010"/>
      <c r="CY974" s="2010"/>
      <c r="CZ974" s="2010"/>
      <c r="DA974" s="2010"/>
      <c r="DB974" s="2010"/>
      <c r="DC974" s="2010"/>
      <c r="DD974" s="2010"/>
      <c r="DE974" s="2010"/>
    </row>
    <row r="975" spans="1:109" s="2014" customFormat="1" x14ac:dyDescent="0.2">
      <c r="A975" s="2013"/>
      <c r="B975" s="2013"/>
      <c r="C975" s="2013"/>
      <c r="D975" s="2013"/>
      <c r="AB975" s="2010"/>
      <c r="AU975" s="2010"/>
      <c r="AV975" s="2010"/>
      <c r="AW975" s="2010"/>
      <c r="AX975" s="2010"/>
      <c r="AY975" s="2010"/>
      <c r="AZ975" s="2010"/>
      <c r="BA975" s="2010"/>
      <c r="BB975" s="2010"/>
      <c r="BC975" s="2010"/>
      <c r="BD975" s="2010"/>
      <c r="BE975" s="2010"/>
      <c r="BF975" s="2010"/>
      <c r="BG975" s="2010"/>
      <c r="BH975" s="2010"/>
      <c r="BI975" s="2010"/>
      <c r="BJ975" s="2010"/>
      <c r="BK975" s="2010"/>
      <c r="BL975" s="2010"/>
      <c r="BM975" s="2010"/>
      <c r="BN975" s="2010"/>
      <c r="BO975" s="2010"/>
      <c r="BP975" s="2010"/>
      <c r="BQ975" s="2010"/>
      <c r="BR975" s="2010"/>
      <c r="BS975" s="2010"/>
      <c r="BT975" s="2010"/>
      <c r="BU975" s="2010"/>
      <c r="BV975" s="2010"/>
      <c r="BW975" s="2010"/>
      <c r="BX975" s="2010"/>
      <c r="BY975" s="2010"/>
      <c r="BZ975" s="2010"/>
      <c r="CA975" s="2010"/>
      <c r="CB975" s="2010"/>
      <c r="CC975" s="2010"/>
      <c r="CD975" s="2010"/>
      <c r="CE975" s="2010"/>
      <c r="CF975" s="2010"/>
      <c r="CG975" s="2010"/>
      <c r="CH975" s="2010"/>
      <c r="CI975" s="2010"/>
      <c r="CJ975" s="2010"/>
      <c r="CK975" s="2010"/>
      <c r="CL975" s="2010"/>
      <c r="CM975" s="2010"/>
      <c r="CN975" s="2010"/>
      <c r="CO975" s="2010"/>
      <c r="CP975" s="2010"/>
      <c r="CQ975" s="2010"/>
      <c r="CR975" s="2010"/>
      <c r="CS975" s="2010"/>
      <c r="CT975" s="2010"/>
      <c r="CU975" s="2010"/>
      <c r="CV975" s="2010"/>
      <c r="CW975" s="2010"/>
      <c r="CX975" s="2010"/>
      <c r="CY975" s="2010"/>
      <c r="CZ975" s="2010"/>
      <c r="DA975" s="2010"/>
      <c r="DB975" s="2010"/>
      <c r="DC975" s="2010"/>
      <c r="DD975" s="2010"/>
      <c r="DE975" s="2010"/>
    </row>
    <row r="976" spans="1:109" s="2014" customFormat="1" x14ac:dyDescent="0.2">
      <c r="A976" s="2013"/>
      <c r="B976" s="2013"/>
      <c r="C976" s="2013"/>
      <c r="D976" s="2013"/>
      <c r="AB976" s="2010"/>
      <c r="AU976" s="2010"/>
      <c r="AV976" s="2010"/>
      <c r="AW976" s="2010"/>
      <c r="AX976" s="2010"/>
      <c r="AY976" s="2010"/>
      <c r="AZ976" s="2010"/>
      <c r="BA976" s="2010"/>
      <c r="BB976" s="2010"/>
      <c r="BC976" s="2010"/>
      <c r="BD976" s="2010"/>
      <c r="BE976" s="2010"/>
      <c r="BF976" s="2010"/>
      <c r="BG976" s="2010"/>
      <c r="BH976" s="2010"/>
      <c r="BI976" s="2010"/>
      <c r="BJ976" s="2010"/>
      <c r="BK976" s="2010"/>
      <c r="BL976" s="2010"/>
      <c r="BM976" s="2010"/>
      <c r="BN976" s="2010"/>
      <c r="BO976" s="2010"/>
      <c r="BP976" s="2010"/>
      <c r="BQ976" s="2010"/>
      <c r="BR976" s="2010"/>
      <c r="BS976" s="2010"/>
      <c r="BT976" s="2010"/>
      <c r="BU976" s="2010"/>
      <c r="BV976" s="2010"/>
      <c r="BW976" s="2010"/>
      <c r="BX976" s="2010"/>
      <c r="BY976" s="2010"/>
      <c r="BZ976" s="2010"/>
      <c r="CA976" s="2010"/>
      <c r="CB976" s="2010"/>
      <c r="CC976" s="2010"/>
      <c r="CD976" s="2010"/>
      <c r="CE976" s="2010"/>
      <c r="CF976" s="2010"/>
      <c r="CG976" s="2010"/>
      <c r="CH976" s="2010"/>
      <c r="CI976" s="2010"/>
      <c r="CJ976" s="2010"/>
      <c r="CK976" s="2010"/>
      <c r="CL976" s="2010"/>
      <c r="CM976" s="2010"/>
      <c r="CN976" s="2010"/>
      <c r="CO976" s="2010"/>
      <c r="CP976" s="2010"/>
      <c r="CQ976" s="2010"/>
      <c r="CR976" s="2010"/>
      <c r="CS976" s="2010"/>
      <c r="CT976" s="2010"/>
      <c r="CU976" s="2010"/>
      <c r="CV976" s="2010"/>
      <c r="CW976" s="2010"/>
      <c r="CX976" s="2010"/>
      <c r="CY976" s="2010"/>
      <c r="CZ976" s="2010"/>
      <c r="DA976" s="2010"/>
      <c r="DB976" s="2010"/>
      <c r="DC976" s="2010"/>
      <c r="DD976" s="2010"/>
      <c r="DE976" s="2010"/>
    </row>
    <row r="977" spans="1:109" s="2014" customFormat="1" x14ac:dyDescent="0.2">
      <c r="A977" s="2013"/>
      <c r="B977" s="2013"/>
      <c r="C977" s="2013"/>
      <c r="D977" s="2013"/>
      <c r="AB977" s="2010"/>
      <c r="AU977" s="2010"/>
      <c r="AV977" s="2010"/>
      <c r="AW977" s="2010"/>
      <c r="AX977" s="2010"/>
      <c r="AY977" s="2010"/>
      <c r="AZ977" s="2010"/>
      <c r="BA977" s="2010"/>
      <c r="BB977" s="2010"/>
      <c r="BC977" s="2010"/>
      <c r="BD977" s="2010"/>
      <c r="BE977" s="2010"/>
      <c r="BF977" s="2010"/>
      <c r="BG977" s="2010"/>
      <c r="BH977" s="2010"/>
      <c r="BI977" s="2010"/>
      <c r="BJ977" s="2010"/>
      <c r="BK977" s="2010"/>
      <c r="BL977" s="2010"/>
      <c r="BM977" s="2010"/>
      <c r="BN977" s="2010"/>
      <c r="BO977" s="2010"/>
      <c r="BP977" s="2010"/>
      <c r="BQ977" s="2010"/>
      <c r="BR977" s="2010"/>
      <c r="BS977" s="2010"/>
      <c r="BT977" s="2010"/>
      <c r="BU977" s="2010"/>
      <c r="BV977" s="2010"/>
      <c r="BW977" s="2010"/>
      <c r="BX977" s="2010"/>
      <c r="BY977" s="2010"/>
      <c r="BZ977" s="2010"/>
      <c r="CA977" s="2010"/>
      <c r="CB977" s="2010"/>
      <c r="CC977" s="2010"/>
      <c r="CD977" s="2010"/>
      <c r="CE977" s="2010"/>
      <c r="CF977" s="2010"/>
      <c r="CG977" s="2010"/>
      <c r="CH977" s="2010"/>
      <c r="CI977" s="2010"/>
      <c r="CJ977" s="2010"/>
      <c r="CK977" s="2010"/>
      <c r="CL977" s="2010"/>
      <c r="CM977" s="2010"/>
      <c r="CN977" s="2010"/>
      <c r="CO977" s="2010"/>
      <c r="CP977" s="2010"/>
      <c r="CQ977" s="2010"/>
      <c r="CR977" s="2010"/>
      <c r="CS977" s="2010"/>
      <c r="CT977" s="2010"/>
      <c r="CU977" s="2010"/>
      <c r="CV977" s="2010"/>
      <c r="CW977" s="2010"/>
      <c r="CX977" s="2010"/>
      <c r="CY977" s="2010"/>
      <c r="CZ977" s="2010"/>
      <c r="DA977" s="2010"/>
      <c r="DB977" s="2010"/>
      <c r="DC977" s="2010"/>
      <c r="DD977" s="2010"/>
      <c r="DE977" s="2010"/>
    </row>
    <row r="978" spans="1:109" s="2014" customFormat="1" x14ac:dyDescent="0.2">
      <c r="A978" s="2013"/>
      <c r="B978" s="2013"/>
      <c r="C978" s="2013"/>
      <c r="D978" s="2013"/>
      <c r="AB978" s="2010"/>
      <c r="AU978" s="2010"/>
      <c r="AV978" s="2010"/>
      <c r="AW978" s="2010"/>
      <c r="AX978" s="2010"/>
      <c r="AY978" s="2010"/>
      <c r="AZ978" s="2010"/>
      <c r="BA978" s="2010"/>
      <c r="BB978" s="2010"/>
      <c r="BC978" s="2010"/>
      <c r="BD978" s="2010"/>
      <c r="BE978" s="2010"/>
      <c r="BF978" s="2010"/>
      <c r="BG978" s="2010"/>
      <c r="BH978" s="2010"/>
      <c r="BI978" s="2010"/>
      <c r="BJ978" s="2010"/>
      <c r="BK978" s="2010"/>
      <c r="BL978" s="2010"/>
      <c r="BM978" s="2010"/>
      <c r="BN978" s="2010"/>
      <c r="BO978" s="2010"/>
      <c r="BP978" s="2010"/>
      <c r="BQ978" s="2010"/>
      <c r="BR978" s="2010"/>
      <c r="BS978" s="2010"/>
      <c r="BT978" s="2010"/>
      <c r="BU978" s="2010"/>
      <c r="BV978" s="2010"/>
      <c r="BW978" s="2010"/>
      <c r="BX978" s="2010"/>
      <c r="BY978" s="2010"/>
      <c r="BZ978" s="2010"/>
      <c r="CA978" s="2010"/>
      <c r="CB978" s="2010"/>
      <c r="CC978" s="2010"/>
      <c r="CD978" s="2010"/>
      <c r="CE978" s="2010"/>
      <c r="CF978" s="2010"/>
      <c r="CG978" s="2010"/>
      <c r="CH978" s="2010"/>
      <c r="CI978" s="2010"/>
      <c r="CJ978" s="2010"/>
      <c r="CK978" s="2010"/>
      <c r="CL978" s="2010"/>
      <c r="CM978" s="2010"/>
      <c r="CN978" s="2010"/>
      <c r="CO978" s="2010"/>
      <c r="CP978" s="2010"/>
      <c r="CQ978" s="2010"/>
      <c r="CR978" s="2010"/>
      <c r="CS978" s="2010"/>
      <c r="CT978" s="2010"/>
      <c r="CU978" s="2010"/>
      <c r="CV978" s="2010"/>
      <c r="CW978" s="2010"/>
      <c r="CX978" s="2010"/>
      <c r="CY978" s="2010"/>
      <c r="CZ978" s="2010"/>
      <c r="DA978" s="2010"/>
      <c r="DB978" s="2010"/>
      <c r="DC978" s="2010"/>
      <c r="DD978" s="2010"/>
      <c r="DE978" s="2010"/>
    </row>
    <row r="979" spans="1:109" s="2014" customFormat="1" x14ac:dyDescent="0.2">
      <c r="A979" s="2013"/>
      <c r="B979" s="2013"/>
      <c r="C979" s="2013"/>
      <c r="D979" s="2013"/>
      <c r="AB979" s="2010"/>
      <c r="AU979" s="2010"/>
      <c r="AV979" s="2010"/>
      <c r="AW979" s="2010"/>
      <c r="AX979" s="2010"/>
      <c r="AY979" s="2010"/>
      <c r="AZ979" s="2010"/>
      <c r="BA979" s="2010"/>
      <c r="BB979" s="2010"/>
      <c r="BC979" s="2010"/>
      <c r="BD979" s="2010"/>
      <c r="BE979" s="2010"/>
      <c r="BF979" s="2010"/>
      <c r="BG979" s="2010"/>
      <c r="BH979" s="2010"/>
      <c r="BI979" s="2010"/>
      <c r="BJ979" s="2010"/>
      <c r="BK979" s="2010"/>
      <c r="BL979" s="2010"/>
      <c r="BM979" s="2010"/>
      <c r="BN979" s="2010"/>
      <c r="BO979" s="2010"/>
      <c r="BP979" s="2010"/>
      <c r="BQ979" s="2010"/>
      <c r="BR979" s="2010"/>
      <c r="BS979" s="2010"/>
      <c r="BT979" s="2010"/>
      <c r="BU979" s="2010"/>
      <c r="BV979" s="2010"/>
      <c r="BW979" s="2010"/>
      <c r="BX979" s="2010"/>
      <c r="BY979" s="2010"/>
      <c r="BZ979" s="2010"/>
      <c r="CA979" s="2010"/>
      <c r="CB979" s="2010"/>
      <c r="CC979" s="2010"/>
      <c r="CD979" s="2010"/>
      <c r="CE979" s="2010"/>
      <c r="CF979" s="2010"/>
      <c r="CG979" s="2010"/>
      <c r="CH979" s="2010"/>
      <c r="CI979" s="2010"/>
      <c r="CJ979" s="2010"/>
      <c r="CK979" s="2010"/>
      <c r="CL979" s="2010"/>
      <c r="CM979" s="2010"/>
      <c r="CN979" s="2010"/>
      <c r="CO979" s="2010"/>
      <c r="CP979" s="2010"/>
      <c r="CQ979" s="2010"/>
      <c r="CR979" s="2010"/>
      <c r="CS979" s="2010"/>
      <c r="CT979" s="2010"/>
      <c r="CU979" s="2010"/>
      <c r="CV979" s="2010"/>
      <c r="CW979" s="2010"/>
      <c r="CX979" s="2010"/>
      <c r="CY979" s="2010"/>
      <c r="CZ979" s="2010"/>
      <c r="DA979" s="2010"/>
      <c r="DB979" s="2010"/>
      <c r="DC979" s="2010"/>
      <c r="DD979" s="2010"/>
      <c r="DE979" s="2010"/>
    </row>
    <row r="980" spans="1:109" s="2014" customFormat="1" x14ac:dyDescent="0.2">
      <c r="A980" s="2013"/>
      <c r="B980" s="2013"/>
      <c r="C980" s="2013"/>
      <c r="D980" s="2013"/>
      <c r="AB980" s="2010"/>
      <c r="AU980" s="2010"/>
      <c r="AV980" s="2010"/>
      <c r="AW980" s="2010"/>
      <c r="AX980" s="2010"/>
      <c r="AY980" s="2010"/>
      <c r="AZ980" s="2010"/>
      <c r="BA980" s="2010"/>
      <c r="BB980" s="2010"/>
      <c r="BC980" s="2010"/>
      <c r="BD980" s="2010"/>
      <c r="BE980" s="2010"/>
      <c r="BF980" s="2010"/>
      <c r="BG980" s="2010"/>
      <c r="BH980" s="2010"/>
      <c r="BI980" s="2010"/>
      <c r="BJ980" s="2010"/>
      <c r="BK980" s="2010"/>
      <c r="BL980" s="2010"/>
      <c r="BM980" s="2010"/>
      <c r="BN980" s="2010"/>
      <c r="BO980" s="2010"/>
      <c r="BP980" s="2010"/>
      <c r="BQ980" s="2010"/>
      <c r="BR980" s="2010"/>
      <c r="BS980" s="2010"/>
      <c r="BT980" s="2010"/>
      <c r="BU980" s="2010"/>
      <c r="BV980" s="2010"/>
      <c r="BW980" s="2010"/>
      <c r="BX980" s="2010"/>
      <c r="BY980" s="2010"/>
      <c r="BZ980" s="2010"/>
      <c r="CA980" s="2010"/>
      <c r="CB980" s="2010"/>
      <c r="CC980" s="2010"/>
      <c r="CD980" s="2010"/>
      <c r="CE980" s="2010"/>
      <c r="CF980" s="2010"/>
      <c r="CG980" s="2010"/>
      <c r="CH980" s="2010"/>
      <c r="CI980" s="2010"/>
      <c r="CJ980" s="2010"/>
      <c r="CK980" s="2010"/>
      <c r="CL980" s="2010"/>
      <c r="CM980" s="2010"/>
      <c r="CN980" s="2010"/>
      <c r="CO980" s="2010"/>
      <c r="CP980" s="2010"/>
      <c r="CQ980" s="2010"/>
      <c r="CR980" s="2010"/>
      <c r="CS980" s="2010"/>
      <c r="CT980" s="2010"/>
      <c r="CU980" s="2010"/>
      <c r="CV980" s="2010"/>
      <c r="CW980" s="2010"/>
      <c r="CX980" s="2010"/>
      <c r="CY980" s="2010"/>
      <c r="CZ980" s="2010"/>
      <c r="DA980" s="2010"/>
      <c r="DB980" s="2010"/>
      <c r="DC980" s="2010"/>
      <c r="DD980" s="2010"/>
      <c r="DE980" s="2010"/>
    </row>
    <row r="981" spans="1:109" s="2014" customFormat="1" x14ac:dyDescent="0.2">
      <c r="A981" s="2013"/>
      <c r="B981" s="2013"/>
      <c r="C981" s="2013"/>
      <c r="D981" s="2013"/>
      <c r="AB981" s="2010"/>
      <c r="AU981" s="2010"/>
      <c r="AV981" s="2010"/>
      <c r="AW981" s="2010"/>
      <c r="AX981" s="2010"/>
      <c r="AY981" s="2010"/>
      <c r="AZ981" s="2010"/>
      <c r="BA981" s="2010"/>
      <c r="BB981" s="2010"/>
      <c r="BC981" s="2010"/>
      <c r="BD981" s="2010"/>
      <c r="BE981" s="2010"/>
      <c r="BF981" s="2010"/>
      <c r="BG981" s="2010"/>
      <c r="BH981" s="2010"/>
      <c r="BI981" s="2010"/>
      <c r="BJ981" s="2010"/>
      <c r="BK981" s="2010"/>
      <c r="BL981" s="2010"/>
      <c r="BM981" s="2010"/>
      <c r="BN981" s="2010"/>
      <c r="BO981" s="2010"/>
      <c r="BP981" s="2010"/>
      <c r="BQ981" s="2010"/>
      <c r="BR981" s="2010"/>
      <c r="BS981" s="2010"/>
      <c r="BT981" s="2010"/>
      <c r="BU981" s="2010"/>
      <c r="BV981" s="2010"/>
      <c r="BW981" s="2010"/>
      <c r="BX981" s="2010"/>
      <c r="BY981" s="2010"/>
      <c r="BZ981" s="2010"/>
      <c r="CA981" s="2010"/>
      <c r="CB981" s="2010"/>
      <c r="CC981" s="2010"/>
      <c r="CD981" s="2010"/>
      <c r="CE981" s="2010"/>
      <c r="CF981" s="2010"/>
      <c r="CG981" s="2010"/>
      <c r="CH981" s="2010"/>
      <c r="CI981" s="2010"/>
      <c r="CJ981" s="2010"/>
      <c r="CK981" s="2010"/>
      <c r="CL981" s="2010"/>
      <c r="CM981" s="2010"/>
      <c r="CN981" s="2010"/>
      <c r="CO981" s="2010"/>
      <c r="CP981" s="2010"/>
      <c r="CQ981" s="2010"/>
      <c r="CR981" s="2010"/>
      <c r="CS981" s="2010"/>
      <c r="CT981" s="2010"/>
      <c r="CU981" s="2010"/>
      <c r="CV981" s="2010"/>
      <c r="CW981" s="2010"/>
      <c r="CX981" s="2010"/>
      <c r="CY981" s="2010"/>
      <c r="CZ981" s="2010"/>
      <c r="DA981" s="2010"/>
      <c r="DB981" s="2010"/>
      <c r="DC981" s="2010"/>
      <c r="DD981" s="2010"/>
      <c r="DE981" s="2010"/>
    </row>
    <row r="982" spans="1:109" s="2014" customFormat="1" x14ac:dyDescent="0.2">
      <c r="A982" s="2013"/>
      <c r="B982" s="2013"/>
      <c r="C982" s="2013"/>
      <c r="D982" s="2013"/>
      <c r="AB982" s="2010"/>
      <c r="AU982" s="2010"/>
      <c r="AV982" s="2010"/>
      <c r="AW982" s="2010"/>
      <c r="AX982" s="2010"/>
      <c r="AY982" s="2010"/>
      <c r="AZ982" s="2010"/>
      <c r="BA982" s="2010"/>
      <c r="BB982" s="2010"/>
      <c r="BC982" s="2010"/>
      <c r="BD982" s="2010"/>
      <c r="BE982" s="2010"/>
      <c r="BF982" s="2010"/>
      <c r="BG982" s="2010"/>
      <c r="BH982" s="2010"/>
      <c r="BI982" s="2010"/>
      <c r="BJ982" s="2010"/>
      <c r="BK982" s="2010"/>
      <c r="BL982" s="2010"/>
      <c r="BM982" s="2010"/>
      <c r="BN982" s="2010"/>
      <c r="BO982" s="2010"/>
      <c r="BP982" s="2010"/>
      <c r="BQ982" s="2010"/>
      <c r="BR982" s="2010"/>
      <c r="BS982" s="2010"/>
      <c r="BT982" s="2010"/>
      <c r="BU982" s="2010"/>
      <c r="BV982" s="2010"/>
      <c r="BW982" s="2010"/>
      <c r="BX982" s="2010"/>
      <c r="BY982" s="2010"/>
      <c r="BZ982" s="2010"/>
      <c r="CA982" s="2010"/>
      <c r="CB982" s="2010"/>
      <c r="CC982" s="2010"/>
      <c r="CD982" s="2010"/>
      <c r="CE982" s="2010"/>
      <c r="CF982" s="2010"/>
      <c r="CG982" s="2010"/>
      <c r="CH982" s="2010"/>
      <c r="CI982" s="2010"/>
      <c r="CJ982" s="2010"/>
      <c r="CK982" s="2010"/>
      <c r="CL982" s="2010"/>
      <c r="CM982" s="2010"/>
      <c r="CN982" s="2010"/>
      <c r="CO982" s="2010"/>
      <c r="CP982" s="2010"/>
      <c r="CQ982" s="2010"/>
      <c r="CR982" s="2010"/>
      <c r="CS982" s="2010"/>
      <c r="CT982" s="2010"/>
      <c r="CU982" s="2010"/>
      <c r="CV982" s="2010"/>
      <c r="CW982" s="2010"/>
      <c r="CX982" s="2010"/>
      <c r="CY982" s="2010"/>
      <c r="CZ982" s="2010"/>
      <c r="DA982" s="2010"/>
      <c r="DB982" s="2010"/>
      <c r="DC982" s="2010"/>
      <c r="DD982" s="2010"/>
      <c r="DE982" s="2010"/>
    </row>
    <row r="983" spans="1:109" s="2014" customFormat="1" x14ac:dyDescent="0.2">
      <c r="A983" s="2013"/>
      <c r="B983" s="2013"/>
      <c r="C983" s="2013"/>
      <c r="D983" s="2013"/>
      <c r="AB983" s="2010"/>
      <c r="AU983" s="2010"/>
      <c r="AV983" s="2010"/>
      <c r="AW983" s="2010"/>
      <c r="AX983" s="2010"/>
      <c r="AY983" s="2010"/>
      <c r="AZ983" s="2010"/>
      <c r="BA983" s="2010"/>
      <c r="BB983" s="2010"/>
      <c r="BC983" s="2010"/>
      <c r="BD983" s="2010"/>
      <c r="BE983" s="2010"/>
      <c r="BF983" s="2010"/>
      <c r="BG983" s="2010"/>
      <c r="BH983" s="2010"/>
      <c r="BI983" s="2010"/>
      <c r="BJ983" s="2010"/>
      <c r="BK983" s="2010"/>
      <c r="BL983" s="2010"/>
      <c r="BM983" s="2010"/>
      <c r="BN983" s="2010"/>
      <c r="BO983" s="2010"/>
      <c r="BP983" s="2010"/>
      <c r="BQ983" s="2010"/>
      <c r="BR983" s="2010"/>
      <c r="BS983" s="2010"/>
      <c r="BT983" s="2010"/>
      <c r="BU983" s="2010"/>
      <c r="BV983" s="2010"/>
      <c r="BW983" s="2010"/>
      <c r="BX983" s="2010"/>
      <c r="BY983" s="2010"/>
      <c r="BZ983" s="2010"/>
      <c r="CA983" s="2010"/>
      <c r="CB983" s="2010"/>
      <c r="CC983" s="2010"/>
      <c r="CD983" s="2010"/>
      <c r="CE983" s="2010"/>
      <c r="CF983" s="2010"/>
      <c r="CG983" s="2010"/>
      <c r="CH983" s="2010"/>
      <c r="CI983" s="2010"/>
      <c r="CJ983" s="2010"/>
      <c r="CK983" s="2010"/>
      <c r="CL983" s="2010"/>
      <c r="CM983" s="2010"/>
      <c r="CN983" s="2010"/>
      <c r="CO983" s="2010"/>
      <c r="CP983" s="2010"/>
      <c r="CQ983" s="2010"/>
      <c r="CR983" s="2010"/>
      <c r="CS983" s="2010"/>
      <c r="CT983" s="2010"/>
      <c r="CU983" s="2010"/>
      <c r="CV983" s="2010"/>
      <c r="CW983" s="2010"/>
      <c r="CX983" s="2010"/>
      <c r="CY983" s="2010"/>
      <c r="CZ983" s="2010"/>
      <c r="DA983" s="2010"/>
      <c r="DB983" s="2010"/>
      <c r="DC983" s="2010"/>
      <c r="DD983" s="2010"/>
      <c r="DE983" s="2010"/>
    </row>
    <row r="984" spans="1:109" s="2014" customFormat="1" x14ac:dyDescent="0.2">
      <c r="A984" s="2013"/>
      <c r="B984" s="2013"/>
      <c r="C984" s="2013"/>
      <c r="D984" s="2013"/>
      <c r="AB984" s="2010"/>
      <c r="AU984" s="2010"/>
      <c r="AV984" s="2010"/>
      <c r="AW984" s="2010"/>
      <c r="AX984" s="2010"/>
      <c r="AY984" s="2010"/>
      <c r="AZ984" s="2010"/>
      <c r="BA984" s="2010"/>
      <c r="BB984" s="2010"/>
      <c r="BC984" s="2010"/>
      <c r="BD984" s="2010"/>
      <c r="BE984" s="2010"/>
      <c r="BF984" s="2010"/>
      <c r="BG984" s="2010"/>
      <c r="BH984" s="2010"/>
      <c r="BI984" s="2010"/>
      <c r="BJ984" s="2010"/>
      <c r="BK984" s="2010"/>
      <c r="BL984" s="2010"/>
      <c r="BM984" s="2010"/>
      <c r="BN984" s="2010"/>
      <c r="BO984" s="2010"/>
      <c r="BP984" s="2010"/>
      <c r="BQ984" s="2010"/>
      <c r="BR984" s="2010"/>
      <c r="BS984" s="2010"/>
      <c r="BT984" s="2010"/>
      <c r="BU984" s="2010"/>
      <c r="BV984" s="2010"/>
      <c r="BW984" s="2010"/>
      <c r="BX984" s="2010"/>
      <c r="BY984" s="2010"/>
      <c r="BZ984" s="2010"/>
      <c r="CA984" s="2010"/>
      <c r="CB984" s="2010"/>
      <c r="CC984" s="2010"/>
      <c r="CD984" s="2010"/>
      <c r="CE984" s="2010"/>
      <c r="CF984" s="2010"/>
      <c r="CG984" s="2010"/>
      <c r="CH984" s="2010"/>
      <c r="CI984" s="2010"/>
      <c r="CJ984" s="2010"/>
      <c r="CK984" s="2010"/>
      <c r="CL984" s="2010"/>
      <c r="CM984" s="2010"/>
      <c r="CN984" s="2010"/>
      <c r="CO984" s="2010"/>
      <c r="CP984" s="2010"/>
      <c r="CQ984" s="2010"/>
      <c r="CR984" s="2010"/>
      <c r="CS984" s="2010"/>
      <c r="CT984" s="2010"/>
      <c r="CU984" s="2010"/>
      <c r="CV984" s="2010"/>
      <c r="CW984" s="2010"/>
      <c r="CX984" s="2010"/>
      <c r="CY984" s="2010"/>
      <c r="CZ984" s="2010"/>
      <c r="DA984" s="2010"/>
      <c r="DB984" s="2010"/>
      <c r="DC984" s="2010"/>
      <c r="DD984" s="2010"/>
      <c r="DE984" s="2010"/>
    </row>
    <row r="985" spans="1:109" s="2014" customFormat="1" x14ac:dyDescent="0.2">
      <c r="A985" s="2013"/>
      <c r="B985" s="2013"/>
      <c r="C985" s="2013"/>
      <c r="D985" s="2013"/>
      <c r="AB985" s="2010"/>
      <c r="AU985" s="2010"/>
      <c r="AV985" s="2010"/>
      <c r="AW985" s="2010"/>
      <c r="AX985" s="2010"/>
      <c r="AY985" s="2010"/>
      <c r="AZ985" s="2010"/>
      <c r="BA985" s="2010"/>
      <c r="BB985" s="2010"/>
      <c r="BC985" s="2010"/>
      <c r="BD985" s="2010"/>
      <c r="BE985" s="2010"/>
      <c r="BF985" s="2010"/>
      <c r="BG985" s="2010"/>
      <c r="BH985" s="2010"/>
      <c r="BI985" s="2010"/>
      <c r="BJ985" s="2010"/>
      <c r="BK985" s="2010"/>
      <c r="BL985" s="2010"/>
      <c r="BM985" s="2010"/>
      <c r="BN985" s="2010"/>
      <c r="BO985" s="2010"/>
      <c r="BP985" s="2010"/>
      <c r="BQ985" s="2010"/>
      <c r="BR985" s="2010"/>
      <c r="BS985" s="2010"/>
      <c r="BT985" s="2010"/>
      <c r="BU985" s="2010"/>
      <c r="BV985" s="2010"/>
      <c r="BW985" s="2010"/>
      <c r="BX985" s="2010"/>
      <c r="BY985" s="2010"/>
      <c r="BZ985" s="2010"/>
      <c r="CA985" s="2010"/>
      <c r="CB985" s="2010"/>
      <c r="CC985" s="2010"/>
      <c r="CD985" s="2010"/>
      <c r="CE985" s="2010"/>
      <c r="CF985" s="2010"/>
      <c r="CG985" s="2010"/>
      <c r="CH985" s="2010"/>
      <c r="CI985" s="2010"/>
      <c r="CJ985" s="2010"/>
      <c r="CK985" s="2010"/>
      <c r="CL985" s="2010"/>
      <c r="CM985" s="2010"/>
      <c r="CN985" s="2010"/>
      <c r="CO985" s="2010"/>
      <c r="CP985" s="2010"/>
      <c r="CQ985" s="2010"/>
      <c r="CR985" s="2010"/>
      <c r="CS985" s="2010"/>
      <c r="CT985" s="2010"/>
      <c r="CU985" s="2010"/>
      <c r="CV985" s="2010"/>
      <c r="CW985" s="2010"/>
      <c r="CX985" s="2010"/>
      <c r="CY985" s="2010"/>
      <c r="CZ985" s="2010"/>
      <c r="DA985" s="2010"/>
      <c r="DB985" s="2010"/>
      <c r="DC985" s="2010"/>
      <c r="DD985" s="2010"/>
      <c r="DE985" s="2010"/>
    </row>
    <row r="986" spans="1:109" s="2014" customFormat="1" x14ac:dyDescent="0.2">
      <c r="A986" s="2013"/>
      <c r="B986" s="2013"/>
      <c r="C986" s="2013"/>
      <c r="D986" s="2013"/>
      <c r="AB986" s="2010"/>
      <c r="AU986" s="2010"/>
      <c r="AV986" s="2010"/>
      <c r="AW986" s="2010"/>
      <c r="AX986" s="2010"/>
      <c r="AY986" s="2010"/>
      <c r="AZ986" s="2010"/>
      <c r="BA986" s="2010"/>
      <c r="BB986" s="2010"/>
      <c r="BC986" s="2010"/>
      <c r="BD986" s="2010"/>
      <c r="BE986" s="2010"/>
      <c r="BF986" s="2010"/>
      <c r="BG986" s="2010"/>
      <c r="BH986" s="2010"/>
      <c r="BI986" s="2010"/>
      <c r="BJ986" s="2010"/>
      <c r="BK986" s="2010"/>
      <c r="BL986" s="2010"/>
      <c r="BM986" s="2010"/>
      <c r="BN986" s="2010"/>
      <c r="BO986" s="2010"/>
      <c r="BP986" s="2010"/>
      <c r="BQ986" s="2010"/>
      <c r="BR986" s="2010"/>
      <c r="BS986" s="2010"/>
      <c r="BT986" s="2010"/>
      <c r="BU986" s="2010"/>
      <c r="BV986" s="2010"/>
      <c r="BW986" s="2010"/>
      <c r="BX986" s="2010"/>
      <c r="BY986" s="2010"/>
      <c r="BZ986" s="2010"/>
      <c r="CA986" s="2010"/>
      <c r="CB986" s="2010"/>
      <c r="CC986" s="2010"/>
      <c r="CD986" s="2010"/>
      <c r="CE986" s="2010"/>
      <c r="CF986" s="2010"/>
      <c r="CG986" s="2010"/>
      <c r="CH986" s="2010"/>
      <c r="CI986" s="2010"/>
      <c r="CJ986" s="2010"/>
      <c r="CK986" s="2010"/>
      <c r="CL986" s="2010"/>
      <c r="CM986" s="2010"/>
      <c r="CN986" s="2010"/>
      <c r="CO986" s="2010"/>
      <c r="CP986" s="2010"/>
      <c r="CQ986" s="2010"/>
      <c r="CR986" s="2010"/>
      <c r="CS986" s="2010"/>
      <c r="CT986" s="2010"/>
      <c r="CU986" s="2010"/>
      <c r="CV986" s="2010"/>
      <c r="CW986" s="2010"/>
      <c r="CX986" s="2010"/>
      <c r="CY986" s="2010"/>
      <c r="CZ986" s="2010"/>
      <c r="DA986" s="2010"/>
      <c r="DB986" s="2010"/>
      <c r="DC986" s="2010"/>
      <c r="DD986" s="2010"/>
      <c r="DE986" s="2010"/>
    </row>
    <row r="987" spans="1:109" s="2014" customFormat="1" x14ac:dyDescent="0.2">
      <c r="A987" s="2013"/>
      <c r="B987" s="2013"/>
      <c r="C987" s="2013"/>
      <c r="D987" s="2013"/>
      <c r="AB987" s="2010"/>
      <c r="AU987" s="2010"/>
      <c r="AV987" s="2010"/>
      <c r="AW987" s="2010"/>
      <c r="AX987" s="2010"/>
      <c r="AY987" s="2010"/>
      <c r="AZ987" s="2010"/>
      <c r="BA987" s="2010"/>
      <c r="BB987" s="2010"/>
      <c r="BC987" s="2010"/>
      <c r="BD987" s="2010"/>
      <c r="BE987" s="2010"/>
      <c r="BF987" s="2010"/>
      <c r="BG987" s="2010"/>
      <c r="BH987" s="2010"/>
      <c r="BI987" s="2010"/>
      <c r="BJ987" s="2010"/>
      <c r="BK987" s="2010"/>
      <c r="BL987" s="2010"/>
      <c r="BM987" s="2010"/>
      <c r="BN987" s="2010"/>
      <c r="BO987" s="2010"/>
      <c r="BP987" s="2010"/>
      <c r="BQ987" s="2010"/>
      <c r="BR987" s="2010"/>
      <c r="BS987" s="2010"/>
      <c r="BT987" s="2010"/>
      <c r="BU987" s="2010"/>
      <c r="BV987" s="2010"/>
      <c r="BW987" s="2010"/>
      <c r="BX987" s="2010"/>
      <c r="BY987" s="2010"/>
      <c r="BZ987" s="2010"/>
      <c r="CA987" s="2010"/>
      <c r="CB987" s="2010"/>
      <c r="CC987" s="2010"/>
      <c r="CD987" s="2010"/>
      <c r="CE987" s="2010"/>
      <c r="CF987" s="2010"/>
      <c r="CG987" s="2010"/>
      <c r="CH987" s="2010"/>
      <c r="CI987" s="2010"/>
      <c r="CJ987" s="2010"/>
      <c r="CK987" s="2010"/>
      <c r="CL987" s="2010"/>
      <c r="CM987" s="2010"/>
      <c r="CN987" s="2010"/>
      <c r="CO987" s="2010"/>
      <c r="CP987" s="2010"/>
      <c r="CQ987" s="2010"/>
      <c r="CR987" s="2010"/>
      <c r="CS987" s="2010"/>
      <c r="CT987" s="2010"/>
      <c r="CU987" s="2010"/>
      <c r="CV987" s="2010"/>
      <c r="CW987" s="2010"/>
      <c r="CX987" s="2010"/>
      <c r="CY987" s="2010"/>
      <c r="CZ987" s="2010"/>
      <c r="DA987" s="2010"/>
      <c r="DB987" s="2010"/>
      <c r="DC987" s="2010"/>
      <c r="DD987" s="2010"/>
      <c r="DE987" s="2010"/>
    </row>
    <row r="988" spans="1:109" s="2014" customFormat="1" x14ac:dyDescent="0.2">
      <c r="A988" s="2013"/>
      <c r="B988" s="2013"/>
      <c r="C988" s="2013"/>
      <c r="D988" s="2013"/>
      <c r="AB988" s="2010"/>
      <c r="AU988" s="2010"/>
      <c r="AV988" s="2010"/>
      <c r="AW988" s="2010"/>
      <c r="AX988" s="2010"/>
      <c r="AY988" s="2010"/>
      <c r="AZ988" s="2010"/>
      <c r="BA988" s="2010"/>
      <c r="BB988" s="2010"/>
      <c r="BC988" s="2010"/>
      <c r="BD988" s="2010"/>
      <c r="BE988" s="2010"/>
      <c r="BF988" s="2010"/>
      <c r="BG988" s="2010"/>
      <c r="BH988" s="2010"/>
      <c r="BI988" s="2010"/>
      <c r="BJ988" s="2010"/>
      <c r="BK988" s="2010"/>
      <c r="BL988" s="2010"/>
      <c r="BM988" s="2010"/>
      <c r="BN988" s="2010"/>
      <c r="BO988" s="2010"/>
      <c r="BP988" s="2010"/>
      <c r="BQ988" s="2010"/>
      <c r="BR988" s="2010"/>
      <c r="BS988" s="2010"/>
      <c r="BT988" s="2010"/>
      <c r="BU988" s="2010"/>
      <c r="BV988" s="2010"/>
      <c r="BW988" s="2010"/>
      <c r="BX988" s="2010"/>
      <c r="BY988" s="2010"/>
      <c r="BZ988" s="2010"/>
      <c r="CA988" s="2010"/>
      <c r="CB988" s="2010"/>
      <c r="CC988" s="2010"/>
      <c r="CD988" s="2010"/>
      <c r="CE988" s="2010"/>
      <c r="CF988" s="2010"/>
      <c r="CG988" s="2010"/>
      <c r="CH988" s="2010"/>
      <c r="CI988" s="2010"/>
      <c r="CJ988" s="2010"/>
      <c r="CK988" s="2010"/>
      <c r="CL988" s="2010"/>
      <c r="CM988" s="2010"/>
      <c r="CN988" s="2010"/>
      <c r="CO988" s="2010"/>
      <c r="CP988" s="2010"/>
      <c r="CQ988" s="2010"/>
      <c r="CR988" s="2010"/>
      <c r="CS988" s="2010"/>
      <c r="CT988" s="2010"/>
      <c r="CU988" s="2010"/>
      <c r="CV988" s="2010"/>
      <c r="CW988" s="2010"/>
      <c r="CX988" s="2010"/>
      <c r="CY988" s="2010"/>
      <c r="CZ988" s="2010"/>
      <c r="DA988" s="2010"/>
      <c r="DB988" s="2010"/>
      <c r="DC988" s="2010"/>
      <c r="DD988" s="2010"/>
      <c r="DE988" s="2010"/>
    </row>
    <row r="989" spans="1:109" s="2014" customFormat="1" x14ac:dyDescent="0.2">
      <c r="A989" s="2013"/>
      <c r="B989" s="2013"/>
      <c r="C989" s="2013"/>
      <c r="D989" s="2013"/>
      <c r="AB989" s="2010"/>
      <c r="AU989" s="2010"/>
      <c r="AV989" s="2010"/>
      <c r="AW989" s="2010"/>
      <c r="AX989" s="2010"/>
      <c r="AY989" s="2010"/>
      <c r="AZ989" s="2010"/>
      <c r="BA989" s="2010"/>
      <c r="BB989" s="2010"/>
      <c r="BC989" s="2010"/>
      <c r="BD989" s="2010"/>
      <c r="BE989" s="2010"/>
      <c r="BF989" s="2010"/>
      <c r="BG989" s="2010"/>
      <c r="BH989" s="2010"/>
      <c r="BI989" s="2010"/>
      <c r="BJ989" s="2010"/>
      <c r="BK989" s="2010"/>
      <c r="BL989" s="2010"/>
      <c r="BM989" s="2010"/>
      <c r="BN989" s="2010"/>
      <c r="BO989" s="2010"/>
      <c r="BP989" s="2010"/>
      <c r="BQ989" s="2010"/>
      <c r="BR989" s="2010"/>
      <c r="BS989" s="2010"/>
      <c r="BT989" s="2010"/>
      <c r="BU989" s="2010"/>
      <c r="BV989" s="2010"/>
      <c r="BW989" s="2010"/>
      <c r="BX989" s="2010"/>
      <c r="BY989" s="2010"/>
      <c r="BZ989" s="2010"/>
      <c r="CA989" s="2010"/>
      <c r="CB989" s="2010"/>
      <c r="CC989" s="2010"/>
      <c r="CD989" s="2010"/>
      <c r="CE989" s="2010"/>
      <c r="CF989" s="2010"/>
      <c r="CG989" s="2010"/>
      <c r="CH989" s="2010"/>
      <c r="CI989" s="2010"/>
      <c r="CJ989" s="2010"/>
      <c r="CK989" s="2010"/>
      <c r="CL989" s="2010"/>
      <c r="CM989" s="2010"/>
      <c r="CN989" s="2010"/>
      <c r="CO989" s="2010"/>
      <c r="CP989" s="2010"/>
      <c r="CQ989" s="2010"/>
      <c r="CR989" s="2010"/>
      <c r="CS989" s="2010"/>
      <c r="CT989" s="2010"/>
      <c r="CU989" s="2010"/>
      <c r="CV989" s="2010"/>
      <c r="CW989" s="2010"/>
      <c r="CX989" s="2010"/>
      <c r="CY989" s="2010"/>
      <c r="CZ989" s="2010"/>
      <c r="DA989" s="2010"/>
      <c r="DB989" s="2010"/>
      <c r="DC989" s="2010"/>
      <c r="DD989" s="2010"/>
      <c r="DE989" s="2010"/>
    </row>
    <row r="990" spans="1:109" s="2014" customFormat="1" x14ac:dyDescent="0.2">
      <c r="A990" s="2013"/>
      <c r="B990" s="2013"/>
      <c r="C990" s="2013"/>
      <c r="D990" s="2013"/>
      <c r="AB990" s="2010"/>
      <c r="AU990" s="2010"/>
      <c r="AV990" s="2010"/>
      <c r="AW990" s="2010"/>
      <c r="AX990" s="2010"/>
      <c r="AY990" s="2010"/>
      <c r="AZ990" s="2010"/>
      <c r="BA990" s="2010"/>
      <c r="BB990" s="2010"/>
      <c r="BC990" s="2010"/>
      <c r="BD990" s="2010"/>
      <c r="BE990" s="2010"/>
      <c r="BF990" s="2010"/>
      <c r="BG990" s="2010"/>
      <c r="BH990" s="2010"/>
      <c r="BI990" s="2010"/>
      <c r="BJ990" s="2010"/>
      <c r="BK990" s="2010"/>
      <c r="BL990" s="2010"/>
      <c r="BM990" s="2010"/>
      <c r="BN990" s="2010"/>
      <c r="BO990" s="2010"/>
      <c r="BP990" s="2010"/>
      <c r="BQ990" s="2010"/>
      <c r="BR990" s="2010"/>
      <c r="BS990" s="2010"/>
      <c r="BT990" s="2010"/>
      <c r="BU990" s="2010"/>
      <c r="BV990" s="2010"/>
      <c r="BW990" s="2010"/>
      <c r="BX990" s="2010"/>
      <c r="BY990" s="2010"/>
      <c r="BZ990" s="2010"/>
      <c r="CA990" s="2010"/>
      <c r="CB990" s="2010"/>
      <c r="CC990" s="2010"/>
      <c r="CD990" s="2010"/>
      <c r="CE990" s="2010"/>
      <c r="CF990" s="2010"/>
      <c r="CG990" s="2010"/>
      <c r="CH990" s="2010"/>
      <c r="CI990" s="2010"/>
      <c r="CJ990" s="2010"/>
      <c r="CK990" s="2010"/>
      <c r="CL990" s="2010"/>
      <c r="CM990" s="2010"/>
      <c r="CN990" s="2010"/>
      <c r="CO990" s="2010"/>
      <c r="CP990" s="2010"/>
      <c r="CQ990" s="2010"/>
      <c r="CR990" s="2010"/>
      <c r="CS990" s="2010"/>
      <c r="CT990" s="2010"/>
      <c r="CU990" s="2010"/>
      <c r="CV990" s="2010"/>
      <c r="CW990" s="2010"/>
      <c r="CX990" s="2010"/>
      <c r="CY990" s="2010"/>
      <c r="CZ990" s="2010"/>
      <c r="DA990" s="2010"/>
      <c r="DB990" s="2010"/>
      <c r="DC990" s="2010"/>
      <c r="DD990" s="2010"/>
      <c r="DE990" s="2010"/>
    </row>
    <row r="991" spans="1:109" s="2014" customFormat="1" x14ac:dyDescent="0.2">
      <c r="A991" s="2013"/>
      <c r="B991" s="2013"/>
      <c r="C991" s="2013"/>
      <c r="D991" s="2013"/>
      <c r="AB991" s="2010"/>
      <c r="AU991" s="2010"/>
      <c r="AV991" s="2010"/>
      <c r="AW991" s="2010"/>
      <c r="AX991" s="2010"/>
      <c r="AY991" s="2010"/>
      <c r="AZ991" s="2010"/>
      <c r="BA991" s="2010"/>
      <c r="BB991" s="2010"/>
      <c r="BC991" s="2010"/>
      <c r="BD991" s="2010"/>
      <c r="BE991" s="2010"/>
      <c r="BF991" s="2010"/>
      <c r="BG991" s="2010"/>
      <c r="BH991" s="2010"/>
      <c r="BI991" s="2010"/>
      <c r="BJ991" s="2010"/>
      <c r="BK991" s="2010"/>
      <c r="BL991" s="2010"/>
      <c r="BM991" s="2010"/>
      <c r="BN991" s="2010"/>
      <c r="BO991" s="2010"/>
      <c r="BP991" s="2010"/>
      <c r="BQ991" s="2010"/>
      <c r="BR991" s="2010"/>
      <c r="BS991" s="2010"/>
      <c r="BT991" s="2010"/>
      <c r="BU991" s="2010"/>
      <c r="BV991" s="2010"/>
      <c r="BW991" s="2010"/>
      <c r="BX991" s="2010"/>
      <c r="BY991" s="2010"/>
      <c r="BZ991" s="2010"/>
      <c r="CA991" s="2010"/>
      <c r="CB991" s="2010"/>
      <c r="CC991" s="2010"/>
      <c r="CD991" s="2010"/>
      <c r="CE991" s="2010"/>
      <c r="CF991" s="2010"/>
      <c r="CG991" s="2010"/>
      <c r="CH991" s="2010"/>
      <c r="CI991" s="2010"/>
      <c r="CJ991" s="2010"/>
      <c r="CK991" s="2010"/>
      <c r="CL991" s="2010"/>
      <c r="CM991" s="2010"/>
      <c r="CN991" s="2010"/>
      <c r="CO991" s="2010"/>
      <c r="CP991" s="2010"/>
      <c r="CQ991" s="2010"/>
      <c r="CR991" s="2010"/>
      <c r="CS991" s="2010"/>
      <c r="CT991" s="2010"/>
      <c r="CU991" s="2010"/>
      <c r="CV991" s="2010"/>
      <c r="CW991" s="2010"/>
      <c r="CX991" s="2010"/>
      <c r="CY991" s="2010"/>
      <c r="CZ991" s="2010"/>
      <c r="DA991" s="2010"/>
      <c r="DB991" s="2010"/>
      <c r="DC991" s="2010"/>
      <c r="DD991" s="2010"/>
      <c r="DE991" s="2010"/>
    </row>
    <row r="992" spans="1:109" s="2014" customFormat="1" x14ac:dyDescent="0.2">
      <c r="A992" s="2013"/>
      <c r="B992" s="2013"/>
      <c r="C992" s="2013"/>
      <c r="D992" s="2013"/>
      <c r="AB992" s="2010"/>
      <c r="AU992" s="2010"/>
      <c r="AV992" s="2010"/>
      <c r="AW992" s="2010"/>
      <c r="AX992" s="2010"/>
      <c r="AY992" s="2010"/>
      <c r="AZ992" s="2010"/>
      <c r="BA992" s="2010"/>
      <c r="BB992" s="2010"/>
      <c r="BC992" s="2010"/>
      <c r="BD992" s="2010"/>
      <c r="BE992" s="2010"/>
      <c r="BF992" s="2010"/>
      <c r="BG992" s="2010"/>
      <c r="BH992" s="2010"/>
      <c r="BI992" s="2010"/>
      <c r="BJ992" s="2010"/>
      <c r="BK992" s="2010"/>
      <c r="BL992" s="2010"/>
      <c r="BM992" s="2010"/>
      <c r="BN992" s="2010"/>
      <c r="BO992" s="2010"/>
      <c r="BP992" s="2010"/>
      <c r="BQ992" s="2010"/>
      <c r="BR992" s="2010"/>
      <c r="BS992" s="2010"/>
      <c r="BT992" s="2010"/>
      <c r="BU992" s="2010"/>
      <c r="BV992" s="2010"/>
      <c r="BW992" s="2010"/>
      <c r="BX992" s="2010"/>
      <c r="BY992" s="2010"/>
      <c r="BZ992" s="2010"/>
      <c r="CA992" s="2010"/>
      <c r="CB992" s="2010"/>
      <c r="CC992" s="2010"/>
      <c r="CD992" s="2010"/>
      <c r="CE992" s="2010"/>
      <c r="CF992" s="2010"/>
      <c r="CG992" s="2010"/>
      <c r="CH992" s="2010"/>
      <c r="CI992" s="2010"/>
      <c r="CJ992" s="2010"/>
      <c r="CK992" s="2010"/>
      <c r="CL992" s="2010"/>
      <c r="CM992" s="2010"/>
      <c r="CN992" s="2010"/>
      <c r="CO992" s="2010"/>
      <c r="CP992" s="2010"/>
      <c r="CQ992" s="2010"/>
      <c r="CR992" s="2010"/>
      <c r="CS992" s="2010"/>
      <c r="CT992" s="2010"/>
      <c r="CU992" s="2010"/>
      <c r="CV992" s="2010"/>
      <c r="CW992" s="2010"/>
      <c r="CX992" s="2010"/>
      <c r="CY992" s="2010"/>
      <c r="CZ992" s="2010"/>
      <c r="DA992" s="2010"/>
      <c r="DB992" s="2010"/>
      <c r="DC992" s="2010"/>
      <c r="DD992" s="2010"/>
      <c r="DE992" s="2010"/>
    </row>
    <row r="993" spans="1:109" s="2014" customFormat="1" x14ac:dyDescent="0.2">
      <c r="A993" s="2013"/>
      <c r="B993" s="2013"/>
      <c r="C993" s="2013"/>
      <c r="D993" s="2013"/>
      <c r="AB993" s="2010"/>
      <c r="AU993" s="2010"/>
      <c r="AV993" s="2010"/>
      <c r="AW993" s="2010"/>
      <c r="AX993" s="2010"/>
      <c r="AY993" s="2010"/>
      <c r="AZ993" s="2010"/>
      <c r="BA993" s="2010"/>
      <c r="BB993" s="2010"/>
      <c r="BC993" s="2010"/>
      <c r="BD993" s="2010"/>
      <c r="BE993" s="2010"/>
      <c r="BF993" s="2010"/>
      <c r="BG993" s="2010"/>
      <c r="BH993" s="2010"/>
      <c r="BI993" s="2010"/>
      <c r="BJ993" s="2010"/>
      <c r="BK993" s="2010"/>
      <c r="BL993" s="2010"/>
      <c r="BM993" s="2010"/>
      <c r="BN993" s="2010"/>
      <c r="BO993" s="2010"/>
      <c r="BP993" s="2010"/>
      <c r="BQ993" s="2010"/>
      <c r="BR993" s="2010"/>
      <c r="BS993" s="2010"/>
      <c r="BT993" s="2010"/>
      <c r="BU993" s="2010"/>
      <c r="BV993" s="2010"/>
      <c r="BW993" s="2010"/>
      <c r="BX993" s="2010"/>
      <c r="BY993" s="2010"/>
      <c r="BZ993" s="2010"/>
      <c r="CA993" s="2010"/>
      <c r="CB993" s="2010"/>
      <c r="CC993" s="2010"/>
      <c r="CD993" s="2010"/>
      <c r="CE993" s="2010"/>
      <c r="CF993" s="2010"/>
      <c r="CG993" s="2010"/>
      <c r="CH993" s="2010"/>
      <c r="CI993" s="2010"/>
      <c r="CJ993" s="2010"/>
      <c r="CK993" s="2010"/>
      <c r="CL993" s="2010"/>
      <c r="CM993" s="2010"/>
      <c r="CN993" s="2010"/>
      <c r="CO993" s="2010"/>
      <c r="CP993" s="2010"/>
      <c r="CQ993" s="2010"/>
      <c r="CR993" s="2010"/>
      <c r="CS993" s="2010"/>
      <c r="CT993" s="2010"/>
      <c r="CU993" s="2010"/>
      <c r="CV993" s="2010"/>
      <c r="CW993" s="2010"/>
      <c r="CX993" s="2010"/>
      <c r="CY993" s="2010"/>
      <c r="CZ993" s="2010"/>
      <c r="DA993" s="2010"/>
      <c r="DB993" s="2010"/>
      <c r="DC993" s="2010"/>
      <c r="DD993" s="2010"/>
      <c r="DE993" s="2010"/>
    </row>
    <row r="994" spans="1:109" s="2014" customFormat="1" x14ac:dyDescent="0.2">
      <c r="A994" s="2013"/>
      <c r="B994" s="2013"/>
      <c r="C994" s="2013"/>
      <c r="D994" s="2013"/>
      <c r="AB994" s="2010"/>
      <c r="AU994" s="2010"/>
      <c r="AV994" s="2010"/>
      <c r="AW994" s="2010"/>
      <c r="AX994" s="2010"/>
      <c r="AY994" s="2010"/>
      <c r="AZ994" s="2010"/>
      <c r="BA994" s="2010"/>
      <c r="BB994" s="2010"/>
      <c r="BC994" s="2010"/>
      <c r="BD994" s="2010"/>
      <c r="BE994" s="2010"/>
      <c r="BF994" s="2010"/>
      <c r="BG994" s="2010"/>
      <c r="BH994" s="2010"/>
      <c r="BI994" s="2010"/>
      <c r="BJ994" s="2010"/>
      <c r="BK994" s="2010"/>
      <c r="BL994" s="2010"/>
      <c r="BM994" s="2010"/>
      <c r="BN994" s="2010"/>
      <c r="BO994" s="2010"/>
      <c r="BP994" s="2010"/>
      <c r="BQ994" s="2010"/>
      <c r="BR994" s="2010"/>
      <c r="BS994" s="2010"/>
      <c r="BT994" s="2010"/>
      <c r="BU994" s="2010"/>
      <c r="BV994" s="2010"/>
      <c r="BW994" s="2010"/>
      <c r="BX994" s="2010"/>
      <c r="BY994" s="2010"/>
      <c r="BZ994" s="2010"/>
      <c r="CA994" s="2010"/>
      <c r="CB994" s="2010"/>
      <c r="CC994" s="2010"/>
      <c r="CD994" s="2010"/>
      <c r="CE994" s="2010"/>
      <c r="CF994" s="2010"/>
      <c r="CG994" s="2010"/>
      <c r="CH994" s="2010"/>
      <c r="CI994" s="2010"/>
      <c r="CJ994" s="2010"/>
      <c r="CK994" s="2010"/>
      <c r="CL994" s="2010"/>
      <c r="CM994" s="2010"/>
      <c r="CN994" s="2010"/>
      <c r="CO994" s="2010"/>
      <c r="CP994" s="2010"/>
      <c r="CQ994" s="2010"/>
      <c r="CR994" s="2010"/>
      <c r="CS994" s="2010"/>
      <c r="CT994" s="2010"/>
      <c r="CU994" s="2010"/>
      <c r="CV994" s="2010"/>
      <c r="CW994" s="2010"/>
      <c r="CX994" s="2010"/>
      <c r="CY994" s="2010"/>
      <c r="CZ994" s="2010"/>
      <c r="DA994" s="2010"/>
      <c r="DB994" s="2010"/>
      <c r="DC994" s="2010"/>
      <c r="DD994" s="2010"/>
      <c r="DE994" s="2010"/>
    </row>
    <row r="995" spans="1:109" s="2014" customFormat="1" x14ac:dyDescent="0.2">
      <c r="A995" s="2013"/>
      <c r="B995" s="2013"/>
      <c r="C995" s="2013"/>
      <c r="D995" s="2013"/>
      <c r="AB995" s="2010"/>
      <c r="AU995" s="2010"/>
      <c r="AV995" s="2010"/>
      <c r="AW995" s="2010"/>
      <c r="AX995" s="2010"/>
      <c r="AY995" s="2010"/>
      <c r="AZ995" s="2010"/>
      <c r="BA995" s="2010"/>
      <c r="BB995" s="2010"/>
      <c r="BC995" s="2010"/>
      <c r="BD995" s="2010"/>
      <c r="BE995" s="2010"/>
      <c r="BF995" s="2010"/>
      <c r="BG995" s="2010"/>
      <c r="BH995" s="2010"/>
      <c r="BI995" s="2010"/>
      <c r="BJ995" s="2010"/>
      <c r="BK995" s="2010"/>
      <c r="BL995" s="2010"/>
      <c r="BM995" s="2010"/>
      <c r="BN995" s="2010"/>
      <c r="BO995" s="2010"/>
      <c r="BP995" s="2010"/>
      <c r="BQ995" s="2010"/>
      <c r="BR995" s="2010"/>
      <c r="BS995" s="2010"/>
      <c r="BT995" s="2010"/>
      <c r="BU995" s="2010"/>
      <c r="BV995" s="2010"/>
      <c r="BW995" s="2010"/>
      <c r="BX995" s="2010"/>
      <c r="BY995" s="2010"/>
      <c r="BZ995" s="2010"/>
      <c r="CA995" s="2010"/>
      <c r="CB995" s="2010"/>
      <c r="CC995" s="2010"/>
      <c r="CD995" s="2010"/>
      <c r="CE995" s="2010"/>
      <c r="CF995" s="2010"/>
      <c r="CG995" s="2010"/>
      <c r="CH995" s="2010"/>
      <c r="CI995" s="2010"/>
      <c r="CJ995" s="2010"/>
      <c r="CK995" s="2010"/>
      <c r="CL995" s="2010"/>
      <c r="CM995" s="2010"/>
      <c r="CN995" s="2010"/>
      <c r="CO995" s="2010"/>
      <c r="CP995" s="2010"/>
      <c r="CQ995" s="2010"/>
      <c r="CR995" s="2010"/>
      <c r="CS995" s="2010"/>
      <c r="CT995" s="2010"/>
      <c r="CU995" s="2010"/>
      <c r="CV995" s="2010"/>
      <c r="CW995" s="2010"/>
      <c r="CX995" s="2010"/>
      <c r="CY995" s="2010"/>
      <c r="CZ995" s="2010"/>
      <c r="DA995" s="2010"/>
      <c r="DB995" s="2010"/>
      <c r="DC995" s="2010"/>
      <c r="DD995" s="2010"/>
      <c r="DE995" s="2010"/>
    </row>
    <row r="996" spans="1:109" s="2014" customFormat="1" x14ac:dyDescent="0.2">
      <c r="A996" s="2013"/>
      <c r="B996" s="2013"/>
      <c r="C996" s="2013"/>
      <c r="D996" s="2013"/>
      <c r="AB996" s="2010"/>
      <c r="AU996" s="2010"/>
      <c r="AV996" s="2010"/>
      <c r="AW996" s="2010"/>
      <c r="AX996" s="2010"/>
      <c r="AY996" s="2010"/>
      <c r="AZ996" s="2010"/>
      <c r="BA996" s="2010"/>
      <c r="BB996" s="2010"/>
      <c r="BC996" s="2010"/>
      <c r="BD996" s="2010"/>
      <c r="BE996" s="2010"/>
      <c r="BF996" s="2010"/>
      <c r="BG996" s="2010"/>
      <c r="BH996" s="2010"/>
      <c r="BI996" s="2010"/>
      <c r="BJ996" s="2010"/>
      <c r="BK996" s="2010"/>
      <c r="BL996" s="2010"/>
      <c r="BM996" s="2010"/>
      <c r="BN996" s="2010"/>
      <c r="BO996" s="2010"/>
      <c r="BP996" s="2010"/>
      <c r="BQ996" s="2010"/>
      <c r="BR996" s="2010"/>
      <c r="BS996" s="2010"/>
      <c r="BT996" s="2010"/>
      <c r="BU996" s="2010"/>
      <c r="BV996" s="2010"/>
      <c r="BW996" s="2010"/>
      <c r="BX996" s="2010"/>
      <c r="BY996" s="2010"/>
      <c r="BZ996" s="2010"/>
      <c r="CA996" s="2010"/>
      <c r="CB996" s="2010"/>
      <c r="CC996" s="2010"/>
      <c r="CD996" s="2010"/>
      <c r="CE996" s="2010"/>
      <c r="CF996" s="2010"/>
      <c r="CG996" s="2010"/>
      <c r="CH996" s="2010"/>
      <c r="CI996" s="2010"/>
      <c r="CJ996" s="2010"/>
      <c r="CK996" s="2010"/>
      <c r="CL996" s="2010"/>
      <c r="CM996" s="2010"/>
      <c r="CN996" s="2010"/>
      <c r="CO996" s="2010"/>
      <c r="CP996" s="2010"/>
      <c r="CQ996" s="2010"/>
      <c r="CR996" s="2010"/>
      <c r="CS996" s="2010"/>
      <c r="CT996" s="2010"/>
      <c r="CU996" s="2010"/>
      <c r="CV996" s="2010"/>
      <c r="CW996" s="2010"/>
      <c r="CX996" s="2010"/>
      <c r="CY996" s="2010"/>
      <c r="CZ996" s="2010"/>
      <c r="DA996" s="2010"/>
      <c r="DB996" s="2010"/>
      <c r="DC996" s="2010"/>
      <c r="DD996" s="2010"/>
      <c r="DE996" s="2010"/>
    </row>
    <row r="997" spans="1:109" s="2014" customFormat="1" x14ac:dyDescent="0.2">
      <c r="A997" s="2013"/>
      <c r="B997" s="2013"/>
      <c r="C997" s="2013"/>
      <c r="D997" s="2013"/>
      <c r="AB997" s="2010"/>
      <c r="AU997" s="2010"/>
      <c r="AV997" s="2010"/>
      <c r="AW997" s="2010"/>
      <c r="AX997" s="2010"/>
      <c r="AY997" s="2010"/>
      <c r="AZ997" s="2010"/>
      <c r="BA997" s="2010"/>
      <c r="BB997" s="2010"/>
      <c r="BC997" s="2010"/>
      <c r="BD997" s="2010"/>
      <c r="BE997" s="2010"/>
      <c r="BF997" s="2010"/>
      <c r="BG997" s="2010"/>
      <c r="BH997" s="2010"/>
      <c r="BI997" s="2010"/>
      <c r="BJ997" s="2010"/>
      <c r="BK997" s="2010"/>
      <c r="BL997" s="2010"/>
      <c r="BM997" s="2010"/>
      <c r="BN997" s="2010"/>
      <c r="BO997" s="2010"/>
      <c r="BP997" s="2010"/>
      <c r="BQ997" s="2010"/>
      <c r="BR997" s="2010"/>
      <c r="BS997" s="2010"/>
      <c r="BT997" s="2010"/>
      <c r="BU997" s="2010"/>
      <c r="BV997" s="2010"/>
      <c r="BW997" s="2010"/>
      <c r="BX997" s="2010"/>
      <c r="BY997" s="2010"/>
      <c r="BZ997" s="2010"/>
      <c r="CA997" s="2010"/>
      <c r="CB997" s="2010"/>
      <c r="CC997" s="2010"/>
      <c r="CD997" s="2010"/>
      <c r="CE997" s="2010"/>
      <c r="CF997" s="2010"/>
      <c r="CG997" s="2010"/>
      <c r="CH997" s="2010"/>
      <c r="CI997" s="2010"/>
      <c r="CJ997" s="2010"/>
      <c r="CK997" s="2010"/>
      <c r="CL997" s="2010"/>
      <c r="CM997" s="2010"/>
      <c r="CN997" s="2010"/>
      <c r="CO997" s="2010"/>
      <c r="CP997" s="2010"/>
      <c r="CQ997" s="2010"/>
      <c r="CR997" s="2010"/>
      <c r="CS997" s="2010"/>
      <c r="CT997" s="2010"/>
      <c r="CU997" s="2010"/>
      <c r="CV997" s="2010"/>
      <c r="CW997" s="2010"/>
      <c r="CX997" s="2010"/>
      <c r="CY997" s="2010"/>
      <c r="CZ997" s="2010"/>
      <c r="DA997" s="2010"/>
      <c r="DB997" s="2010"/>
      <c r="DC997" s="2010"/>
      <c r="DD997" s="2010"/>
      <c r="DE997" s="2010"/>
    </row>
    <row r="998" spans="1:109" s="2014" customFormat="1" x14ac:dyDescent="0.2">
      <c r="A998" s="2013"/>
      <c r="B998" s="2013"/>
      <c r="C998" s="2013"/>
      <c r="D998" s="2013"/>
      <c r="AB998" s="2010"/>
      <c r="AU998" s="2010"/>
      <c r="AV998" s="2010"/>
      <c r="AW998" s="2010"/>
      <c r="AX998" s="2010"/>
      <c r="AY998" s="2010"/>
      <c r="AZ998" s="2010"/>
      <c r="BA998" s="2010"/>
      <c r="BB998" s="2010"/>
      <c r="BC998" s="2010"/>
      <c r="BD998" s="2010"/>
      <c r="BE998" s="2010"/>
      <c r="BF998" s="2010"/>
      <c r="BG998" s="2010"/>
      <c r="BH998" s="2010"/>
      <c r="BI998" s="2010"/>
      <c r="BJ998" s="2010"/>
      <c r="BK998" s="2010"/>
      <c r="BL998" s="2010"/>
      <c r="BM998" s="2010"/>
      <c r="BN998" s="2010"/>
      <c r="BO998" s="2010"/>
      <c r="BP998" s="2010"/>
      <c r="BQ998" s="2010"/>
      <c r="BR998" s="2010"/>
      <c r="BS998" s="2010"/>
      <c r="BT998" s="2010"/>
      <c r="BU998" s="2010"/>
      <c r="BV998" s="2010"/>
      <c r="BW998" s="2010"/>
      <c r="BX998" s="2010"/>
      <c r="BY998" s="2010"/>
      <c r="BZ998" s="2010"/>
      <c r="CA998" s="2010"/>
      <c r="CB998" s="2010"/>
      <c r="CC998" s="2010"/>
      <c r="CD998" s="2010"/>
      <c r="CE998" s="2010"/>
      <c r="CF998" s="2010"/>
      <c r="CG998" s="2010"/>
      <c r="CH998" s="2010"/>
      <c r="CI998" s="2010"/>
      <c r="CJ998" s="2010"/>
      <c r="CK998" s="2010"/>
      <c r="CL998" s="2010"/>
      <c r="CM998" s="2010"/>
      <c r="CN998" s="2010"/>
      <c r="CO998" s="2010"/>
      <c r="CP998" s="2010"/>
      <c r="CQ998" s="2010"/>
      <c r="CR998" s="2010"/>
      <c r="CS998" s="2010"/>
      <c r="CT998" s="2010"/>
      <c r="CU998" s="2010"/>
      <c r="CV998" s="2010"/>
      <c r="CW998" s="2010"/>
      <c r="CX998" s="2010"/>
      <c r="CY998" s="2010"/>
      <c r="CZ998" s="2010"/>
      <c r="DA998" s="2010"/>
      <c r="DB998" s="2010"/>
      <c r="DC998" s="2010"/>
      <c r="DD998" s="2010"/>
      <c r="DE998" s="2010"/>
    </row>
    <row r="999" spans="1:109" s="2014" customFormat="1" x14ac:dyDescent="0.2">
      <c r="A999" s="2013"/>
      <c r="B999" s="2013"/>
      <c r="C999" s="2013"/>
      <c r="D999" s="2013"/>
      <c r="AB999" s="2010"/>
      <c r="AU999" s="2010"/>
      <c r="AV999" s="2010"/>
      <c r="AW999" s="2010"/>
      <c r="AX999" s="2010"/>
      <c r="AY999" s="2010"/>
      <c r="AZ999" s="2010"/>
      <c r="BA999" s="2010"/>
      <c r="BB999" s="2010"/>
      <c r="BC999" s="2010"/>
      <c r="BD999" s="2010"/>
      <c r="BE999" s="2010"/>
      <c r="BF999" s="2010"/>
      <c r="BG999" s="2010"/>
      <c r="BH999" s="2010"/>
      <c r="BI999" s="2010"/>
      <c r="BJ999" s="2010"/>
      <c r="BK999" s="2010"/>
      <c r="BL999" s="2010"/>
      <c r="BM999" s="2010"/>
      <c r="BN999" s="2010"/>
      <c r="BO999" s="2010"/>
      <c r="BP999" s="2010"/>
      <c r="BQ999" s="2010"/>
      <c r="BR999" s="2010"/>
      <c r="BS999" s="2010"/>
      <c r="BT999" s="2010"/>
      <c r="BU999" s="2010"/>
      <c r="BV999" s="2010"/>
      <c r="BW999" s="2010"/>
      <c r="BX999" s="2010"/>
      <c r="BY999" s="2010"/>
      <c r="BZ999" s="2010"/>
      <c r="CA999" s="2010"/>
      <c r="CB999" s="2010"/>
      <c r="CC999" s="2010"/>
      <c r="CD999" s="2010"/>
      <c r="CE999" s="2010"/>
      <c r="CF999" s="2010"/>
      <c r="CG999" s="2010"/>
      <c r="CH999" s="2010"/>
      <c r="CI999" s="2010"/>
      <c r="CJ999" s="2010"/>
      <c r="CK999" s="2010"/>
      <c r="CL999" s="2010"/>
      <c r="CM999" s="2010"/>
      <c r="CN999" s="2010"/>
      <c r="CO999" s="2010"/>
      <c r="CP999" s="2010"/>
      <c r="CQ999" s="2010"/>
      <c r="CR999" s="2010"/>
      <c r="CS999" s="2010"/>
      <c r="CT999" s="2010"/>
      <c r="CU999" s="2010"/>
      <c r="CV999" s="2010"/>
      <c r="CW999" s="2010"/>
      <c r="CX999" s="2010"/>
      <c r="CY999" s="2010"/>
      <c r="CZ999" s="2010"/>
      <c r="DA999" s="2010"/>
      <c r="DB999" s="2010"/>
      <c r="DC999" s="2010"/>
      <c r="DD999" s="2010"/>
      <c r="DE999" s="2010"/>
    </row>
    <row r="1000" spans="1:109" s="2014" customFormat="1" x14ac:dyDescent="0.2">
      <c r="A1000" s="2013"/>
      <c r="B1000" s="2013"/>
      <c r="C1000" s="2013"/>
      <c r="D1000" s="2013"/>
      <c r="AB1000" s="2010"/>
      <c r="AU1000" s="2010"/>
      <c r="AV1000" s="2010"/>
      <c r="AW1000" s="2010"/>
      <c r="AX1000" s="2010"/>
      <c r="AY1000" s="2010"/>
      <c r="AZ1000" s="2010"/>
      <c r="BA1000" s="2010"/>
      <c r="BB1000" s="2010"/>
      <c r="BC1000" s="2010"/>
      <c r="BD1000" s="2010"/>
      <c r="BE1000" s="2010"/>
      <c r="BF1000" s="2010"/>
      <c r="BG1000" s="2010"/>
      <c r="BH1000" s="2010"/>
      <c r="BI1000" s="2010"/>
      <c r="BJ1000" s="2010"/>
      <c r="BK1000" s="2010"/>
      <c r="BL1000" s="2010"/>
      <c r="BM1000" s="2010"/>
      <c r="BN1000" s="2010"/>
      <c r="BO1000" s="2010"/>
      <c r="BP1000" s="2010"/>
      <c r="BQ1000" s="2010"/>
      <c r="BR1000" s="2010"/>
      <c r="BS1000" s="2010"/>
      <c r="BT1000" s="2010"/>
      <c r="BU1000" s="2010"/>
      <c r="BV1000" s="2010"/>
      <c r="BW1000" s="2010"/>
      <c r="BX1000" s="2010"/>
      <c r="BY1000" s="2010"/>
      <c r="BZ1000" s="2010"/>
      <c r="CA1000" s="2010"/>
      <c r="CB1000" s="2010"/>
      <c r="CC1000" s="2010"/>
      <c r="CD1000" s="2010"/>
      <c r="CE1000" s="2010"/>
      <c r="CF1000" s="2010"/>
      <c r="CG1000" s="2010"/>
      <c r="CH1000" s="2010"/>
      <c r="CI1000" s="2010"/>
      <c r="CJ1000" s="2010"/>
      <c r="CK1000" s="2010"/>
      <c r="CL1000" s="2010"/>
      <c r="CM1000" s="2010"/>
      <c r="CN1000" s="2010"/>
      <c r="CO1000" s="2010"/>
      <c r="CP1000" s="2010"/>
      <c r="CQ1000" s="2010"/>
      <c r="CR1000" s="2010"/>
      <c r="CS1000" s="2010"/>
      <c r="CT1000" s="2010"/>
      <c r="CU1000" s="2010"/>
      <c r="CV1000" s="2010"/>
      <c r="CW1000" s="2010"/>
      <c r="CX1000" s="2010"/>
      <c r="CY1000" s="2010"/>
      <c r="CZ1000" s="2010"/>
      <c r="DA1000" s="2010"/>
      <c r="DB1000" s="2010"/>
      <c r="DC1000" s="2010"/>
      <c r="DD1000" s="2010"/>
      <c r="DE1000" s="2010"/>
    </row>
    <row r="1001" spans="1:109" s="2014" customFormat="1" x14ac:dyDescent="0.2">
      <c r="A1001" s="2013"/>
      <c r="B1001" s="2013"/>
      <c r="C1001" s="2013"/>
      <c r="D1001" s="2013"/>
      <c r="AB1001" s="2010"/>
      <c r="AU1001" s="2010"/>
      <c r="AV1001" s="2010"/>
      <c r="AW1001" s="2010"/>
      <c r="AX1001" s="2010"/>
      <c r="AY1001" s="2010"/>
      <c r="AZ1001" s="2010"/>
      <c r="BA1001" s="2010"/>
      <c r="BB1001" s="2010"/>
      <c r="BC1001" s="2010"/>
      <c r="BD1001" s="2010"/>
      <c r="BE1001" s="2010"/>
      <c r="BF1001" s="2010"/>
      <c r="BG1001" s="2010"/>
      <c r="BH1001" s="2010"/>
      <c r="BI1001" s="2010"/>
      <c r="BJ1001" s="2010"/>
      <c r="BK1001" s="2010"/>
      <c r="BL1001" s="2010"/>
      <c r="BM1001" s="2010"/>
      <c r="BN1001" s="2010"/>
      <c r="BO1001" s="2010"/>
      <c r="BP1001" s="2010"/>
      <c r="BQ1001" s="2010"/>
      <c r="BR1001" s="2010"/>
      <c r="BS1001" s="2010"/>
      <c r="BT1001" s="2010"/>
      <c r="BU1001" s="2010"/>
      <c r="BV1001" s="2010"/>
      <c r="BW1001" s="2010"/>
      <c r="BX1001" s="2010"/>
      <c r="BY1001" s="2010"/>
      <c r="BZ1001" s="2010"/>
      <c r="CA1001" s="2010"/>
      <c r="CB1001" s="2010"/>
      <c r="CC1001" s="2010"/>
      <c r="CD1001" s="2010"/>
      <c r="CE1001" s="2010"/>
      <c r="CF1001" s="2010"/>
      <c r="CG1001" s="2010"/>
      <c r="CH1001" s="2010"/>
      <c r="CI1001" s="2010"/>
      <c r="CJ1001" s="2010"/>
      <c r="CK1001" s="2010"/>
      <c r="CL1001" s="2010"/>
      <c r="CM1001" s="2010"/>
      <c r="CN1001" s="2010"/>
      <c r="CO1001" s="2010"/>
      <c r="CP1001" s="2010"/>
      <c r="CQ1001" s="2010"/>
      <c r="CR1001" s="2010"/>
      <c r="CS1001" s="2010"/>
      <c r="CT1001" s="2010"/>
      <c r="CU1001" s="2010"/>
      <c r="CV1001" s="2010"/>
      <c r="CW1001" s="2010"/>
      <c r="CX1001" s="2010"/>
      <c r="CY1001" s="2010"/>
      <c r="CZ1001" s="2010"/>
      <c r="DA1001" s="2010"/>
      <c r="DB1001" s="2010"/>
      <c r="DC1001" s="2010"/>
      <c r="DD1001" s="2010"/>
      <c r="DE1001" s="2010"/>
    </row>
    <row r="1002" spans="1:109" s="2014" customFormat="1" x14ac:dyDescent="0.2">
      <c r="A1002" s="2013"/>
      <c r="B1002" s="2013"/>
      <c r="C1002" s="2013"/>
      <c r="D1002" s="2013"/>
      <c r="AB1002" s="2010"/>
      <c r="AU1002" s="2010"/>
      <c r="AV1002" s="2010"/>
      <c r="AW1002" s="2010"/>
      <c r="AX1002" s="2010"/>
      <c r="AY1002" s="2010"/>
      <c r="AZ1002" s="2010"/>
      <c r="BA1002" s="2010"/>
      <c r="BB1002" s="2010"/>
      <c r="BC1002" s="2010"/>
      <c r="BD1002" s="2010"/>
      <c r="BE1002" s="2010"/>
      <c r="BF1002" s="2010"/>
      <c r="BG1002" s="2010"/>
      <c r="BH1002" s="2010"/>
      <c r="BI1002" s="2010"/>
      <c r="BJ1002" s="2010"/>
      <c r="BK1002" s="2010"/>
      <c r="BL1002" s="2010"/>
      <c r="BM1002" s="2010"/>
      <c r="BN1002" s="2010"/>
      <c r="BO1002" s="2010"/>
      <c r="BP1002" s="2010"/>
      <c r="BQ1002" s="2010"/>
      <c r="BR1002" s="2010"/>
      <c r="BS1002" s="2010"/>
      <c r="BT1002" s="2010"/>
      <c r="BU1002" s="2010"/>
      <c r="BV1002" s="2010"/>
      <c r="BW1002" s="2010"/>
      <c r="BX1002" s="2010"/>
      <c r="BY1002" s="2010"/>
      <c r="BZ1002" s="2010"/>
      <c r="CA1002" s="2010"/>
      <c r="CB1002" s="2010"/>
      <c r="CC1002" s="2010"/>
      <c r="CD1002" s="2010"/>
      <c r="CE1002" s="2010"/>
      <c r="CF1002" s="2010"/>
      <c r="CG1002" s="2010"/>
      <c r="CH1002" s="2010"/>
      <c r="CI1002" s="2010"/>
      <c r="CJ1002" s="2010"/>
      <c r="CK1002" s="2010"/>
      <c r="CL1002" s="2010"/>
      <c r="CM1002" s="2010"/>
      <c r="CN1002" s="2010"/>
      <c r="CO1002" s="2010"/>
      <c r="CP1002" s="2010"/>
      <c r="CQ1002" s="2010"/>
      <c r="CR1002" s="2010"/>
      <c r="CS1002" s="2010"/>
      <c r="CT1002" s="2010"/>
      <c r="CU1002" s="2010"/>
      <c r="CV1002" s="2010"/>
      <c r="CW1002" s="2010"/>
      <c r="CX1002" s="2010"/>
      <c r="CY1002" s="2010"/>
      <c r="CZ1002" s="2010"/>
      <c r="DA1002" s="2010"/>
      <c r="DB1002" s="2010"/>
      <c r="DC1002" s="2010"/>
      <c r="DD1002" s="2010"/>
      <c r="DE1002" s="2010"/>
    </row>
    <row r="1003" spans="1:109" s="2014" customFormat="1" x14ac:dyDescent="0.2">
      <c r="A1003" s="2013"/>
      <c r="B1003" s="2013"/>
      <c r="C1003" s="2013"/>
      <c r="D1003" s="2013"/>
      <c r="AB1003" s="2010"/>
      <c r="AU1003" s="2010"/>
      <c r="AV1003" s="2010"/>
      <c r="AW1003" s="2010"/>
      <c r="AX1003" s="2010"/>
      <c r="AY1003" s="2010"/>
      <c r="AZ1003" s="2010"/>
      <c r="BA1003" s="2010"/>
      <c r="BB1003" s="2010"/>
      <c r="BC1003" s="2010"/>
      <c r="BD1003" s="2010"/>
      <c r="BE1003" s="2010"/>
      <c r="BF1003" s="2010"/>
      <c r="BG1003" s="2010"/>
      <c r="BH1003" s="2010"/>
      <c r="BI1003" s="2010"/>
      <c r="BJ1003" s="2010"/>
      <c r="BK1003" s="2010"/>
      <c r="BL1003" s="2010"/>
      <c r="BM1003" s="2010"/>
      <c r="BN1003" s="2010"/>
      <c r="BO1003" s="2010"/>
      <c r="BP1003" s="2010"/>
      <c r="BQ1003" s="2010"/>
      <c r="BR1003" s="2010"/>
      <c r="BS1003" s="2010"/>
      <c r="BT1003" s="2010"/>
      <c r="BU1003" s="2010"/>
      <c r="BV1003" s="2010"/>
      <c r="BW1003" s="2010"/>
      <c r="BX1003" s="2010"/>
      <c r="BY1003" s="2010"/>
      <c r="BZ1003" s="2010"/>
      <c r="CA1003" s="2010"/>
      <c r="CB1003" s="2010"/>
      <c r="CC1003" s="2010"/>
      <c r="CD1003" s="2010"/>
      <c r="CE1003" s="2010"/>
      <c r="CF1003" s="2010"/>
      <c r="CG1003" s="2010"/>
      <c r="CH1003" s="2010"/>
      <c r="CI1003" s="2010"/>
      <c r="CJ1003" s="2010"/>
      <c r="CK1003" s="2010"/>
      <c r="CL1003" s="2010"/>
      <c r="CM1003" s="2010"/>
      <c r="CN1003" s="2010"/>
      <c r="CO1003" s="2010"/>
      <c r="CP1003" s="2010"/>
      <c r="CQ1003" s="2010"/>
      <c r="CR1003" s="2010"/>
      <c r="CS1003" s="2010"/>
      <c r="CT1003" s="2010"/>
      <c r="CU1003" s="2010"/>
      <c r="CV1003" s="2010"/>
      <c r="CW1003" s="2010"/>
      <c r="CX1003" s="2010"/>
      <c r="CY1003" s="2010"/>
      <c r="CZ1003" s="2010"/>
      <c r="DA1003" s="2010"/>
      <c r="DB1003" s="2010"/>
      <c r="DC1003" s="2010"/>
      <c r="DD1003" s="2010"/>
      <c r="DE1003" s="2010"/>
    </row>
    <row r="1004" spans="1:109" s="2014" customFormat="1" x14ac:dyDescent="0.2">
      <c r="A1004" s="2013"/>
      <c r="B1004" s="2013"/>
      <c r="C1004" s="2013"/>
      <c r="D1004" s="2013"/>
      <c r="AB1004" s="2010"/>
      <c r="AU1004" s="2010"/>
      <c r="AV1004" s="2010"/>
      <c r="AW1004" s="2010"/>
      <c r="AX1004" s="2010"/>
      <c r="AY1004" s="2010"/>
      <c r="AZ1004" s="2010"/>
      <c r="BA1004" s="2010"/>
      <c r="BB1004" s="2010"/>
      <c r="BC1004" s="2010"/>
      <c r="BD1004" s="2010"/>
      <c r="BE1004" s="2010"/>
      <c r="BF1004" s="2010"/>
      <c r="BG1004" s="2010"/>
      <c r="BH1004" s="2010"/>
      <c r="BI1004" s="2010"/>
      <c r="BJ1004" s="2010"/>
      <c r="BK1004" s="2010"/>
      <c r="BL1004" s="2010"/>
      <c r="BM1004" s="2010"/>
      <c r="BN1004" s="2010"/>
      <c r="BO1004" s="2010"/>
      <c r="BP1004" s="2010"/>
      <c r="BQ1004" s="2010"/>
      <c r="BR1004" s="2010"/>
      <c r="BS1004" s="2010"/>
      <c r="BT1004" s="2010"/>
      <c r="BU1004" s="2010"/>
      <c r="BV1004" s="2010"/>
      <c r="BW1004" s="2010"/>
      <c r="BX1004" s="2010"/>
      <c r="BY1004" s="2010"/>
      <c r="BZ1004" s="2010"/>
      <c r="CA1004" s="2010"/>
      <c r="CB1004" s="2010"/>
      <c r="CC1004" s="2010"/>
      <c r="CD1004" s="2010"/>
      <c r="CE1004" s="2010"/>
      <c r="CF1004" s="2010"/>
      <c r="CG1004" s="2010"/>
      <c r="CH1004" s="2010"/>
      <c r="CI1004" s="2010"/>
      <c r="CJ1004" s="2010"/>
      <c r="CK1004" s="2010"/>
      <c r="CL1004" s="2010"/>
      <c r="CM1004" s="2010"/>
      <c r="CN1004" s="2010"/>
      <c r="CO1004" s="2010"/>
      <c r="CP1004" s="2010"/>
      <c r="CQ1004" s="2010"/>
      <c r="CR1004" s="2010"/>
      <c r="CS1004" s="2010"/>
      <c r="CT1004" s="2010"/>
      <c r="CU1004" s="2010"/>
      <c r="CV1004" s="2010"/>
      <c r="CW1004" s="2010"/>
      <c r="CX1004" s="2010"/>
      <c r="CY1004" s="2010"/>
      <c r="CZ1004" s="2010"/>
      <c r="DA1004" s="2010"/>
      <c r="DB1004" s="2010"/>
      <c r="DC1004" s="2010"/>
      <c r="DD1004" s="2010"/>
      <c r="DE1004" s="2010"/>
    </row>
    <row r="1005" spans="1:109" s="2014" customFormat="1" x14ac:dyDescent="0.2">
      <c r="A1005" s="2013"/>
      <c r="B1005" s="2013"/>
      <c r="C1005" s="2013"/>
      <c r="D1005" s="2013"/>
      <c r="AB1005" s="2010"/>
      <c r="AU1005" s="2010"/>
      <c r="AV1005" s="2010"/>
      <c r="AW1005" s="2010"/>
      <c r="AX1005" s="2010"/>
      <c r="AY1005" s="2010"/>
      <c r="AZ1005" s="2010"/>
      <c r="BA1005" s="2010"/>
      <c r="BB1005" s="2010"/>
      <c r="BC1005" s="2010"/>
      <c r="BD1005" s="2010"/>
      <c r="BE1005" s="2010"/>
      <c r="BF1005" s="2010"/>
      <c r="BG1005" s="2010"/>
      <c r="BH1005" s="2010"/>
      <c r="BI1005" s="2010"/>
      <c r="BJ1005" s="2010"/>
      <c r="BK1005" s="2010"/>
      <c r="BL1005" s="2010"/>
      <c r="BM1005" s="2010"/>
      <c r="BN1005" s="2010"/>
      <c r="BO1005" s="2010"/>
      <c r="BP1005" s="2010"/>
      <c r="BQ1005" s="2010"/>
      <c r="BR1005" s="2010"/>
      <c r="BS1005" s="2010"/>
      <c r="BT1005" s="2010"/>
      <c r="BU1005" s="2010"/>
      <c r="BV1005" s="2010"/>
      <c r="BW1005" s="2010"/>
      <c r="BX1005" s="2010"/>
      <c r="BY1005" s="2010"/>
      <c r="BZ1005" s="2010"/>
      <c r="CA1005" s="2010"/>
      <c r="CB1005" s="2010"/>
      <c r="CC1005" s="2010"/>
      <c r="CD1005" s="2010"/>
      <c r="CE1005" s="2010"/>
      <c r="CF1005" s="2010"/>
      <c r="CG1005" s="2010"/>
      <c r="CH1005" s="2010"/>
      <c r="CI1005" s="2010"/>
      <c r="CJ1005" s="2010"/>
      <c r="CK1005" s="2010"/>
      <c r="CL1005" s="2010"/>
      <c r="CM1005" s="2010"/>
      <c r="CN1005" s="2010"/>
      <c r="CO1005" s="2010"/>
      <c r="CP1005" s="2010"/>
      <c r="CQ1005" s="2010"/>
      <c r="CR1005" s="2010"/>
      <c r="CS1005" s="2010"/>
      <c r="CT1005" s="2010"/>
      <c r="CU1005" s="2010"/>
      <c r="CV1005" s="2010"/>
      <c r="CW1005" s="2010"/>
      <c r="CX1005" s="2010"/>
      <c r="CY1005" s="2010"/>
      <c r="CZ1005" s="2010"/>
      <c r="DA1005" s="2010"/>
      <c r="DB1005" s="2010"/>
      <c r="DC1005" s="2010"/>
      <c r="DD1005" s="2010"/>
      <c r="DE1005" s="2010"/>
    </row>
    <row r="1006" spans="1:109" s="2014" customFormat="1" x14ac:dyDescent="0.2">
      <c r="A1006" s="2013"/>
      <c r="B1006" s="2013"/>
      <c r="C1006" s="2013"/>
      <c r="D1006" s="2013"/>
      <c r="AB1006" s="2010"/>
      <c r="AU1006" s="2010"/>
      <c r="AV1006" s="2010"/>
      <c r="AW1006" s="2010"/>
      <c r="AX1006" s="2010"/>
      <c r="AY1006" s="2010"/>
      <c r="AZ1006" s="2010"/>
      <c r="BA1006" s="2010"/>
      <c r="BB1006" s="2010"/>
      <c r="BC1006" s="2010"/>
      <c r="BD1006" s="2010"/>
      <c r="BE1006" s="2010"/>
      <c r="BF1006" s="2010"/>
      <c r="BG1006" s="2010"/>
      <c r="BH1006" s="2010"/>
      <c r="BI1006" s="2010"/>
      <c r="BJ1006" s="2010"/>
      <c r="BK1006" s="2010"/>
      <c r="BL1006" s="2010"/>
      <c r="BM1006" s="2010"/>
      <c r="BN1006" s="2010"/>
      <c r="BO1006" s="2010"/>
      <c r="BP1006" s="2010"/>
      <c r="BQ1006" s="2010"/>
      <c r="BR1006" s="2010"/>
      <c r="BS1006" s="2010"/>
      <c r="BT1006" s="2010"/>
      <c r="BU1006" s="2010"/>
      <c r="BV1006" s="2010"/>
      <c r="BW1006" s="2010"/>
      <c r="BX1006" s="2010"/>
      <c r="BY1006" s="2010"/>
      <c r="BZ1006" s="2010"/>
      <c r="CA1006" s="2010"/>
      <c r="CB1006" s="2010"/>
      <c r="CC1006" s="2010"/>
      <c r="CD1006" s="2010"/>
      <c r="CE1006" s="2010"/>
      <c r="CF1006" s="2010"/>
      <c r="CG1006" s="2010"/>
      <c r="CH1006" s="2010"/>
      <c r="CI1006" s="2010"/>
      <c r="CJ1006" s="2010"/>
      <c r="CK1006" s="2010"/>
      <c r="CL1006" s="2010"/>
      <c r="CM1006" s="2010"/>
      <c r="CN1006" s="2010"/>
      <c r="CO1006" s="2010"/>
      <c r="CP1006" s="2010"/>
      <c r="CQ1006" s="2010"/>
      <c r="CR1006" s="2010"/>
      <c r="CS1006" s="2010"/>
      <c r="CT1006" s="2010"/>
      <c r="CU1006" s="2010"/>
      <c r="CV1006" s="2010"/>
      <c r="CW1006" s="2010"/>
      <c r="CX1006" s="2010"/>
      <c r="CY1006" s="2010"/>
      <c r="CZ1006" s="2010"/>
      <c r="DA1006" s="2010"/>
      <c r="DB1006" s="2010"/>
      <c r="DC1006" s="2010"/>
      <c r="DD1006" s="2010"/>
      <c r="DE1006" s="2010"/>
    </row>
    <row r="1007" spans="1:109" s="2014" customFormat="1" x14ac:dyDescent="0.2">
      <c r="A1007" s="2013"/>
      <c r="B1007" s="2013"/>
      <c r="C1007" s="2013"/>
      <c r="D1007" s="2013"/>
      <c r="AB1007" s="2010"/>
      <c r="AU1007" s="2010"/>
      <c r="AV1007" s="2010"/>
      <c r="AW1007" s="2010"/>
      <c r="AX1007" s="2010"/>
      <c r="AY1007" s="2010"/>
      <c r="AZ1007" s="2010"/>
      <c r="BA1007" s="2010"/>
      <c r="BB1007" s="2010"/>
      <c r="BC1007" s="2010"/>
      <c r="BD1007" s="2010"/>
      <c r="BE1007" s="2010"/>
      <c r="BF1007" s="2010"/>
      <c r="BG1007" s="2010"/>
      <c r="BH1007" s="2010"/>
      <c r="BI1007" s="2010"/>
      <c r="BJ1007" s="2010"/>
      <c r="BK1007" s="2010"/>
      <c r="BL1007" s="2010"/>
      <c r="BM1007" s="2010"/>
      <c r="BN1007" s="2010"/>
      <c r="BO1007" s="2010"/>
      <c r="BP1007" s="2010"/>
      <c r="BQ1007" s="2010"/>
      <c r="BR1007" s="2010"/>
      <c r="BS1007" s="2010"/>
      <c r="BT1007" s="2010"/>
      <c r="BU1007" s="2010"/>
      <c r="BV1007" s="2010"/>
      <c r="BW1007" s="2010"/>
      <c r="BX1007" s="2010"/>
      <c r="BY1007" s="2010"/>
      <c r="BZ1007" s="2010"/>
      <c r="CA1007" s="2010"/>
      <c r="CB1007" s="2010"/>
      <c r="CC1007" s="2010"/>
      <c r="CD1007" s="2010"/>
      <c r="CE1007" s="2010"/>
      <c r="CF1007" s="2010"/>
      <c r="CG1007" s="2010"/>
      <c r="CH1007" s="2010"/>
      <c r="CI1007" s="2010"/>
      <c r="CJ1007" s="2010"/>
      <c r="CK1007" s="2010"/>
      <c r="CL1007" s="2010"/>
      <c r="CM1007" s="2010"/>
      <c r="CN1007" s="2010"/>
      <c r="CO1007" s="2010"/>
      <c r="CP1007" s="2010"/>
      <c r="CQ1007" s="2010"/>
      <c r="CR1007" s="2010"/>
      <c r="CS1007" s="2010"/>
      <c r="CT1007" s="2010"/>
      <c r="CU1007" s="2010"/>
      <c r="CV1007" s="2010"/>
      <c r="CW1007" s="2010"/>
      <c r="CX1007" s="2010"/>
      <c r="CY1007" s="2010"/>
      <c r="CZ1007" s="2010"/>
      <c r="DA1007" s="2010"/>
      <c r="DB1007" s="2010"/>
      <c r="DC1007" s="2010"/>
      <c r="DD1007" s="2010"/>
      <c r="DE1007" s="2010"/>
    </row>
    <row r="1008" spans="1:109" s="2014" customFormat="1" x14ac:dyDescent="0.2">
      <c r="A1008" s="2013"/>
      <c r="B1008" s="2013"/>
      <c r="C1008" s="2013"/>
      <c r="D1008" s="2013"/>
      <c r="AB1008" s="2010"/>
      <c r="AU1008" s="2010"/>
      <c r="AV1008" s="2010"/>
      <c r="AW1008" s="2010"/>
      <c r="AX1008" s="2010"/>
      <c r="AY1008" s="2010"/>
      <c r="AZ1008" s="2010"/>
      <c r="BA1008" s="2010"/>
      <c r="BB1008" s="2010"/>
      <c r="BC1008" s="2010"/>
      <c r="BD1008" s="2010"/>
      <c r="BE1008" s="2010"/>
      <c r="BF1008" s="2010"/>
      <c r="BG1008" s="2010"/>
      <c r="BH1008" s="2010"/>
      <c r="BI1008" s="2010"/>
      <c r="BJ1008" s="2010"/>
      <c r="BK1008" s="2010"/>
      <c r="BL1008" s="2010"/>
      <c r="BM1008" s="2010"/>
      <c r="BN1008" s="2010"/>
      <c r="BO1008" s="2010"/>
      <c r="BP1008" s="2010"/>
      <c r="BQ1008" s="2010"/>
      <c r="BR1008" s="2010"/>
      <c r="BS1008" s="2010"/>
      <c r="BT1008" s="2010"/>
      <c r="BU1008" s="2010"/>
      <c r="BV1008" s="2010"/>
      <c r="BW1008" s="2010"/>
      <c r="BX1008" s="2010"/>
      <c r="BY1008" s="2010"/>
      <c r="BZ1008" s="2010"/>
      <c r="CA1008" s="2010"/>
      <c r="CB1008" s="2010"/>
      <c r="CC1008" s="2010"/>
      <c r="CD1008" s="2010"/>
      <c r="CE1008" s="2010"/>
      <c r="CF1008" s="2010"/>
      <c r="CG1008" s="2010"/>
      <c r="CH1008" s="2010"/>
      <c r="CI1008" s="2010"/>
      <c r="CJ1008" s="2010"/>
      <c r="CK1008" s="2010"/>
      <c r="CL1008" s="2010"/>
      <c r="CM1008" s="2010"/>
      <c r="CN1008" s="2010"/>
      <c r="CO1008" s="2010"/>
      <c r="CP1008" s="2010"/>
      <c r="CQ1008" s="2010"/>
      <c r="CR1008" s="2010"/>
      <c r="CS1008" s="2010"/>
      <c r="CT1008" s="2010"/>
      <c r="CU1008" s="2010"/>
      <c r="CV1008" s="2010"/>
      <c r="CW1008" s="2010"/>
      <c r="CX1008" s="2010"/>
      <c r="CY1008" s="2010"/>
      <c r="CZ1008" s="2010"/>
      <c r="DA1008" s="2010"/>
      <c r="DB1008" s="2010"/>
      <c r="DC1008" s="2010"/>
      <c r="DD1008" s="2010"/>
      <c r="DE1008" s="2010"/>
    </row>
    <row r="1009" spans="1:109" s="2014" customFormat="1" x14ac:dyDescent="0.2">
      <c r="A1009" s="2013"/>
      <c r="B1009" s="2013"/>
      <c r="C1009" s="2013"/>
      <c r="D1009" s="2013"/>
      <c r="AB1009" s="2010"/>
      <c r="AU1009" s="2010"/>
      <c r="AV1009" s="2010"/>
      <c r="AW1009" s="2010"/>
      <c r="AX1009" s="2010"/>
      <c r="AY1009" s="2010"/>
      <c r="AZ1009" s="2010"/>
      <c r="BA1009" s="2010"/>
      <c r="BB1009" s="2010"/>
      <c r="BC1009" s="2010"/>
      <c r="BD1009" s="2010"/>
      <c r="BE1009" s="2010"/>
      <c r="BF1009" s="2010"/>
      <c r="BG1009" s="2010"/>
      <c r="BH1009" s="2010"/>
      <c r="BI1009" s="2010"/>
      <c r="BJ1009" s="2010"/>
      <c r="BK1009" s="2010"/>
      <c r="BL1009" s="2010"/>
      <c r="BM1009" s="2010"/>
      <c r="BN1009" s="2010"/>
      <c r="BO1009" s="2010"/>
      <c r="BP1009" s="2010"/>
      <c r="BQ1009" s="2010"/>
      <c r="BR1009" s="2010"/>
      <c r="BS1009" s="2010"/>
      <c r="BT1009" s="2010"/>
      <c r="BU1009" s="2010"/>
      <c r="BV1009" s="2010"/>
      <c r="BW1009" s="2010"/>
      <c r="BX1009" s="2010"/>
      <c r="BY1009" s="2010"/>
      <c r="BZ1009" s="2010"/>
      <c r="CA1009" s="2010"/>
      <c r="CB1009" s="2010"/>
      <c r="CC1009" s="2010"/>
      <c r="CD1009" s="2010"/>
      <c r="CE1009" s="2010"/>
      <c r="CF1009" s="2010"/>
      <c r="CG1009" s="2010"/>
      <c r="CH1009" s="2010"/>
      <c r="CI1009" s="2010"/>
      <c r="CJ1009" s="2010"/>
      <c r="CK1009" s="2010"/>
      <c r="CL1009" s="2010"/>
      <c r="CM1009" s="2010"/>
      <c r="CN1009" s="2010"/>
      <c r="CO1009" s="2010"/>
      <c r="CP1009" s="2010"/>
      <c r="CQ1009" s="2010"/>
      <c r="CR1009" s="2010"/>
      <c r="CS1009" s="2010"/>
      <c r="CT1009" s="2010"/>
      <c r="CU1009" s="2010"/>
      <c r="CV1009" s="2010"/>
      <c r="CW1009" s="2010"/>
      <c r="CX1009" s="2010"/>
      <c r="CY1009" s="2010"/>
      <c r="CZ1009" s="2010"/>
      <c r="DA1009" s="2010"/>
      <c r="DB1009" s="2010"/>
      <c r="DC1009" s="2010"/>
      <c r="DD1009" s="2010"/>
      <c r="DE1009" s="2010"/>
    </row>
    <row r="1010" spans="1:109" s="2014" customFormat="1" x14ac:dyDescent="0.2">
      <c r="A1010" s="2013"/>
      <c r="B1010" s="2013"/>
      <c r="C1010" s="2013"/>
      <c r="D1010" s="2013"/>
      <c r="AB1010" s="2010"/>
      <c r="AU1010" s="2010"/>
      <c r="AV1010" s="2010"/>
      <c r="AW1010" s="2010"/>
      <c r="AX1010" s="2010"/>
      <c r="AY1010" s="2010"/>
      <c r="AZ1010" s="2010"/>
      <c r="BA1010" s="2010"/>
      <c r="BB1010" s="2010"/>
      <c r="BC1010" s="2010"/>
      <c r="BD1010" s="2010"/>
      <c r="BE1010" s="2010"/>
      <c r="BF1010" s="2010"/>
      <c r="BG1010" s="2010"/>
      <c r="BH1010" s="2010"/>
      <c r="BI1010" s="2010"/>
      <c r="BJ1010" s="2010"/>
      <c r="BK1010" s="2010"/>
      <c r="BL1010" s="2010"/>
      <c r="BM1010" s="2010"/>
      <c r="BN1010" s="2010"/>
      <c r="BO1010" s="2010"/>
      <c r="BP1010" s="2010"/>
      <c r="BQ1010" s="2010"/>
      <c r="BR1010" s="2010"/>
      <c r="BS1010" s="2010"/>
      <c r="BT1010" s="2010"/>
      <c r="BU1010" s="2010"/>
      <c r="BV1010" s="2010"/>
      <c r="BW1010" s="2010"/>
      <c r="BX1010" s="2010"/>
      <c r="BY1010" s="2010"/>
      <c r="BZ1010" s="2010"/>
      <c r="CA1010" s="2010"/>
      <c r="CB1010" s="2010"/>
      <c r="CC1010" s="2010"/>
      <c r="CD1010" s="2010"/>
      <c r="CE1010" s="2010"/>
      <c r="CF1010" s="2010"/>
      <c r="CG1010" s="2010"/>
      <c r="CH1010" s="2010"/>
      <c r="CI1010" s="2010"/>
      <c r="CJ1010" s="2010"/>
      <c r="CK1010" s="2010"/>
      <c r="CL1010" s="2010"/>
      <c r="CM1010" s="2010"/>
      <c r="CN1010" s="2010"/>
      <c r="CO1010" s="2010"/>
      <c r="CP1010" s="2010"/>
      <c r="CQ1010" s="2010"/>
      <c r="CR1010" s="2010"/>
      <c r="CS1010" s="2010"/>
      <c r="CT1010" s="2010"/>
      <c r="CU1010" s="2010"/>
      <c r="CV1010" s="2010"/>
      <c r="CW1010" s="2010"/>
      <c r="CX1010" s="2010"/>
      <c r="CY1010" s="2010"/>
      <c r="CZ1010" s="2010"/>
      <c r="DA1010" s="2010"/>
      <c r="DB1010" s="2010"/>
      <c r="DC1010" s="2010"/>
      <c r="DD1010" s="2010"/>
      <c r="DE1010" s="2010"/>
    </row>
    <row r="1011" spans="1:109" s="2014" customFormat="1" x14ac:dyDescent="0.2">
      <c r="A1011" s="2013"/>
      <c r="B1011" s="2013"/>
      <c r="C1011" s="2013"/>
      <c r="D1011" s="2013"/>
      <c r="AB1011" s="2010"/>
      <c r="AU1011" s="2010"/>
      <c r="AV1011" s="2010"/>
      <c r="AW1011" s="2010"/>
      <c r="AX1011" s="2010"/>
      <c r="AY1011" s="2010"/>
      <c r="AZ1011" s="2010"/>
      <c r="BA1011" s="2010"/>
      <c r="BB1011" s="2010"/>
      <c r="BC1011" s="2010"/>
      <c r="BD1011" s="2010"/>
      <c r="BE1011" s="2010"/>
      <c r="BF1011" s="2010"/>
      <c r="BG1011" s="2010"/>
      <c r="BH1011" s="2010"/>
      <c r="BI1011" s="2010"/>
      <c r="BJ1011" s="2010"/>
      <c r="BK1011" s="2010"/>
      <c r="BL1011" s="2010"/>
      <c r="BM1011" s="2010"/>
      <c r="BN1011" s="2010"/>
      <c r="BO1011" s="2010"/>
      <c r="BP1011" s="2010"/>
      <c r="BQ1011" s="2010"/>
      <c r="BR1011" s="2010"/>
      <c r="BS1011" s="2010"/>
      <c r="BT1011" s="2010"/>
      <c r="BU1011" s="2010"/>
      <c r="BV1011" s="2010"/>
      <c r="BW1011" s="2010"/>
      <c r="BX1011" s="2010"/>
      <c r="BY1011" s="2010"/>
      <c r="BZ1011" s="2010"/>
      <c r="CA1011" s="2010"/>
      <c r="CB1011" s="2010"/>
      <c r="CC1011" s="2010"/>
      <c r="CD1011" s="2010"/>
      <c r="CE1011" s="2010"/>
      <c r="CF1011" s="2010"/>
      <c r="CG1011" s="2010"/>
      <c r="CH1011" s="2010"/>
      <c r="CI1011" s="2010"/>
      <c r="CJ1011" s="2010"/>
      <c r="CK1011" s="2010"/>
      <c r="CL1011" s="2010"/>
      <c r="CM1011" s="2010"/>
      <c r="CN1011" s="2010"/>
      <c r="CO1011" s="2010"/>
      <c r="CP1011" s="2010"/>
      <c r="CQ1011" s="2010"/>
      <c r="CR1011" s="2010"/>
      <c r="CS1011" s="2010"/>
      <c r="CT1011" s="2010"/>
      <c r="CU1011" s="2010"/>
      <c r="CV1011" s="2010"/>
      <c r="CW1011" s="2010"/>
      <c r="CX1011" s="2010"/>
      <c r="CY1011" s="2010"/>
      <c r="CZ1011" s="2010"/>
      <c r="DA1011" s="2010"/>
      <c r="DB1011" s="2010"/>
      <c r="DC1011" s="2010"/>
      <c r="DD1011" s="2010"/>
      <c r="DE1011" s="2010"/>
    </row>
    <row r="1012" spans="1:109" s="2014" customFormat="1" x14ac:dyDescent="0.2">
      <c r="A1012" s="2013"/>
      <c r="B1012" s="2013"/>
      <c r="C1012" s="2013"/>
      <c r="D1012" s="2013"/>
      <c r="AB1012" s="2010"/>
      <c r="AU1012" s="2010"/>
      <c r="AV1012" s="2010"/>
      <c r="AW1012" s="2010"/>
      <c r="AX1012" s="2010"/>
      <c r="AY1012" s="2010"/>
      <c r="AZ1012" s="2010"/>
      <c r="BA1012" s="2010"/>
      <c r="BB1012" s="2010"/>
      <c r="BC1012" s="2010"/>
      <c r="BD1012" s="2010"/>
      <c r="BE1012" s="2010"/>
      <c r="BF1012" s="2010"/>
      <c r="BG1012" s="2010"/>
      <c r="BH1012" s="2010"/>
      <c r="BI1012" s="2010"/>
      <c r="BJ1012" s="2010"/>
      <c r="BK1012" s="2010"/>
      <c r="BL1012" s="2010"/>
      <c r="BM1012" s="2010"/>
      <c r="BN1012" s="2010"/>
      <c r="BO1012" s="2010"/>
      <c r="BP1012" s="2010"/>
      <c r="BQ1012" s="2010"/>
      <c r="BR1012" s="2010"/>
      <c r="BS1012" s="2010"/>
      <c r="BT1012" s="2010"/>
      <c r="BU1012" s="2010"/>
      <c r="BV1012" s="2010"/>
      <c r="BW1012" s="2010"/>
      <c r="BX1012" s="2010"/>
      <c r="BY1012" s="2010"/>
      <c r="BZ1012" s="2010"/>
      <c r="CA1012" s="2010"/>
      <c r="CB1012" s="2010"/>
      <c r="CC1012" s="2010"/>
      <c r="CD1012" s="2010"/>
      <c r="CE1012" s="2010"/>
      <c r="CF1012" s="2010"/>
      <c r="CG1012" s="2010"/>
      <c r="CH1012" s="2010"/>
      <c r="CI1012" s="2010"/>
      <c r="CJ1012" s="2010"/>
      <c r="CK1012" s="2010"/>
      <c r="CL1012" s="2010"/>
      <c r="CM1012" s="2010"/>
      <c r="CN1012" s="2010"/>
      <c r="CO1012" s="2010"/>
      <c r="CP1012" s="2010"/>
      <c r="CQ1012" s="2010"/>
      <c r="CR1012" s="2010"/>
      <c r="CS1012" s="2010"/>
      <c r="CT1012" s="2010"/>
      <c r="CU1012" s="2010"/>
      <c r="CV1012" s="2010"/>
      <c r="CW1012" s="2010"/>
      <c r="CX1012" s="2010"/>
      <c r="CY1012" s="2010"/>
      <c r="CZ1012" s="2010"/>
      <c r="DA1012" s="2010"/>
      <c r="DB1012" s="2010"/>
      <c r="DC1012" s="2010"/>
      <c r="DD1012" s="2010"/>
      <c r="DE1012" s="2010"/>
    </row>
    <row r="1013" spans="1:109" s="2014" customFormat="1" x14ac:dyDescent="0.2">
      <c r="A1013" s="2013"/>
      <c r="B1013" s="2013"/>
      <c r="C1013" s="2013"/>
      <c r="D1013" s="2013"/>
      <c r="AB1013" s="2010"/>
      <c r="AU1013" s="2010"/>
      <c r="AV1013" s="2010"/>
      <c r="AW1013" s="2010"/>
      <c r="AX1013" s="2010"/>
      <c r="AY1013" s="2010"/>
      <c r="AZ1013" s="2010"/>
      <c r="BA1013" s="2010"/>
      <c r="BB1013" s="2010"/>
      <c r="BC1013" s="2010"/>
      <c r="BD1013" s="2010"/>
      <c r="BE1013" s="2010"/>
      <c r="BF1013" s="2010"/>
      <c r="BG1013" s="2010"/>
      <c r="BH1013" s="2010"/>
      <c r="BI1013" s="2010"/>
      <c r="BJ1013" s="2010"/>
      <c r="BK1013" s="2010"/>
      <c r="BL1013" s="2010"/>
      <c r="BM1013" s="2010"/>
      <c r="BN1013" s="2010"/>
      <c r="BO1013" s="2010"/>
      <c r="BP1013" s="2010"/>
      <c r="BQ1013" s="2010"/>
      <c r="BR1013" s="2010"/>
      <c r="BS1013" s="2010"/>
      <c r="BT1013" s="2010"/>
      <c r="BU1013" s="2010"/>
      <c r="BV1013" s="2010"/>
      <c r="BW1013" s="2010"/>
      <c r="BX1013" s="2010"/>
      <c r="BY1013" s="2010"/>
      <c r="BZ1013" s="2010"/>
      <c r="CA1013" s="2010"/>
      <c r="CB1013" s="2010"/>
      <c r="CC1013" s="2010"/>
      <c r="CD1013" s="2010"/>
      <c r="CE1013" s="2010"/>
      <c r="CF1013" s="2010"/>
      <c r="CG1013" s="2010"/>
      <c r="CH1013" s="2010"/>
      <c r="CI1013" s="2010"/>
      <c r="CJ1013" s="2010"/>
      <c r="CK1013" s="2010"/>
      <c r="CL1013" s="2010"/>
      <c r="CM1013" s="2010"/>
      <c r="CN1013" s="2010"/>
      <c r="CO1013" s="2010"/>
      <c r="CP1013" s="2010"/>
      <c r="CQ1013" s="2010"/>
      <c r="CR1013" s="2010"/>
      <c r="CS1013" s="2010"/>
      <c r="CT1013" s="2010"/>
      <c r="CU1013" s="2010"/>
      <c r="CV1013" s="2010"/>
      <c r="CW1013" s="2010"/>
      <c r="CX1013" s="2010"/>
      <c r="CY1013" s="2010"/>
      <c r="CZ1013" s="2010"/>
      <c r="DA1013" s="2010"/>
      <c r="DB1013" s="2010"/>
      <c r="DC1013" s="2010"/>
      <c r="DD1013" s="2010"/>
      <c r="DE1013" s="2010"/>
    </row>
    <row r="1014" spans="1:109" s="2014" customFormat="1" x14ac:dyDescent="0.2">
      <c r="A1014" s="2013"/>
      <c r="B1014" s="2013"/>
      <c r="C1014" s="2013"/>
      <c r="D1014" s="2013"/>
      <c r="AB1014" s="2010"/>
      <c r="AU1014" s="2010"/>
      <c r="AV1014" s="2010"/>
      <c r="AW1014" s="2010"/>
      <c r="AX1014" s="2010"/>
      <c r="AY1014" s="2010"/>
      <c r="AZ1014" s="2010"/>
      <c r="BA1014" s="2010"/>
      <c r="BB1014" s="2010"/>
      <c r="BC1014" s="2010"/>
      <c r="BD1014" s="2010"/>
      <c r="BE1014" s="2010"/>
      <c r="BF1014" s="2010"/>
      <c r="BG1014" s="2010"/>
      <c r="BH1014" s="2010"/>
      <c r="BI1014" s="2010"/>
      <c r="BJ1014" s="2010"/>
      <c r="BK1014" s="2010"/>
      <c r="BL1014" s="2010"/>
      <c r="BM1014" s="2010"/>
      <c r="BN1014" s="2010"/>
      <c r="BO1014" s="2010"/>
      <c r="BP1014" s="2010"/>
      <c r="BQ1014" s="2010"/>
      <c r="BR1014" s="2010"/>
      <c r="BS1014" s="2010"/>
      <c r="BT1014" s="2010"/>
      <c r="BU1014" s="2010"/>
      <c r="BV1014" s="2010"/>
      <c r="BW1014" s="2010"/>
      <c r="BX1014" s="2010"/>
      <c r="BY1014" s="2010"/>
      <c r="BZ1014" s="2010"/>
      <c r="CA1014" s="2010"/>
      <c r="CB1014" s="2010"/>
      <c r="CC1014" s="2010"/>
      <c r="CD1014" s="2010"/>
      <c r="CE1014" s="2010"/>
      <c r="CF1014" s="2010"/>
      <c r="CG1014" s="2010"/>
      <c r="CH1014" s="2010"/>
      <c r="CI1014" s="2010"/>
      <c r="CJ1014" s="2010"/>
      <c r="CK1014" s="2010"/>
      <c r="CL1014" s="2010"/>
      <c r="CM1014" s="2010"/>
      <c r="CN1014" s="2010"/>
      <c r="CO1014" s="2010"/>
      <c r="CP1014" s="2010"/>
      <c r="CQ1014" s="2010"/>
      <c r="CR1014" s="2010"/>
      <c r="CS1014" s="2010"/>
      <c r="CT1014" s="2010"/>
      <c r="CU1014" s="2010"/>
      <c r="CV1014" s="2010"/>
      <c r="CW1014" s="2010"/>
      <c r="CX1014" s="2010"/>
      <c r="CY1014" s="2010"/>
      <c r="CZ1014" s="2010"/>
      <c r="DA1014" s="2010"/>
      <c r="DB1014" s="2010"/>
      <c r="DC1014" s="2010"/>
      <c r="DD1014" s="2010"/>
      <c r="DE1014" s="2010"/>
    </row>
    <row r="1015" spans="1:109" s="2014" customFormat="1" x14ac:dyDescent="0.2">
      <c r="A1015" s="2013"/>
      <c r="B1015" s="2013"/>
      <c r="C1015" s="2013"/>
      <c r="D1015" s="2013"/>
      <c r="AB1015" s="2010"/>
      <c r="AU1015" s="2010"/>
      <c r="AV1015" s="2010"/>
      <c r="AW1015" s="2010"/>
      <c r="AX1015" s="2010"/>
      <c r="AY1015" s="2010"/>
      <c r="AZ1015" s="2010"/>
      <c r="BA1015" s="2010"/>
      <c r="BB1015" s="2010"/>
      <c r="BC1015" s="2010"/>
      <c r="BD1015" s="2010"/>
      <c r="BE1015" s="2010"/>
      <c r="BF1015" s="2010"/>
      <c r="BG1015" s="2010"/>
      <c r="BH1015" s="2010"/>
      <c r="BI1015" s="2010"/>
      <c r="BJ1015" s="2010"/>
      <c r="BK1015" s="2010"/>
      <c r="BL1015" s="2010"/>
      <c r="BM1015" s="2010"/>
      <c r="BN1015" s="2010"/>
      <c r="BO1015" s="2010"/>
      <c r="BP1015" s="2010"/>
      <c r="BQ1015" s="2010"/>
      <c r="BR1015" s="2010"/>
      <c r="BS1015" s="2010"/>
      <c r="BT1015" s="2010"/>
      <c r="BU1015" s="2010"/>
      <c r="BV1015" s="2010"/>
      <c r="BW1015" s="2010"/>
      <c r="BX1015" s="2010"/>
      <c r="BY1015" s="2010"/>
      <c r="BZ1015" s="2010"/>
      <c r="CA1015" s="2010"/>
      <c r="CB1015" s="2010"/>
      <c r="CC1015" s="2010"/>
      <c r="CD1015" s="2010"/>
      <c r="CE1015" s="2010"/>
      <c r="CF1015" s="2010"/>
      <c r="CG1015" s="2010"/>
      <c r="CH1015" s="2010"/>
      <c r="CI1015" s="2010"/>
      <c r="CJ1015" s="2010"/>
      <c r="CK1015" s="2010"/>
      <c r="CL1015" s="2010"/>
      <c r="CM1015" s="2010"/>
      <c r="CN1015" s="2010"/>
      <c r="CO1015" s="2010"/>
      <c r="CP1015" s="2010"/>
      <c r="CQ1015" s="2010"/>
      <c r="CR1015" s="2010"/>
      <c r="CS1015" s="2010"/>
      <c r="CT1015" s="2010"/>
      <c r="CU1015" s="2010"/>
      <c r="CV1015" s="2010"/>
      <c r="CW1015" s="2010"/>
      <c r="CX1015" s="2010"/>
      <c r="CY1015" s="2010"/>
      <c r="CZ1015" s="2010"/>
      <c r="DA1015" s="2010"/>
      <c r="DB1015" s="2010"/>
      <c r="DC1015" s="2010"/>
      <c r="DD1015" s="2010"/>
      <c r="DE1015" s="2010"/>
    </row>
  </sheetData>
  <sheetProtection sheet="1" objects="1" scenarios="1"/>
  <mergeCells count="3">
    <mergeCell ref="F1:AA1"/>
    <mergeCell ref="D1:E1"/>
    <mergeCell ref="AC1:AS1"/>
  </mergeCells>
  <phoneticPr fontId="5" type="noConversion"/>
  <dataValidations count="1">
    <dataValidation type="custom" allowBlank="1" showInputMessage="1" showErrorMessage="1" sqref="A1:XFD1048576">
      <formula1>$BK$1="UNLOCK"</formula1>
    </dataValidation>
  </dataValidations>
  <pageMargins left="0.39370078740157483" right="0.39370078740157483" top="0.39370078740157483" bottom="0.39370078740157483" header="0.51181102362204722" footer="0.51181102362204722"/>
  <pageSetup paperSize="8" scale="63" fitToHeight="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DE1015"/>
  <sheetViews>
    <sheetView workbookViewId="0">
      <selection activeCell="H17" sqref="H17"/>
    </sheetView>
  </sheetViews>
  <sheetFormatPr defaultRowHeight="15" x14ac:dyDescent="0.2"/>
  <cols>
    <col min="1" max="1" width="8.42578125" style="37" customWidth="1"/>
    <col min="2" max="2" width="33.140625" style="37" customWidth="1"/>
    <col min="3" max="3" width="8.140625" style="37" bestFit="1" customWidth="1"/>
    <col min="4" max="4" width="14.7109375" style="37" bestFit="1" customWidth="1"/>
    <col min="5" max="15" width="18.28515625" customWidth="1"/>
    <col min="16" max="17" width="18.42578125" customWidth="1"/>
    <col min="18" max="18" width="15.140625" customWidth="1"/>
    <col min="19" max="19" width="16.85546875" customWidth="1"/>
    <col min="20" max="20" width="13.140625" customWidth="1"/>
    <col min="21" max="22" width="13.85546875" customWidth="1"/>
    <col min="23" max="23" width="13.42578125" customWidth="1"/>
    <col min="24" max="24" width="13.28515625" customWidth="1"/>
    <col min="25" max="27" width="13.7109375" customWidth="1"/>
    <col min="28" max="28" width="3" style="540" customWidth="1"/>
    <col min="29" max="46" width="13.7109375" customWidth="1"/>
    <col min="47" max="54" width="9" style="546" customWidth="1"/>
    <col min="55" max="55" width="25.7109375" style="546" bestFit="1" customWidth="1"/>
    <col min="56" max="56" width="11.140625" style="546" customWidth="1"/>
    <col min="57" max="57" width="12.7109375" style="546" bestFit="1" customWidth="1"/>
    <col min="58" max="109" width="9.140625" style="546"/>
  </cols>
  <sheetData>
    <row r="1" spans="1:63" ht="15.75" thickBot="1" x14ac:dyDescent="0.3">
      <c r="A1" s="46"/>
      <c r="B1" s="47"/>
      <c r="C1" s="283"/>
      <c r="D1" s="277"/>
      <c r="F1" s="2361" t="s">
        <v>1122</v>
      </c>
      <c r="G1" s="2361"/>
      <c r="H1" s="2361"/>
      <c r="I1" s="2361"/>
      <c r="J1" s="2361"/>
      <c r="K1" s="2361"/>
      <c r="L1" s="2361"/>
      <c r="M1" s="2361"/>
      <c r="N1" s="2361"/>
      <c r="O1" s="2361"/>
      <c r="P1" s="2361"/>
      <c r="Q1" s="2361"/>
      <c r="R1" s="2361"/>
      <c r="S1" s="2361"/>
      <c r="T1" s="2361"/>
      <c r="U1" s="2361"/>
      <c r="V1" s="2361"/>
      <c r="W1" s="2361"/>
      <c r="X1" s="2361"/>
      <c r="Y1" s="2361"/>
      <c r="Z1" s="2361"/>
      <c r="AA1" s="2361"/>
      <c r="AB1" s="603"/>
      <c r="AC1" s="2362" t="s">
        <v>1123</v>
      </c>
      <c r="AD1" s="2362"/>
      <c r="AE1" s="2362"/>
      <c r="AF1" s="2362"/>
      <c r="AG1" s="2362"/>
      <c r="AH1" s="2362"/>
      <c r="AI1" s="2362"/>
      <c r="AJ1" s="2362"/>
      <c r="AK1" s="2362"/>
      <c r="AL1" s="2362"/>
      <c r="AM1" s="2362"/>
      <c r="AN1" s="2362"/>
      <c r="AO1" s="2362"/>
      <c r="AP1" s="2362"/>
      <c r="AQ1" s="2362"/>
      <c r="AR1" s="2362"/>
      <c r="AS1" s="2362"/>
      <c r="AT1" s="2362"/>
    </row>
    <row r="2" spans="1:63" ht="12.75" x14ac:dyDescent="0.2">
      <c r="A2" s="807"/>
      <c r="B2" s="808"/>
      <c r="C2" s="283"/>
      <c r="D2" s="356"/>
      <c r="E2" s="317"/>
      <c r="F2" s="317"/>
      <c r="G2" s="317"/>
      <c r="H2" s="317"/>
      <c r="I2" s="317"/>
      <c r="J2" s="317"/>
      <c r="K2" s="317"/>
      <c r="L2" s="317"/>
      <c r="M2" s="317"/>
      <c r="N2" s="317"/>
      <c r="O2" s="317"/>
      <c r="P2" s="317"/>
      <c r="Q2" s="317"/>
      <c r="R2" s="331"/>
      <c r="S2" s="331"/>
      <c r="T2" s="331"/>
      <c r="U2" s="331"/>
      <c r="V2" s="331"/>
      <c r="W2" s="331"/>
      <c r="X2" s="331"/>
      <c r="Y2" s="331"/>
      <c r="Z2" s="331"/>
      <c r="AA2" s="331"/>
      <c r="AB2" s="869"/>
      <c r="AC2" s="331"/>
      <c r="AD2" s="331"/>
      <c r="AE2" s="331"/>
      <c r="AF2" s="331"/>
      <c r="AG2" s="331"/>
      <c r="AH2" s="331"/>
      <c r="AI2" s="331"/>
      <c r="AJ2" s="331"/>
      <c r="AK2" s="331"/>
      <c r="AL2" s="331"/>
      <c r="AM2" s="331"/>
      <c r="AN2" s="331"/>
      <c r="AO2" s="331"/>
      <c r="AP2" s="331"/>
      <c r="AQ2" s="331"/>
      <c r="AR2" s="331"/>
      <c r="AS2" s="331"/>
      <c r="AT2" s="331"/>
    </row>
    <row r="3" spans="1:63" ht="12.75" x14ac:dyDescent="0.2">
      <c r="A3" s="48">
        <v>1</v>
      </c>
      <c r="B3" s="49">
        <v>2</v>
      </c>
      <c r="C3" s="282">
        <v>3</v>
      </c>
      <c r="D3" s="318">
        <f>+C3+1</f>
        <v>4</v>
      </c>
      <c r="E3" s="318">
        <f t="shared" ref="E3:AT3" si="0">+D3+1</f>
        <v>5</v>
      </c>
      <c r="F3" s="318">
        <f t="shared" si="0"/>
        <v>6</v>
      </c>
      <c r="G3" s="318">
        <f t="shared" si="0"/>
        <v>7</v>
      </c>
      <c r="H3" s="318">
        <f t="shared" si="0"/>
        <v>8</v>
      </c>
      <c r="I3" s="318">
        <f t="shared" si="0"/>
        <v>9</v>
      </c>
      <c r="J3" s="318">
        <f t="shared" si="0"/>
        <v>10</v>
      </c>
      <c r="K3" s="318">
        <f t="shared" si="0"/>
        <v>11</v>
      </c>
      <c r="L3" s="318">
        <f t="shared" si="0"/>
        <v>12</v>
      </c>
      <c r="M3" s="318">
        <f t="shared" si="0"/>
        <v>13</v>
      </c>
      <c r="N3" s="318">
        <f t="shared" si="0"/>
        <v>14</v>
      </c>
      <c r="O3" s="318">
        <f t="shared" si="0"/>
        <v>15</v>
      </c>
      <c r="P3" s="318">
        <f t="shared" si="0"/>
        <v>16</v>
      </c>
      <c r="Q3" s="318">
        <f t="shared" si="0"/>
        <v>17</v>
      </c>
      <c r="R3" s="318">
        <f t="shared" si="0"/>
        <v>18</v>
      </c>
      <c r="S3" s="318">
        <f t="shared" si="0"/>
        <v>19</v>
      </c>
      <c r="T3" s="318">
        <f t="shared" si="0"/>
        <v>20</v>
      </c>
      <c r="U3" s="318">
        <f t="shared" si="0"/>
        <v>21</v>
      </c>
      <c r="V3" s="318">
        <f t="shared" si="0"/>
        <v>22</v>
      </c>
      <c r="W3" s="318">
        <f t="shared" si="0"/>
        <v>23</v>
      </c>
      <c r="X3" s="318">
        <f t="shared" si="0"/>
        <v>24</v>
      </c>
      <c r="Y3" s="318">
        <f t="shared" si="0"/>
        <v>25</v>
      </c>
      <c r="Z3" s="318">
        <f t="shared" si="0"/>
        <v>26</v>
      </c>
      <c r="AA3" s="318">
        <f t="shared" si="0"/>
        <v>27</v>
      </c>
      <c r="AB3" s="870">
        <f t="shared" si="0"/>
        <v>28</v>
      </c>
      <c r="AC3" s="318">
        <f t="shared" si="0"/>
        <v>29</v>
      </c>
      <c r="AD3" s="318">
        <f t="shared" si="0"/>
        <v>30</v>
      </c>
      <c r="AE3" s="318">
        <f t="shared" si="0"/>
        <v>31</v>
      </c>
      <c r="AF3" s="318">
        <f t="shared" si="0"/>
        <v>32</v>
      </c>
      <c r="AG3" s="318">
        <f t="shared" si="0"/>
        <v>33</v>
      </c>
      <c r="AH3" s="318">
        <f t="shared" si="0"/>
        <v>34</v>
      </c>
      <c r="AI3" s="318">
        <f t="shared" si="0"/>
        <v>35</v>
      </c>
      <c r="AJ3" s="318">
        <f t="shared" si="0"/>
        <v>36</v>
      </c>
      <c r="AK3" s="318">
        <f t="shared" si="0"/>
        <v>37</v>
      </c>
      <c r="AL3" s="318">
        <f t="shared" si="0"/>
        <v>38</v>
      </c>
      <c r="AM3" s="318">
        <f t="shared" si="0"/>
        <v>39</v>
      </c>
      <c r="AN3" s="318">
        <f t="shared" si="0"/>
        <v>40</v>
      </c>
      <c r="AO3" s="318">
        <f t="shared" si="0"/>
        <v>41</v>
      </c>
      <c r="AP3" s="318">
        <f t="shared" si="0"/>
        <v>42</v>
      </c>
      <c r="AQ3" s="318">
        <f t="shared" si="0"/>
        <v>43</v>
      </c>
      <c r="AR3" s="318">
        <f t="shared" si="0"/>
        <v>44</v>
      </c>
      <c r="AS3" s="318">
        <f t="shared" si="0"/>
        <v>45</v>
      </c>
      <c r="AT3" s="318">
        <f t="shared" si="0"/>
        <v>46</v>
      </c>
    </row>
    <row r="4" spans="1:63" ht="13.5" thickBot="1" x14ac:dyDescent="0.25">
      <c r="A4" s="50"/>
      <c r="B4" s="51"/>
      <c r="C4" s="284"/>
      <c r="D4" s="357"/>
      <c r="E4" s="319"/>
      <c r="F4" s="319"/>
      <c r="G4" s="319"/>
      <c r="H4" s="319"/>
      <c r="I4" s="319"/>
      <c r="J4" s="319"/>
      <c r="K4" s="319"/>
      <c r="L4" s="319"/>
      <c r="M4" s="319"/>
      <c r="N4" s="319"/>
      <c r="O4" s="319"/>
      <c r="P4" s="319"/>
      <c r="Q4" s="319"/>
      <c r="R4" s="332"/>
      <c r="S4" s="332"/>
      <c r="T4" s="332"/>
      <c r="U4" s="332"/>
      <c r="V4" s="332"/>
      <c r="W4" s="332"/>
      <c r="X4" s="332"/>
      <c r="Y4" s="332"/>
      <c r="Z4" s="332"/>
      <c r="AA4" s="332"/>
      <c r="AB4" s="869"/>
      <c r="AC4" s="332"/>
      <c r="AD4" s="332"/>
      <c r="AE4" s="332"/>
      <c r="AF4" s="332"/>
      <c r="AG4" s="332"/>
      <c r="AH4" s="332"/>
      <c r="AI4" s="332"/>
      <c r="AJ4" s="332"/>
      <c r="AK4" s="332"/>
      <c r="AL4" s="332"/>
      <c r="AM4" s="332"/>
      <c r="AN4" s="332"/>
      <c r="AO4" s="332"/>
      <c r="AP4" s="332"/>
      <c r="AQ4" s="332"/>
      <c r="AR4" s="332"/>
      <c r="AS4" s="332"/>
      <c r="AT4" s="332"/>
    </row>
    <row r="5" spans="1:63" ht="102" x14ac:dyDescent="0.2">
      <c r="A5" s="312" t="s">
        <v>839</v>
      </c>
      <c r="B5" s="313" t="s">
        <v>840</v>
      </c>
      <c r="C5" s="314" t="s">
        <v>841</v>
      </c>
      <c r="D5" s="538" t="s">
        <v>1119</v>
      </c>
      <c r="E5" s="868" t="s">
        <v>1120</v>
      </c>
      <c r="F5" s="956" t="s">
        <v>1141</v>
      </c>
      <c r="G5" s="956" t="s">
        <v>1142</v>
      </c>
      <c r="H5" s="956" t="s">
        <v>1143</v>
      </c>
      <c r="I5" s="956" t="s">
        <v>1144</v>
      </c>
      <c r="J5" s="956" t="s">
        <v>1182</v>
      </c>
      <c r="K5" s="956" t="s">
        <v>1180</v>
      </c>
      <c r="L5" s="956" t="s">
        <v>1185</v>
      </c>
      <c r="M5" s="956" t="s">
        <v>1184</v>
      </c>
      <c r="N5" s="956" t="s">
        <v>1183</v>
      </c>
      <c r="O5" s="956" t="s">
        <v>1182</v>
      </c>
      <c r="P5" s="956" t="s">
        <v>1181</v>
      </c>
      <c r="Q5" s="956" t="s">
        <v>1180</v>
      </c>
      <c r="R5" s="956" t="s">
        <v>1179</v>
      </c>
      <c r="S5" s="956" t="s">
        <v>1174</v>
      </c>
      <c r="T5" s="956" t="s">
        <v>1175</v>
      </c>
      <c r="U5" s="956" t="s">
        <v>1043</v>
      </c>
      <c r="V5" s="956" t="s">
        <v>1044</v>
      </c>
      <c r="W5" s="956" t="s">
        <v>1176</v>
      </c>
      <c r="X5" s="956" t="s">
        <v>1177</v>
      </c>
      <c r="Y5" s="956" t="s">
        <v>1178</v>
      </c>
      <c r="Z5" s="956" t="s">
        <v>1145</v>
      </c>
      <c r="AA5" s="956" t="s">
        <v>1146</v>
      </c>
      <c r="AB5" s="869"/>
      <c r="AC5" s="958" t="s">
        <v>1187</v>
      </c>
      <c r="AD5" s="957" t="s">
        <v>1147</v>
      </c>
      <c r="AE5" s="957" t="s">
        <v>1148</v>
      </c>
      <c r="AF5" s="957" t="s">
        <v>1149</v>
      </c>
      <c r="AG5" s="957" t="s">
        <v>1150</v>
      </c>
      <c r="AH5" s="957" t="s">
        <v>1151</v>
      </c>
      <c r="AI5" s="957" t="s">
        <v>1152</v>
      </c>
      <c r="AJ5" s="957" t="s">
        <v>1153</v>
      </c>
      <c r="AK5" s="957" t="s">
        <v>1154</v>
      </c>
      <c r="AL5" s="957" t="s">
        <v>1155</v>
      </c>
      <c r="AM5" s="957" t="s">
        <v>1156</v>
      </c>
      <c r="AN5" s="957" t="s">
        <v>1157</v>
      </c>
      <c r="AO5" s="957" t="s">
        <v>1158</v>
      </c>
      <c r="AP5" s="957" t="s">
        <v>1159</v>
      </c>
      <c r="AQ5" s="957" t="s">
        <v>1160</v>
      </c>
      <c r="AR5" s="957" t="s">
        <v>1161</v>
      </c>
      <c r="AS5" s="958" t="s">
        <v>1186</v>
      </c>
      <c r="AT5" s="959" t="s">
        <v>1121</v>
      </c>
    </row>
    <row r="6" spans="1:63" ht="13.5" thickBot="1" x14ac:dyDescent="0.25">
      <c r="A6" s="285"/>
      <c r="B6" s="286"/>
      <c r="C6" s="287"/>
      <c r="D6" s="354"/>
      <c r="E6" s="319" t="s">
        <v>807</v>
      </c>
      <c r="F6" s="319" t="s">
        <v>807</v>
      </c>
      <c r="G6" s="319" t="s">
        <v>807</v>
      </c>
      <c r="H6" s="319" t="s">
        <v>807</v>
      </c>
      <c r="I6" s="319" t="s">
        <v>807</v>
      </c>
      <c r="J6" s="319" t="s">
        <v>807</v>
      </c>
      <c r="K6" s="319" t="s">
        <v>807</v>
      </c>
      <c r="L6" s="319" t="s">
        <v>807</v>
      </c>
      <c r="M6" s="319" t="s">
        <v>807</v>
      </c>
      <c r="N6" s="319" t="s">
        <v>807</v>
      </c>
      <c r="O6" s="319" t="s">
        <v>807</v>
      </c>
      <c r="P6" s="319" t="s">
        <v>807</v>
      </c>
      <c r="Q6" s="319" t="s">
        <v>807</v>
      </c>
      <c r="R6" s="333"/>
      <c r="S6" s="333"/>
      <c r="T6" s="333"/>
      <c r="U6" s="333"/>
      <c r="V6" s="333"/>
      <c r="W6" s="333"/>
      <c r="X6" s="333"/>
      <c r="Y6" s="333"/>
      <c r="Z6" s="333"/>
      <c r="AA6" s="333"/>
      <c r="AB6" s="871"/>
      <c r="AC6" s="805"/>
      <c r="AD6" s="805"/>
      <c r="AE6" s="805"/>
      <c r="AF6" s="805"/>
      <c r="AG6" s="805"/>
      <c r="AH6" s="805"/>
      <c r="AI6" s="805"/>
      <c r="AJ6" s="805"/>
      <c r="AK6" s="805"/>
      <c r="AL6" s="805"/>
      <c r="AM6" s="805"/>
      <c r="AN6" s="805"/>
      <c r="AO6" s="805"/>
      <c r="AP6" s="805"/>
      <c r="AQ6" s="805"/>
      <c r="AR6" s="805"/>
      <c r="AS6" s="805"/>
      <c r="AT6" s="287"/>
    </row>
    <row r="7" spans="1:63" ht="13.5" thickBot="1" x14ac:dyDescent="0.25">
      <c r="A7" s="355"/>
      <c r="B7" s="315"/>
      <c r="C7" s="315"/>
      <c r="D7" s="315"/>
      <c r="E7" s="315"/>
      <c r="F7" s="355"/>
      <c r="G7" s="355"/>
      <c r="H7" s="355"/>
      <c r="I7" s="355"/>
      <c r="J7" s="355"/>
      <c r="K7" s="355"/>
      <c r="L7" s="355"/>
      <c r="M7" s="355"/>
      <c r="N7" s="355"/>
      <c r="O7" s="355"/>
      <c r="P7" s="355"/>
      <c r="Q7" s="355"/>
      <c r="R7" s="355"/>
      <c r="S7" s="355"/>
      <c r="T7" s="355"/>
      <c r="U7" s="355"/>
      <c r="V7" s="355"/>
      <c r="W7" s="355"/>
      <c r="X7" s="355"/>
      <c r="Y7" s="355"/>
      <c r="Z7" s="355"/>
      <c r="AA7" s="541"/>
      <c r="AB7" s="872"/>
      <c r="AC7" s="541"/>
      <c r="AD7" s="541"/>
      <c r="AE7" s="541"/>
      <c r="AF7" s="541"/>
      <c r="AG7" s="541"/>
      <c r="AH7" s="541"/>
      <c r="AI7" s="541"/>
      <c r="AJ7" s="541"/>
      <c r="AK7" s="541"/>
      <c r="AL7" s="541"/>
      <c r="AM7" s="541"/>
      <c r="AN7" s="541"/>
      <c r="AO7" s="541"/>
      <c r="AP7" s="541"/>
      <c r="AQ7" s="541"/>
      <c r="AR7" s="541"/>
      <c r="AS7" s="541"/>
      <c r="AT7" s="355"/>
    </row>
    <row r="8" spans="1:63" ht="12.75" x14ac:dyDescent="0.2">
      <c r="A8" s="288">
        <v>1</v>
      </c>
      <c r="B8" s="289" t="s">
        <v>842</v>
      </c>
      <c r="C8" s="278" t="s">
        <v>843</v>
      </c>
      <c r="D8" s="955">
        <v>86697</v>
      </c>
      <c r="E8" s="842">
        <v>45215082</v>
      </c>
      <c r="F8" s="873">
        <v>20804850</v>
      </c>
      <c r="G8" s="873">
        <v>-1259157</v>
      </c>
      <c r="H8" s="873">
        <v>462749</v>
      </c>
      <c r="I8" s="873">
        <v>-796408</v>
      </c>
      <c r="J8" s="873">
        <v>-1307718</v>
      </c>
      <c r="K8" s="873">
        <v>-66113</v>
      </c>
      <c r="L8" s="873">
        <v>0</v>
      </c>
      <c r="M8" s="873">
        <v>0</v>
      </c>
      <c r="N8" s="873">
        <v>-327149</v>
      </c>
      <c r="O8" s="873">
        <v>-32015</v>
      </c>
      <c r="P8" s="873">
        <v>0</v>
      </c>
      <c r="Q8" s="873">
        <v>0</v>
      </c>
      <c r="R8" s="873">
        <v>0</v>
      </c>
      <c r="S8" s="873">
        <v>0</v>
      </c>
      <c r="T8" s="873">
        <v>0</v>
      </c>
      <c r="U8" s="873">
        <v>0</v>
      </c>
      <c r="V8" s="873">
        <v>0</v>
      </c>
      <c r="W8" s="873">
        <v>0</v>
      </c>
      <c r="X8" s="873">
        <v>0</v>
      </c>
      <c r="Y8" s="873">
        <v>-275234</v>
      </c>
      <c r="Z8" s="873">
        <v>17986015</v>
      </c>
      <c r="AA8" s="873">
        <v>-309310</v>
      </c>
      <c r="AB8" s="874"/>
      <c r="AC8" s="873">
        <v>94</v>
      </c>
      <c r="AD8" s="873">
        <v>9</v>
      </c>
      <c r="AE8" s="873">
        <v>0</v>
      </c>
      <c r="AF8" s="873">
        <v>1</v>
      </c>
      <c r="AG8" s="873">
        <v>118</v>
      </c>
      <c r="AH8" s="873">
        <v>18</v>
      </c>
      <c r="AI8" s="873">
        <v>0</v>
      </c>
      <c r="AJ8" s="873">
        <v>0</v>
      </c>
      <c r="AK8" s="873">
        <v>0</v>
      </c>
      <c r="AL8" s="873">
        <v>0</v>
      </c>
      <c r="AM8" s="873">
        <v>0</v>
      </c>
      <c r="AN8" s="873">
        <v>0</v>
      </c>
      <c r="AO8" s="873">
        <v>508</v>
      </c>
      <c r="AP8" s="873">
        <v>938</v>
      </c>
      <c r="AQ8" s="873">
        <v>707</v>
      </c>
      <c r="AR8" s="873">
        <v>231</v>
      </c>
      <c r="AS8" s="873">
        <v>670</v>
      </c>
      <c r="AT8" s="842">
        <v>2148</v>
      </c>
      <c r="AU8" s="663"/>
      <c r="AV8" s="663"/>
      <c r="AX8" s="666"/>
      <c r="AY8" s="666"/>
      <c r="AZ8" s="666"/>
      <c r="BA8" s="666"/>
      <c r="BB8" s="666"/>
      <c r="BD8" s="666"/>
      <c r="BE8" s="666"/>
      <c r="BG8" s="666"/>
      <c r="BI8" s="666"/>
      <c r="BJ8" s="666"/>
      <c r="BK8" s="666"/>
    </row>
    <row r="9" spans="1:63" ht="12.75" x14ac:dyDescent="0.2">
      <c r="A9" s="288">
        <v>2</v>
      </c>
      <c r="B9" s="867" t="s">
        <v>844</v>
      </c>
      <c r="C9" s="279" t="s">
        <v>845</v>
      </c>
      <c r="D9" s="955">
        <v>182110</v>
      </c>
      <c r="E9" s="843">
        <v>70887331</v>
      </c>
      <c r="F9" s="873">
        <v>33661697</v>
      </c>
      <c r="G9" s="873">
        <v>-3308183</v>
      </c>
      <c r="H9" s="873">
        <v>686217</v>
      </c>
      <c r="I9" s="873">
        <v>-2621966</v>
      </c>
      <c r="J9" s="873">
        <v>-1586514</v>
      </c>
      <c r="K9" s="873">
        <v>-63214</v>
      </c>
      <c r="L9" s="873">
        <v>-37154</v>
      </c>
      <c r="M9" s="873">
        <v>0</v>
      </c>
      <c r="N9" s="873">
        <v>-785439</v>
      </c>
      <c r="O9" s="873">
        <v>-117131</v>
      </c>
      <c r="P9" s="873">
        <v>-80459</v>
      </c>
      <c r="Q9" s="873">
        <v>-1232</v>
      </c>
      <c r="R9" s="873">
        <v>-2145</v>
      </c>
      <c r="S9" s="873">
        <v>0</v>
      </c>
      <c r="T9" s="873">
        <v>0</v>
      </c>
      <c r="U9" s="873">
        <v>0</v>
      </c>
      <c r="V9" s="873">
        <v>0</v>
      </c>
      <c r="W9" s="873">
        <v>0</v>
      </c>
      <c r="X9" s="873">
        <v>-26230</v>
      </c>
      <c r="Y9" s="873">
        <v>-696124</v>
      </c>
      <c r="Z9" s="873">
        <v>27474089</v>
      </c>
      <c r="AA9" s="873">
        <v>-192751</v>
      </c>
      <c r="AB9" s="874"/>
      <c r="AC9" s="873">
        <v>264</v>
      </c>
      <c r="AD9" s="873">
        <v>9</v>
      </c>
      <c r="AE9" s="873">
        <v>38</v>
      </c>
      <c r="AF9" s="873">
        <v>0</v>
      </c>
      <c r="AG9" s="873">
        <v>277</v>
      </c>
      <c r="AH9" s="873">
        <v>121</v>
      </c>
      <c r="AI9" s="873">
        <v>24</v>
      </c>
      <c r="AJ9" s="873">
        <v>1</v>
      </c>
      <c r="AK9" s="873">
        <v>3</v>
      </c>
      <c r="AL9" s="873">
        <v>0</v>
      </c>
      <c r="AM9" s="873">
        <v>0</v>
      </c>
      <c r="AN9" s="873">
        <v>0</v>
      </c>
      <c r="AO9" s="873">
        <v>1375</v>
      </c>
      <c r="AP9" s="873">
        <v>2034</v>
      </c>
      <c r="AQ9" s="873">
        <v>1619</v>
      </c>
      <c r="AR9" s="873">
        <v>415</v>
      </c>
      <c r="AS9" s="873">
        <v>1326</v>
      </c>
      <c r="AT9" s="843">
        <v>4748</v>
      </c>
      <c r="AU9" s="663"/>
      <c r="AV9" s="663"/>
      <c r="AX9" s="666"/>
      <c r="AY9" s="666"/>
      <c r="AZ9" s="666"/>
      <c r="BA9" s="666"/>
      <c r="BB9" s="666"/>
      <c r="BD9" s="666"/>
      <c r="BE9" s="666"/>
      <c r="BG9" s="666"/>
      <c r="BI9" s="666"/>
      <c r="BJ9" s="666"/>
      <c r="BK9" s="666"/>
    </row>
    <row r="10" spans="1:63" ht="12.75" x14ac:dyDescent="0.2">
      <c r="A10" s="288">
        <v>3</v>
      </c>
      <c r="B10" s="290" t="s">
        <v>846</v>
      </c>
      <c r="C10" s="279" t="s">
        <v>847</v>
      </c>
      <c r="D10" s="955">
        <v>151716</v>
      </c>
      <c r="E10" s="843">
        <v>77686301</v>
      </c>
      <c r="F10" s="873">
        <v>37558825</v>
      </c>
      <c r="G10" s="873">
        <v>-2630676</v>
      </c>
      <c r="H10" s="873">
        <v>830297</v>
      </c>
      <c r="I10" s="873">
        <v>-1800379</v>
      </c>
      <c r="J10" s="873">
        <v>-1704382</v>
      </c>
      <c r="K10" s="873">
        <v>-41609</v>
      </c>
      <c r="L10" s="873">
        <v>-22472</v>
      </c>
      <c r="M10" s="873">
        <v>-166000</v>
      </c>
      <c r="N10" s="873">
        <v>-1581773</v>
      </c>
      <c r="O10" s="873">
        <v>-43803</v>
      </c>
      <c r="P10" s="873">
        <v>-67081</v>
      </c>
      <c r="Q10" s="873">
        <v>0</v>
      </c>
      <c r="R10" s="873">
        <v>-22472</v>
      </c>
      <c r="S10" s="873">
        <v>-2122</v>
      </c>
      <c r="T10" s="873">
        <v>0</v>
      </c>
      <c r="U10" s="873">
        <v>0</v>
      </c>
      <c r="V10" s="873">
        <v>0</v>
      </c>
      <c r="W10" s="873">
        <v>0</v>
      </c>
      <c r="X10" s="873">
        <v>-12000</v>
      </c>
      <c r="Y10" s="873">
        <v>-695000</v>
      </c>
      <c r="Z10" s="873">
        <v>31399732</v>
      </c>
      <c r="AA10" s="873">
        <v>-1300000</v>
      </c>
      <c r="AB10" s="874"/>
      <c r="AC10" s="873">
        <v>176</v>
      </c>
      <c r="AD10" s="873">
        <v>2</v>
      </c>
      <c r="AE10" s="873">
        <v>23</v>
      </c>
      <c r="AF10" s="873">
        <v>8</v>
      </c>
      <c r="AG10" s="873">
        <v>500</v>
      </c>
      <c r="AH10" s="873">
        <v>59</v>
      </c>
      <c r="AI10" s="873">
        <v>21</v>
      </c>
      <c r="AJ10" s="873">
        <v>0</v>
      </c>
      <c r="AK10" s="873">
        <v>23</v>
      </c>
      <c r="AL10" s="873">
        <v>0</v>
      </c>
      <c r="AM10" s="873">
        <v>0</v>
      </c>
      <c r="AN10" s="873">
        <v>0</v>
      </c>
      <c r="AO10" s="873">
        <v>1354</v>
      </c>
      <c r="AP10" s="873">
        <v>1553</v>
      </c>
      <c r="AQ10" s="873">
        <v>1113</v>
      </c>
      <c r="AR10" s="873">
        <v>440</v>
      </c>
      <c r="AS10" s="873">
        <v>847</v>
      </c>
      <c r="AT10" s="843">
        <v>3773</v>
      </c>
      <c r="AU10" s="663"/>
      <c r="AV10" s="663"/>
      <c r="AX10" s="666"/>
      <c r="AY10" s="666"/>
      <c r="AZ10" s="666"/>
      <c r="BA10" s="666"/>
      <c r="BB10" s="666"/>
      <c r="BD10" s="666"/>
      <c r="BE10" s="666"/>
      <c r="BG10" s="666"/>
      <c r="BI10" s="666"/>
      <c r="BJ10" s="666"/>
      <c r="BK10" s="666"/>
    </row>
    <row r="11" spans="1:63" ht="12.75" x14ac:dyDescent="0.2">
      <c r="A11" s="288">
        <v>4</v>
      </c>
      <c r="B11" s="290" t="s">
        <v>848</v>
      </c>
      <c r="C11" s="279" t="s">
        <v>849</v>
      </c>
      <c r="D11" s="955">
        <v>177222</v>
      </c>
      <c r="E11" s="843">
        <v>86695538</v>
      </c>
      <c r="F11" s="873">
        <v>41715995</v>
      </c>
      <c r="G11" s="873">
        <v>-3215634</v>
      </c>
      <c r="H11" s="873">
        <v>755139</v>
      </c>
      <c r="I11" s="873">
        <v>-2460495</v>
      </c>
      <c r="J11" s="873">
        <v>-2677221</v>
      </c>
      <c r="K11" s="873">
        <v>-83627</v>
      </c>
      <c r="L11" s="873">
        <v>-7506</v>
      </c>
      <c r="M11" s="873">
        <v>0</v>
      </c>
      <c r="N11" s="873">
        <v>-315914</v>
      </c>
      <c r="O11" s="873">
        <v>-95658</v>
      </c>
      <c r="P11" s="873">
        <v>-12088</v>
      </c>
      <c r="Q11" s="873">
        <v>-863</v>
      </c>
      <c r="R11" s="873">
        <v>-3999</v>
      </c>
      <c r="S11" s="873">
        <v>0</v>
      </c>
      <c r="T11" s="873">
        <v>0</v>
      </c>
      <c r="U11" s="873">
        <v>0</v>
      </c>
      <c r="V11" s="873">
        <v>0</v>
      </c>
      <c r="W11" s="873">
        <v>-6025</v>
      </c>
      <c r="X11" s="873">
        <v>-8005</v>
      </c>
      <c r="Y11" s="873">
        <v>-1060902</v>
      </c>
      <c r="Z11" s="873">
        <v>34983692</v>
      </c>
      <c r="AA11" s="873">
        <v>-526000</v>
      </c>
      <c r="AB11" s="874"/>
      <c r="AC11" s="873">
        <v>257</v>
      </c>
      <c r="AD11" s="873">
        <v>24</v>
      </c>
      <c r="AE11" s="873">
        <v>5</v>
      </c>
      <c r="AF11" s="873">
        <v>0</v>
      </c>
      <c r="AG11" s="873">
        <v>311</v>
      </c>
      <c r="AH11" s="873">
        <v>83</v>
      </c>
      <c r="AI11" s="873">
        <v>2</v>
      </c>
      <c r="AJ11" s="873">
        <v>5</v>
      </c>
      <c r="AK11" s="873">
        <v>4</v>
      </c>
      <c r="AL11" s="873">
        <v>0</v>
      </c>
      <c r="AM11" s="873">
        <v>0</v>
      </c>
      <c r="AN11" s="873">
        <v>0</v>
      </c>
      <c r="AO11" s="873">
        <v>1310</v>
      </c>
      <c r="AP11" s="873">
        <v>1782</v>
      </c>
      <c r="AQ11" s="873">
        <v>1210</v>
      </c>
      <c r="AR11" s="873">
        <v>572</v>
      </c>
      <c r="AS11" s="873">
        <v>1376</v>
      </c>
      <c r="AT11" s="843">
        <v>4447</v>
      </c>
      <c r="AU11" s="663"/>
      <c r="AV11" s="663"/>
      <c r="AX11" s="666"/>
      <c r="AY11" s="666"/>
      <c r="AZ11" s="666"/>
      <c r="BA11" s="666"/>
      <c r="BB11" s="666"/>
      <c r="BD11" s="666"/>
      <c r="BE11" s="666"/>
      <c r="BG11" s="666"/>
      <c r="BI11" s="666"/>
      <c r="BJ11" s="666"/>
      <c r="BK11" s="666"/>
    </row>
    <row r="12" spans="1:63" ht="12.75" x14ac:dyDescent="0.2">
      <c r="A12" s="288">
        <v>5</v>
      </c>
      <c r="B12" s="290" t="s">
        <v>850</v>
      </c>
      <c r="C12" s="279" t="s">
        <v>851</v>
      </c>
      <c r="D12" s="955">
        <v>132117</v>
      </c>
      <c r="E12" s="843">
        <v>80240527</v>
      </c>
      <c r="F12" s="873">
        <v>38775529</v>
      </c>
      <c r="G12" s="873">
        <v>-1837230</v>
      </c>
      <c r="H12" s="873">
        <v>902975</v>
      </c>
      <c r="I12" s="873">
        <v>-934255</v>
      </c>
      <c r="J12" s="873">
        <v>-1677440</v>
      </c>
      <c r="K12" s="873">
        <v>-7257</v>
      </c>
      <c r="L12" s="873">
        <v>-11881</v>
      </c>
      <c r="M12" s="873">
        <v>-50000</v>
      </c>
      <c r="N12" s="873">
        <v>-430775</v>
      </c>
      <c r="O12" s="873">
        <v>-138711</v>
      </c>
      <c r="P12" s="873">
        <v>-51630</v>
      </c>
      <c r="Q12" s="873">
        <v>0</v>
      </c>
      <c r="R12" s="873">
        <v>-8196</v>
      </c>
      <c r="S12" s="873">
        <v>-3992</v>
      </c>
      <c r="T12" s="873">
        <v>0</v>
      </c>
      <c r="U12" s="873">
        <v>0</v>
      </c>
      <c r="V12" s="873">
        <v>0</v>
      </c>
      <c r="W12" s="873">
        <v>-35000</v>
      </c>
      <c r="X12" s="873">
        <v>-15000</v>
      </c>
      <c r="Y12" s="873">
        <v>-200000</v>
      </c>
      <c r="Z12" s="873">
        <v>35158058</v>
      </c>
      <c r="AA12" s="873">
        <v>-300000</v>
      </c>
      <c r="AB12" s="874"/>
      <c r="AC12" s="873">
        <v>105</v>
      </c>
      <c r="AD12" s="873">
        <v>3</v>
      </c>
      <c r="AE12" s="873">
        <v>13</v>
      </c>
      <c r="AF12" s="873">
        <v>0</v>
      </c>
      <c r="AG12" s="873">
        <v>290</v>
      </c>
      <c r="AH12" s="873">
        <v>37</v>
      </c>
      <c r="AI12" s="873">
        <v>7</v>
      </c>
      <c r="AJ12" s="873">
        <v>0</v>
      </c>
      <c r="AK12" s="873">
        <v>10</v>
      </c>
      <c r="AL12" s="873">
        <v>5</v>
      </c>
      <c r="AM12" s="873">
        <v>0</v>
      </c>
      <c r="AN12" s="873">
        <v>0</v>
      </c>
      <c r="AO12" s="873">
        <v>1123</v>
      </c>
      <c r="AP12" s="873">
        <v>1108</v>
      </c>
      <c r="AQ12" s="873">
        <v>870</v>
      </c>
      <c r="AR12" s="873">
        <v>238</v>
      </c>
      <c r="AS12" s="873">
        <v>870</v>
      </c>
      <c r="AT12" s="843">
        <v>3115</v>
      </c>
      <c r="AU12" s="663"/>
      <c r="AV12" s="663"/>
      <c r="AX12" s="666"/>
      <c r="AY12" s="666"/>
      <c r="AZ12" s="666"/>
      <c r="BA12" s="666"/>
      <c r="BB12" s="666"/>
      <c r="BD12" s="666"/>
      <c r="BE12" s="666"/>
      <c r="BG12" s="666"/>
      <c r="BI12" s="666"/>
      <c r="BJ12" s="666"/>
      <c r="BK12" s="666"/>
    </row>
    <row r="13" spans="1:63" ht="12.75" x14ac:dyDescent="0.2">
      <c r="A13" s="288">
        <v>6</v>
      </c>
      <c r="B13" s="290" t="s">
        <v>852</v>
      </c>
      <c r="C13" s="279" t="s">
        <v>853</v>
      </c>
      <c r="D13" s="955">
        <v>180852</v>
      </c>
      <c r="E13" s="843">
        <v>115265553</v>
      </c>
      <c r="F13" s="873">
        <v>55320405</v>
      </c>
      <c r="G13" s="873">
        <v>-2523431</v>
      </c>
      <c r="H13" s="873">
        <v>1283927</v>
      </c>
      <c r="I13" s="873">
        <v>-1239504</v>
      </c>
      <c r="J13" s="873">
        <v>-3368986</v>
      </c>
      <c r="K13" s="873">
        <v>-86385</v>
      </c>
      <c r="L13" s="873">
        <v>-36592</v>
      </c>
      <c r="M13" s="873">
        <v>-55000</v>
      </c>
      <c r="N13" s="873">
        <v>-1119983</v>
      </c>
      <c r="O13" s="873">
        <v>-173227</v>
      </c>
      <c r="P13" s="873">
        <v>-73314</v>
      </c>
      <c r="Q13" s="873">
        <v>-12959</v>
      </c>
      <c r="R13" s="873">
        <v>-15433</v>
      </c>
      <c r="S13" s="873">
        <v>-57846</v>
      </c>
      <c r="T13" s="873">
        <v>0</v>
      </c>
      <c r="U13" s="873">
        <v>0</v>
      </c>
      <c r="V13" s="873">
        <v>0</v>
      </c>
      <c r="W13" s="873">
        <v>-1000</v>
      </c>
      <c r="X13" s="873">
        <v>-25000</v>
      </c>
      <c r="Y13" s="873">
        <v>-780000</v>
      </c>
      <c r="Z13" s="873">
        <v>47725176</v>
      </c>
      <c r="AA13" s="873">
        <v>-538000</v>
      </c>
      <c r="AB13" s="874"/>
      <c r="AC13" s="873">
        <v>238</v>
      </c>
      <c r="AD13" s="873">
        <v>35</v>
      </c>
      <c r="AE13" s="873">
        <v>24</v>
      </c>
      <c r="AF13" s="873">
        <v>2</v>
      </c>
      <c r="AG13" s="873">
        <v>450</v>
      </c>
      <c r="AH13" s="873">
        <v>97</v>
      </c>
      <c r="AI13" s="873">
        <v>30</v>
      </c>
      <c r="AJ13" s="873">
        <v>31</v>
      </c>
      <c r="AK13" s="873">
        <v>14</v>
      </c>
      <c r="AL13" s="873">
        <v>13</v>
      </c>
      <c r="AM13" s="873">
        <v>0</v>
      </c>
      <c r="AN13" s="873">
        <v>0</v>
      </c>
      <c r="AO13" s="873">
        <v>2004</v>
      </c>
      <c r="AP13" s="873">
        <v>1383</v>
      </c>
      <c r="AQ13" s="873">
        <v>943</v>
      </c>
      <c r="AR13" s="873">
        <v>440</v>
      </c>
      <c r="AS13" s="873">
        <v>848</v>
      </c>
      <c r="AT13" s="843">
        <v>4239</v>
      </c>
      <c r="AU13" s="663"/>
      <c r="AV13" s="663"/>
      <c r="AX13" s="666"/>
      <c r="AY13" s="666"/>
      <c r="AZ13" s="666"/>
      <c r="BA13" s="666"/>
      <c r="BB13" s="666"/>
      <c r="BD13" s="666"/>
      <c r="BE13" s="666"/>
      <c r="BG13" s="666"/>
      <c r="BI13" s="666"/>
      <c r="BJ13" s="666"/>
      <c r="BK13" s="666"/>
    </row>
    <row r="14" spans="1:63" ht="12.75" x14ac:dyDescent="0.2">
      <c r="A14" s="288">
        <v>7</v>
      </c>
      <c r="B14" s="290" t="s">
        <v>854</v>
      </c>
      <c r="C14" s="279" t="s">
        <v>855</v>
      </c>
      <c r="D14" s="955">
        <v>227027</v>
      </c>
      <c r="E14" s="843">
        <v>130113131</v>
      </c>
      <c r="F14" s="873">
        <v>60962839</v>
      </c>
      <c r="G14" s="873">
        <v>-3330254</v>
      </c>
      <c r="H14" s="873">
        <v>1425419</v>
      </c>
      <c r="I14" s="873">
        <v>-1904835</v>
      </c>
      <c r="J14" s="873">
        <v>-4416750</v>
      </c>
      <c r="K14" s="873">
        <v>-28690</v>
      </c>
      <c r="L14" s="873">
        <v>-57817</v>
      </c>
      <c r="M14" s="873">
        <v>-283736</v>
      </c>
      <c r="N14" s="873">
        <v>-2911239</v>
      </c>
      <c r="O14" s="873">
        <v>-146414</v>
      </c>
      <c r="P14" s="873">
        <v>-143467</v>
      </c>
      <c r="Q14" s="873">
        <v>-2232</v>
      </c>
      <c r="R14" s="873">
        <v>0</v>
      </c>
      <c r="S14" s="873">
        <v>0</v>
      </c>
      <c r="T14" s="873">
        <v>0</v>
      </c>
      <c r="U14" s="873">
        <v>0</v>
      </c>
      <c r="V14" s="873">
        <v>0</v>
      </c>
      <c r="W14" s="873">
        <v>-83252</v>
      </c>
      <c r="X14" s="873">
        <v>0</v>
      </c>
      <c r="Y14" s="873">
        <v>-821046</v>
      </c>
      <c r="Z14" s="873">
        <v>50163361</v>
      </c>
      <c r="AA14" s="873">
        <v>-250000</v>
      </c>
      <c r="AB14" s="874"/>
      <c r="AC14" s="873">
        <v>293</v>
      </c>
      <c r="AD14" s="873">
        <v>13</v>
      </c>
      <c r="AE14" s="873">
        <v>33</v>
      </c>
      <c r="AF14" s="873">
        <v>3</v>
      </c>
      <c r="AG14" s="873">
        <v>564</v>
      </c>
      <c r="AH14" s="873">
        <v>136</v>
      </c>
      <c r="AI14" s="873">
        <v>73</v>
      </c>
      <c r="AJ14" s="873">
        <v>3</v>
      </c>
      <c r="AK14" s="873">
        <v>0</v>
      </c>
      <c r="AL14" s="873">
        <v>12</v>
      </c>
      <c r="AM14" s="873">
        <v>0</v>
      </c>
      <c r="AN14" s="873">
        <v>0</v>
      </c>
      <c r="AO14" s="873">
        <v>1335</v>
      </c>
      <c r="AP14" s="873">
        <v>1860</v>
      </c>
      <c r="AQ14" s="873">
        <v>1132</v>
      </c>
      <c r="AR14" s="873">
        <v>728</v>
      </c>
      <c r="AS14" s="873">
        <v>1878</v>
      </c>
      <c r="AT14" s="843">
        <v>5081</v>
      </c>
      <c r="AU14" s="663"/>
      <c r="AV14" s="663"/>
      <c r="AX14" s="666"/>
      <c r="AY14" s="666"/>
      <c r="AZ14" s="666"/>
      <c r="BA14" s="666"/>
      <c r="BB14" s="666"/>
      <c r="BD14" s="666"/>
      <c r="BE14" s="666"/>
      <c r="BG14" s="666"/>
      <c r="BI14" s="666"/>
      <c r="BJ14" s="666"/>
      <c r="BK14" s="666"/>
    </row>
    <row r="15" spans="1:63" ht="12.75" x14ac:dyDescent="0.2">
      <c r="A15" s="288">
        <v>8</v>
      </c>
      <c r="B15" s="290" t="s">
        <v>856</v>
      </c>
      <c r="C15" s="279" t="s">
        <v>857</v>
      </c>
      <c r="D15" s="955">
        <v>128746</v>
      </c>
      <c r="E15" s="843">
        <v>60015885</v>
      </c>
      <c r="F15" s="873">
        <v>28541846</v>
      </c>
      <c r="G15" s="873">
        <v>-2176628</v>
      </c>
      <c r="H15" s="873">
        <v>565614</v>
      </c>
      <c r="I15" s="873">
        <v>-1611014</v>
      </c>
      <c r="J15" s="873">
        <v>-1803267</v>
      </c>
      <c r="K15" s="873">
        <v>-52221</v>
      </c>
      <c r="L15" s="873">
        <v>-95574</v>
      </c>
      <c r="M15" s="873">
        <v>0</v>
      </c>
      <c r="N15" s="873">
        <v>-561751</v>
      </c>
      <c r="O15" s="873">
        <v>-44803</v>
      </c>
      <c r="P15" s="873">
        <v>-11504</v>
      </c>
      <c r="Q15" s="873">
        <v>-6877</v>
      </c>
      <c r="R15" s="873">
        <v>-78998</v>
      </c>
      <c r="S15" s="873">
        <v>-15254</v>
      </c>
      <c r="T15" s="873">
        <v>0</v>
      </c>
      <c r="U15" s="873">
        <v>0</v>
      </c>
      <c r="V15" s="873">
        <v>0</v>
      </c>
      <c r="W15" s="873">
        <v>0</v>
      </c>
      <c r="X15" s="873">
        <v>-7810</v>
      </c>
      <c r="Y15" s="873">
        <v>-399338</v>
      </c>
      <c r="Z15" s="873">
        <v>23746125</v>
      </c>
      <c r="AA15" s="873">
        <v>-372175</v>
      </c>
      <c r="AB15" s="874"/>
      <c r="AC15" s="873">
        <v>200</v>
      </c>
      <c r="AD15" s="873">
        <v>26</v>
      </c>
      <c r="AE15" s="873">
        <v>67</v>
      </c>
      <c r="AF15" s="873">
        <v>0</v>
      </c>
      <c r="AG15" s="873">
        <v>205</v>
      </c>
      <c r="AH15" s="873">
        <v>132</v>
      </c>
      <c r="AI15" s="873">
        <v>4</v>
      </c>
      <c r="AJ15" s="873">
        <v>27</v>
      </c>
      <c r="AK15" s="873">
        <v>67</v>
      </c>
      <c r="AL15" s="873">
        <v>4</v>
      </c>
      <c r="AM15" s="873">
        <v>0</v>
      </c>
      <c r="AN15" s="873">
        <v>0</v>
      </c>
      <c r="AO15" s="873">
        <v>1264</v>
      </c>
      <c r="AP15" s="873">
        <v>1293</v>
      </c>
      <c r="AQ15" s="873">
        <v>916</v>
      </c>
      <c r="AR15" s="873">
        <v>377</v>
      </c>
      <c r="AS15" s="873">
        <v>606</v>
      </c>
      <c r="AT15" s="843">
        <v>3239</v>
      </c>
      <c r="AU15" s="663"/>
      <c r="AV15" s="663"/>
      <c r="AX15" s="666"/>
      <c r="AY15" s="666"/>
      <c r="AZ15" s="666"/>
      <c r="BA15" s="666"/>
      <c r="BB15" s="666"/>
      <c r="BD15" s="666"/>
      <c r="BE15" s="666"/>
      <c r="BG15" s="666"/>
      <c r="BI15" s="666"/>
      <c r="BJ15" s="666"/>
      <c r="BK15" s="666"/>
    </row>
    <row r="16" spans="1:63" ht="12.75" x14ac:dyDescent="0.2">
      <c r="A16" s="288">
        <v>9</v>
      </c>
      <c r="B16" s="290" t="s">
        <v>858</v>
      </c>
      <c r="C16" s="279" t="s">
        <v>859</v>
      </c>
      <c r="D16" s="955">
        <v>201892</v>
      </c>
      <c r="E16" s="843">
        <v>138138776</v>
      </c>
      <c r="F16" s="873">
        <v>61711170</v>
      </c>
      <c r="G16" s="873">
        <v>-2496804</v>
      </c>
      <c r="H16" s="873">
        <v>1617948</v>
      </c>
      <c r="I16" s="873">
        <v>-878856</v>
      </c>
      <c r="J16" s="873">
        <v>-3448615</v>
      </c>
      <c r="K16" s="873">
        <v>-31354</v>
      </c>
      <c r="L16" s="873">
        <v>0</v>
      </c>
      <c r="M16" s="873">
        <v>0</v>
      </c>
      <c r="N16" s="873">
        <v>-2919922</v>
      </c>
      <c r="O16" s="873">
        <v>-349456</v>
      </c>
      <c r="P16" s="873">
        <v>-27805</v>
      </c>
      <c r="Q16" s="873">
        <v>-7838</v>
      </c>
      <c r="R16" s="873">
        <v>0</v>
      </c>
      <c r="S16" s="873">
        <v>0</v>
      </c>
      <c r="T16" s="873">
        <v>0</v>
      </c>
      <c r="U16" s="873">
        <v>0</v>
      </c>
      <c r="V16" s="873">
        <v>0</v>
      </c>
      <c r="W16" s="873">
        <v>-59160</v>
      </c>
      <c r="X16" s="873">
        <v>-97575</v>
      </c>
      <c r="Y16" s="873">
        <v>-934359</v>
      </c>
      <c r="Z16" s="873">
        <v>52956230</v>
      </c>
      <c r="AA16" s="873">
        <v>0</v>
      </c>
      <c r="AB16" s="874"/>
      <c r="AC16" s="873">
        <v>213</v>
      </c>
      <c r="AD16" s="873">
        <v>5</v>
      </c>
      <c r="AE16" s="873">
        <v>0</v>
      </c>
      <c r="AF16" s="873">
        <v>0</v>
      </c>
      <c r="AG16" s="873">
        <v>109</v>
      </c>
      <c r="AH16" s="873">
        <v>97</v>
      </c>
      <c r="AI16" s="873">
        <v>1</v>
      </c>
      <c r="AJ16" s="873">
        <v>5</v>
      </c>
      <c r="AK16" s="873">
        <v>0</v>
      </c>
      <c r="AL16" s="873">
        <v>0</v>
      </c>
      <c r="AM16" s="873">
        <v>0</v>
      </c>
      <c r="AN16" s="873">
        <v>0</v>
      </c>
      <c r="AO16" s="873">
        <v>1322</v>
      </c>
      <c r="AP16" s="873">
        <v>1237</v>
      </c>
      <c r="AQ16" s="873">
        <v>608</v>
      </c>
      <c r="AR16" s="873">
        <v>629</v>
      </c>
      <c r="AS16" s="873">
        <v>1669</v>
      </c>
      <c r="AT16" s="843">
        <v>4254</v>
      </c>
      <c r="AU16" s="663"/>
      <c r="AV16" s="663"/>
      <c r="AX16" s="666"/>
      <c r="AY16" s="666"/>
      <c r="AZ16" s="666"/>
      <c r="BA16" s="666"/>
      <c r="BB16" s="666"/>
      <c r="BD16" s="666"/>
      <c r="BE16" s="666"/>
      <c r="BG16" s="666"/>
      <c r="BI16" s="666"/>
      <c r="BJ16" s="666"/>
      <c r="BK16" s="666"/>
    </row>
    <row r="17" spans="1:63" ht="12.75" x14ac:dyDescent="0.2">
      <c r="A17" s="288">
        <v>10</v>
      </c>
      <c r="B17" s="290" t="s">
        <v>860</v>
      </c>
      <c r="C17" s="279" t="s">
        <v>861</v>
      </c>
      <c r="D17" s="955">
        <v>415924</v>
      </c>
      <c r="E17" s="843">
        <v>273851150</v>
      </c>
      <c r="F17" s="873">
        <v>130926518</v>
      </c>
      <c r="G17" s="873">
        <v>-3552027</v>
      </c>
      <c r="H17" s="873">
        <v>2892982</v>
      </c>
      <c r="I17" s="873">
        <v>-659045</v>
      </c>
      <c r="J17" s="873">
        <v>-11099879</v>
      </c>
      <c r="K17" s="873">
        <v>-208736</v>
      </c>
      <c r="L17" s="873">
        <v>0</v>
      </c>
      <c r="M17" s="873">
        <v>0</v>
      </c>
      <c r="N17" s="873">
        <v>-1441103</v>
      </c>
      <c r="O17" s="873">
        <v>-897580</v>
      </c>
      <c r="P17" s="873">
        <v>-103968</v>
      </c>
      <c r="Q17" s="873">
        <v>0</v>
      </c>
      <c r="R17" s="873">
        <v>0</v>
      </c>
      <c r="S17" s="873">
        <v>0</v>
      </c>
      <c r="T17" s="873">
        <v>0</v>
      </c>
      <c r="U17" s="873">
        <v>0</v>
      </c>
      <c r="V17" s="873">
        <v>0</v>
      </c>
      <c r="W17" s="873">
        <v>0</v>
      </c>
      <c r="X17" s="873">
        <v>-15953</v>
      </c>
      <c r="Y17" s="873">
        <v>-2117575</v>
      </c>
      <c r="Z17" s="873">
        <v>114382679</v>
      </c>
      <c r="AA17" s="873">
        <v>-1172000</v>
      </c>
      <c r="AB17" s="874"/>
      <c r="AC17" s="873">
        <v>451</v>
      </c>
      <c r="AD17" s="873">
        <v>12</v>
      </c>
      <c r="AE17" s="873">
        <v>0</v>
      </c>
      <c r="AF17" s="873">
        <v>0</v>
      </c>
      <c r="AG17" s="873">
        <v>609</v>
      </c>
      <c r="AH17" s="873">
        <v>112</v>
      </c>
      <c r="AI17" s="873">
        <v>29</v>
      </c>
      <c r="AJ17" s="873">
        <v>0</v>
      </c>
      <c r="AK17" s="873">
        <v>0</v>
      </c>
      <c r="AL17" s="873">
        <v>0</v>
      </c>
      <c r="AM17" s="873">
        <v>0</v>
      </c>
      <c r="AN17" s="873">
        <v>0</v>
      </c>
      <c r="AO17" s="873">
        <v>2736</v>
      </c>
      <c r="AP17" s="873">
        <v>1800</v>
      </c>
      <c r="AQ17" s="873">
        <v>669</v>
      </c>
      <c r="AR17" s="873">
        <v>1131</v>
      </c>
      <c r="AS17" s="873">
        <v>3665</v>
      </c>
      <c r="AT17" s="843">
        <v>8502</v>
      </c>
      <c r="AU17" s="663"/>
      <c r="AV17" s="663"/>
      <c r="AX17" s="666"/>
      <c r="AY17" s="666"/>
      <c r="AZ17" s="666"/>
      <c r="BA17" s="666"/>
      <c r="BB17" s="666"/>
      <c r="BD17" s="666"/>
      <c r="BE17" s="666"/>
      <c r="BG17" s="666"/>
      <c r="BI17" s="666"/>
      <c r="BJ17" s="666"/>
      <c r="BK17" s="666"/>
    </row>
    <row r="18" spans="1:63" ht="12.75" x14ac:dyDescent="0.2">
      <c r="A18" s="288">
        <v>11</v>
      </c>
      <c r="B18" s="290" t="s">
        <v>862</v>
      </c>
      <c r="C18" s="279" t="s">
        <v>863</v>
      </c>
      <c r="D18" s="955">
        <v>270426</v>
      </c>
      <c r="E18" s="843">
        <v>139305811</v>
      </c>
      <c r="F18" s="873">
        <v>65815702</v>
      </c>
      <c r="G18" s="873">
        <v>-4837924</v>
      </c>
      <c r="H18" s="873">
        <v>1446635</v>
      </c>
      <c r="I18" s="873">
        <v>-3391289</v>
      </c>
      <c r="J18" s="873">
        <v>-3735335</v>
      </c>
      <c r="K18" s="873">
        <v>0</v>
      </c>
      <c r="L18" s="873">
        <v>-4819</v>
      </c>
      <c r="M18" s="873">
        <v>-31810</v>
      </c>
      <c r="N18" s="873">
        <v>-2640250</v>
      </c>
      <c r="O18" s="873">
        <v>-183037</v>
      </c>
      <c r="P18" s="873">
        <v>-40359</v>
      </c>
      <c r="Q18" s="873">
        <v>0</v>
      </c>
      <c r="R18" s="873">
        <v>-2342</v>
      </c>
      <c r="S18" s="873">
        <v>0</v>
      </c>
      <c r="T18" s="873">
        <v>-86526</v>
      </c>
      <c r="U18" s="873">
        <v>-86526</v>
      </c>
      <c r="V18" s="873">
        <v>0</v>
      </c>
      <c r="W18" s="873">
        <v>-3362</v>
      </c>
      <c r="X18" s="873">
        <v>0</v>
      </c>
      <c r="Y18" s="873">
        <v>-1053530</v>
      </c>
      <c r="Z18" s="873">
        <v>54643043</v>
      </c>
      <c r="AA18" s="873">
        <v>-1789097</v>
      </c>
      <c r="AB18" s="874"/>
      <c r="AC18" s="873">
        <v>288</v>
      </c>
      <c r="AD18" s="873">
        <v>0</v>
      </c>
      <c r="AE18" s="873">
        <v>2</v>
      </c>
      <c r="AF18" s="873">
        <v>0</v>
      </c>
      <c r="AG18" s="873">
        <v>468</v>
      </c>
      <c r="AH18" s="873">
        <v>0</v>
      </c>
      <c r="AI18" s="873">
        <v>0</v>
      </c>
      <c r="AJ18" s="873">
        <v>0</v>
      </c>
      <c r="AK18" s="873">
        <v>0</v>
      </c>
      <c r="AL18" s="873">
        <v>0</v>
      </c>
      <c r="AM18" s="873">
        <v>2</v>
      </c>
      <c r="AN18" s="873">
        <v>0</v>
      </c>
      <c r="AO18" s="873">
        <v>2295</v>
      </c>
      <c r="AP18" s="873">
        <v>2814</v>
      </c>
      <c r="AQ18" s="873">
        <v>2149</v>
      </c>
      <c r="AR18" s="873">
        <v>665</v>
      </c>
      <c r="AS18" s="873">
        <v>1816</v>
      </c>
      <c r="AT18" s="843">
        <v>6717</v>
      </c>
      <c r="AU18" s="663"/>
      <c r="AV18" s="663"/>
      <c r="AX18" s="666"/>
      <c r="AY18" s="666"/>
      <c r="AZ18" s="666"/>
      <c r="BA18" s="666"/>
      <c r="BB18" s="666"/>
      <c r="BD18" s="666"/>
      <c r="BE18" s="666"/>
      <c r="BG18" s="666"/>
      <c r="BI18" s="666"/>
      <c r="BJ18" s="666"/>
      <c r="BK18" s="666"/>
    </row>
    <row r="19" spans="1:63" ht="12.75" x14ac:dyDescent="0.2">
      <c r="A19" s="288">
        <v>12</v>
      </c>
      <c r="B19" s="290" t="s">
        <v>864</v>
      </c>
      <c r="C19" s="279" t="s">
        <v>865</v>
      </c>
      <c r="D19" s="955">
        <v>95866</v>
      </c>
      <c r="E19" s="843">
        <v>56951757</v>
      </c>
      <c r="F19" s="873">
        <v>28155387</v>
      </c>
      <c r="G19" s="873">
        <v>-1339354</v>
      </c>
      <c r="H19" s="873">
        <v>658211</v>
      </c>
      <c r="I19" s="873">
        <v>-681143</v>
      </c>
      <c r="J19" s="873">
        <v>-1678284</v>
      </c>
      <c r="K19" s="873">
        <v>-93189</v>
      </c>
      <c r="L19" s="873">
        <v>0</v>
      </c>
      <c r="M19" s="873">
        <v>-9813</v>
      </c>
      <c r="N19" s="873">
        <v>-438539</v>
      </c>
      <c r="O19" s="873">
        <v>0</v>
      </c>
      <c r="P19" s="873">
        <v>0</v>
      </c>
      <c r="Q19" s="873">
        <v>0</v>
      </c>
      <c r="R19" s="873">
        <v>0</v>
      </c>
      <c r="S19" s="873">
        <v>0</v>
      </c>
      <c r="T19" s="873">
        <v>0</v>
      </c>
      <c r="U19" s="873">
        <v>0</v>
      </c>
      <c r="V19" s="873">
        <v>0</v>
      </c>
      <c r="W19" s="873">
        <v>-2448</v>
      </c>
      <c r="X19" s="873">
        <v>-8196</v>
      </c>
      <c r="Y19" s="873">
        <v>-306518</v>
      </c>
      <c r="Z19" s="873">
        <v>24937257</v>
      </c>
      <c r="AA19" s="873">
        <v>-352315</v>
      </c>
      <c r="AB19" s="874"/>
      <c r="AC19" s="873">
        <v>135</v>
      </c>
      <c r="AD19" s="873">
        <v>29</v>
      </c>
      <c r="AE19" s="873">
        <v>0</v>
      </c>
      <c r="AF19" s="873">
        <v>4</v>
      </c>
      <c r="AG19" s="873">
        <v>221</v>
      </c>
      <c r="AH19" s="873">
        <v>13</v>
      </c>
      <c r="AI19" s="873">
        <v>69</v>
      </c>
      <c r="AJ19" s="873">
        <v>28</v>
      </c>
      <c r="AK19" s="873">
        <v>0</v>
      </c>
      <c r="AL19" s="873">
        <v>0</v>
      </c>
      <c r="AM19" s="873">
        <v>0</v>
      </c>
      <c r="AN19" s="873">
        <v>0</v>
      </c>
      <c r="AO19" s="873">
        <v>720</v>
      </c>
      <c r="AP19" s="873">
        <v>887</v>
      </c>
      <c r="AQ19" s="873">
        <v>712</v>
      </c>
      <c r="AR19" s="873">
        <v>175</v>
      </c>
      <c r="AS19" s="873">
        <v>698</v>
      </c>
      <c r="AT19" s="843">
        <v>2307</v>
      </c>
      <c r="AU19" s="663"/>
      <c r="AV19" s="663"/>
      <c r="AX19" s="666"/>
      <c r="AY19" s="666"/>
      <c r="AZ19" s="666"/>
      <c r="BA19" s="666"/>
      <c r="BB19" s="666"/>
      <c r="BD19" s="666"/>
      <c r="BE19" s="666"/>
      <c r="BG19" s="666"/>
      <c r="BI19" s="666"/>
      <c r="BJ19" s="666"/>
      <c r="BK19" s="666"/>
    </row>
    <row r="20" spans="1:63" ht="12.75" x14ac:dyDescent="0.2">
      <c r="A20" s="288">
        <v>13</v>
      </c>
      <c r="B20" s="290" t="s">
        <v>866</v>
      </c>
      <c r="C20" s="279" t="s">
        <v>867</v>
      </c>
      <c r="D20" s="955">
        <v>234178</v>
      </c>
      <c r="E20" s="843">
        <v>187708818</v>
      </c>
      <c r="F20" s="873">
        <v>88914776</v>
      </c>
      <c r="G20" s="873">
        <v>-2443842</v>
      </c>
      <c r="H20" s="873">
        <v>2178796</v>
      </c>
      <c r="I20" s="873">
        <v>-265046</v>
      </c>
      <c r="J20" s="873">
        <v>-3466983</v>
      </c>
      <c r="K20" s="873">
        <v>-30172</v>
      </c>
      <c r="L20" s="873">
        <v>-3476</v>
      </c>
      <c r="M20" s="873">
        <v>-72297</v>
      </c>
      <c r="N20" s="873">
        <v>-1252693</v>
      </c>
      <c r="O20" s="873">
        <v>-7814</v>
      </c>
      <c r="P20" s="873">
        <v>-28600</v>
      </c>
      <c r="Q20" s="873">
        <v>0</v>
      </c>
      <c r="R20" s="873">
        <v>0</v>
      </c>
      <c r="S20" s="873">
        <v>0</v>
      </c>
      <c r="T20" s="873">
        <v>0</v>
      </c>
      <c r="U20" s="873">
        <v>0</v>
      </c>
      <c r="V20" s="873">
        <v>0</v>
      </c>
      <c r="W20" s="873">
        <v>0</v>
      </c>
      <c r="X20" s="873">
        <v>0</v>
      </c>
      <c r="Y20" s="873">
        <v>-724024</v>
      </c>
      <c r="Z20" s="873">
        <v>82640239</v>
      </c>
      <c r="AA20" s="873">
        <v>0</v>
      </c>
      <c r="AB20" s="874"/>
      <c r="AC20" s="873">
        <v>209</v>
      </c>
      <c r="AD20" s="873">
        <v>8</v>
      </c>
      <c r="AE20" s="873">
        <v>2</v>
      </c>
      <c r="AF20" s="873">
        <v>1</v>
      </c>
      <c r="AG20" s="873">
        <v>231</v>
      </c>
      <c r="AH20" s="873">
        <v>21</v>
      </c>
      <c r="AI20" s="873">
        <v>14</v>
      </c>
      <c r="AJ20" s="873">
        <v>0</v>
      </c>
      <c r="AK20" s="873">
        <v>0</v>
      </c>
      <c r="AL20" s="873">
        <v>0</v>
      </c>
      <c r="AM20" s="873">
        <v>0</v>
      </c>
      <c r="AN20" s="873">
        <v>0</v>
      </c>
      <c r="AO20" s="873">
        <v>2201</v>
      </c>
      <c r="AP20" s="873">
        <v>1278</v>
      </c>
      <c r="AQ20" s="873">
        <v>663</v>
      </c>
      <c r="AR20" s="873">
        <v>615</v>
      </c>
      <c r="AS20" s="873">
        <v>1233</v>
      </c>
      <c r="AT20" s="843">
        <v>4752</v>
      </c>
      <c r="AU20" s="663"/>
      <c r="AV20" s="663"/>
      <c r="AX20" s="666"/>
      <c r="AY20" s="666"/>
      <c r="AZ20" s="666"/>
      <c r="BA20" s="666"/>
      <c r="BB20" s="666"/>
      <c r="BD20" s="666"/>
      <c r="BE20" s="666"/>
      <c r="BG20" s="666"/>
      <c r="BI20" s="666"/>
      <c r="BJ20" s="666"/>
      <c r="BK20" s="666"/>
    </row>
    <row r="21" spans="1:63" ht="12.75" x14ac:dyDescent="0.2">
      <c r="A21" s="288">
        <v>14</v>
      </c>
      <c r="B21" s="290" t="s">
        <v>868</v>
      </c>
      <c r="C21" s="279" t="s">
        <v>869</v>
      </c>
      <c r="D21" s="955">
        <v>203511</v>
      </c>
      <c r="E21" s="843">
        <v>175917461</v>
      </c>
      <c r="F21" s="873">
        <v>84610576</v>
      </c>
      <c r="G21" s="873">
        <v>-1668849</v>
      </c>
      <c r="H21" s="873">
        <v>2117384</v>
      </c>
      <c r="I21" s="873">
        <v>448535</v>
      </c>
      <c r="J21" s="873">
        <v>-3228677</v>
      </c>
      <c r="K21" s="873">
        <v>-11221</v>
      </c>
      <c r="L21" s="873">
        <v>-38910</v>
      </c>
      <c r="M21" s="873">
        <v>-400000</v>
      </c>
      <c r="N21" s="873">
        <v>-2315891</v>
      </c>
      <c r="O21" s="873">
        <v>-371798</v>
      </c>
      <c r="P21" s="873">
        <v>-161928</v>
      </c>
      <c r="Q21" s="873">
        <v>-2805</v>
      </c>
      <c r="R21" s="873">
        <v>-91709</v>
      </c>
      <c r="S21" s="873">
        <v>0</v>
      </c>
      <c r="T21" s="873">
        <v>0</v>
      </c>
      <c r="U21" s="873">
        <v>0</v>
      </c>
      <c r="V21" s="873">
        <v>0</v>
      </c>
      <c r="W21" s="873">
        <v>0</v>
      </c>
      <c r="X21" s="873">
        <v>-24796</v>
      </c>
      <c r="Y21" s="873">
        <v>-378856</v>
      </c>
      <c r="Z21" s="873">
        <v>76366169</v>
      </c>
      <c r="AA21" s="873">
        <v>-1000000</v>
      </c>
      <c r="AB21" s="874"/>
      <c r="AC21" s="873">
        <v>227</v>
      </c>
      <c r="AD21" s="873">
        <v>5</v>
      </c>
      <c r="AE21" s="873">
        <v>21</v>
      </c>
      <c r="AF21" s="873">
        <v>8</v>
      </c>
      <c r="AG21" s="873">
        <v>332</v>
      </c>
      <c r="AH21" s="873">
        <v>185</v>
      </c>
      <c r="AI21" s="873">
        <v>50</v>
      </c>
      <c r="AJ21" s="873">
        <v>5</v>
      </c>
      <c r="AK21" s="873">
        <v>30</v>
      </c>
      <c r="AL21" s="873">
        <v>0</v>
      </c>
      <c r="AM21" s="873">
        <v>0</v>
      </c>
      <c r="AN21" s="873">
        <v>0</v>
      </c>
      <c r="AO21" s="873">
        <v>2152</v>
      </c>
      <c r="AP21" s="873">
        <v>875</v>
      </c>
      <c r="AQ21" s="873">
        <v>539</v>
      </c>
      <c r="AR21" s="873">
        <v>336</v>
      </c>
      <c r="AS21" s="873">
        <v>1101</v>
      </c>
      <c r="AT21" s="843">
        <v>4147</v>
      </c>
      <c r="AU21" s="663"/>
      <c r="AV21" s="663"/>
      <c r="AX21" s="666"/>
      <c r="AY21" s="666"/>
      <c r="AZ21" s="666"/>
      <c r="BA21" s="666"/>
      <c r="BB21" s="666"/>
      <c r="BD21" s="666"/>
      <c r="BE21" s="666"/>
      <c r="BG21" s="666"/>
      <c r="BI21" s="666"/>
      <c r="BJ21" s="666"/>
      <c r="BK21" s="666"/>
    </row>
    <row r="22" spans="1:63" ht="12.75" x14ac:dyDescent="0.2">
      <c r="A22" s="288">
        <v>15</v>
      </c>
      <c r="B22" s="290" t="s">
        <v>870</v>
      </c>
      <c r="C22" s="279" t="s">
        <v>871</v>
      </c>
      <c r="D22" s="955">
        <v>174205</v>
      </c>
      <c r="E22" s="843">
        <v>125123415</v>
      </c>
      <c r="F22" s="873">
        <v>57386399</v>
      </c>
      <c r="G22" s="873">
        <v>-2484000</v>
      </c>
      <c r="H22" s="873">
        <v>1432499</v>
      </c>
      <c r="I22" s="873">
        <v>-1051501</v>
      </c>
      <c r="J22" s="873">
        <v>-3068189</v>
      </c>
      <c r="K22" s="873">
        <v>-11181</v>
      </c>
      <c r="L22" s="873">
        <v>-41235</v>
      </c>
      <c r="M22" s="873">
        <v>-250000</v>
      </c>
      <c r="N22" s="873">
        <v>-1134501</v>
      </c>
      <c r="O22" s="873">
        <v>-11196</v>
      </c>
      <c r="P22" s="873">
        <v>-33768</v>
      </c>
      <c r="Q22" s="873">
        <v>-1109</v>
      </c>
      <c r="R22" s="873">
        <v>-41235</v>
      </c>
      <c r="S22" s="873">
        <v>-11703</v>
      </c>
      <c r="T22" s="873">
        <v>-19138</v>
      </c>
      <c r="U22" s="873">
        <v>0</v>
      </c>
      <c r="V22" s="873">
        <v>0</v>
      </c>
      <c r="W22" s="873">
        <v>-40449</v>
      </c>
      <c r="X22" s="873">
        <v>-23989</v>
      </c>
      <c r="Y22" s="873">
        <v>-449751</v>
      </c>
      <c r="Z22" s="873">
        <v>51187454</v>
      </c>
      <c r="AA22" s="873">
        <v>-2500000</v>
      </c>
      <c r="AB22" s="874"/>
      <c r="AC22" s="873">
        <v>224</v>
      </c>
      <c r="AD22" s="873">
        <v>3</v>
      </c>
      <c r="AE22" s="873">
        <v>37</v>
      </c>
      <c r="AF22" s="873">
        <v>0</v>
      </c>
      <c r="AG22" s="873">
        <v>489</v>
      </c>
      <c r="AH22" s="873">
        <v>94</v>
      </c>
      <c r="AI22" s="873">
        <v>36</v>
      </c>
      <c r="AJ22" s="873">
        <v>1</v>
      </c>
      <c r="AK22" s="873">
        <v>37</v>
      </c>
      <c r="AL22" s="873">
        <v>3</v>
      </c>
      <c r="AM22" s="873">
        <v>0</v>
      </c>
      <c r="AN22" s="873">
        <v>0</v>
      </c>
      <c r="AO22" s="873">
        <v>1395</v>
      </c>
      <c r="AP22" s="873">
        <v>1490</v>
      </c>
      <c r="AQ22" s="873">
        <v>1146</v>
      </c>
      <c r="AR22" s="873">
        <v>344</v>
      </c>
      <c r="AS22" s="873">
        <v>963</v>
      </c>
      <c r="AT22" s="843">
        <v>3918</v>
      </c>
      <c r="AU22" s="663"/>
      <c r="AV22" s="663"/>
      <c r="AX22" s="666"/>
      <c r="AY22" s="666"/>
      <c r="AZ22" s="666"/>
      <c r="BA22" s="666"/>
      <c r="BB22" s="666"/>
      <c r="BD22" s="666"/>
      <c r="BE22" s="666"/>
      <c r="BG22" s="666"/>
      <c r="BI22" s="666"/>
      <c r="BJ22" s="666"/>
      <c r="BK22" s="666"/>
    </row>
    <row r="23" spans="1:63" ht="12.75" x14ac:dyDescent="0.2">
      <c r="A23" s="288">
        <v>16</v>
      </c>
      <c r="B23" s="290" t="s">
        <v>872</v>
      </c>
      <c r="C23" s="279" t="s">
        <v>873</v>
      </c>
      <c r="D23" s="955">
        <v>259777</v>
      </c>
      <c r="E23" s="843">
        <v>166647819</v>
      </c>
      <c r="F23" s="873">
        <v>80289312</v>
      </c>
      <c r="G23" s="873">
        <v>-3738155</v>
      </c>
      <c r="H23" s="873">
        <v>1842698</v>
      </c>
      <c r="I23" s="873">
        <v>-1895457</v>
      </c>
      <c r="J23" s="873">
        <v>-6843230</v>
      </c>
      <c r="K23" s="873">
        <v>-152848</v>
      </c>
      <c r="L23" s="873">
        <v>-20903</v>
      </c>
      <c r="M23" s="873">
        <v>-50209</v>
      </c>
      <c r="N23" s="873">
        <v>-2122215</v>
      </c>
      <c r="O23" s="873">
        <v>-81480</v>
      </c>
      <c r="P23" s="873">
        <v>-32838</v>
      </c>
      <c r="Q23" s="873">
        <v>-20336</v>
      </c>
      <c r="R23" s="873">
        <v>-13003</v>
      </c>
      <c r="S23" s="873">
        <v>-37188</v>
      </c>
      <c r="T23" s="873">
        <v>0</v>
      </c>
      <c r="U23" s="873">
        <v>0</v>
      </c>
      <c r="V23" s="873">
        <v>0</v>
      </c>
      <c r="W23" s="873">
        <v>0</v>
      </c>
      <c r="X23" s="873">
        <v>-10310</v>
      </c>
      <c r="Y23" s="873">
        <v>-1303643</v>
      </c>
      <c r="Z23" s="873">
        <v>67183222</v>
      </c>
      <c r="AA23" s="873">
        <v>-1141000</v>
      </c>
      <c r="AB23" s="874"/>
      <c r="AC23" s="873">
        <v>367</v>
      </c>
      <c r="AD23" s="873">
        <v>43</v>
      </c>
      <c r="AE23" s="873">
        <v>15</v>
      </c>
      <c r="AF23" s="873">
        <v>3</v>
      </c>
      <c r="AG23" s="873">
        <v>634</v>
      </c>
      <c r="AH23" s="873">
        <v>57</v>
      </c>
      <c r="AI23" s="873">
        <v>23</v>
      </c>
      <c r="AJ23" s="873">
        <v>29</v>
      </c>
      <c r="AK23" s="873">
        <v>10</v>
      </c>
      <c r="AL23" s="873">
        <v>38</v>
      </c>
      <c r="AM23" s="873">
        <v>0</v>
      </c>
      <c r="AN23" s="873">
        <v>0</v>
      </c>
      <c r="AO23" s="873">
        <v>1697</v>
      </c>
      <c r="AP23" s="873">
        <v>1959</v>
      </c>
      <c r="AQ23" s="873">
        <v>1191</v>
      </c>
      <c r="AR23" s="873">
        <v>768</v>
      </c>
      <c r="AS23" s="873">
        <v>2172</v>
      </c>
      <c r="AT23" s="843">
        <v>5848</v>
      </c>
      <c r="AU23" s="663"/>
      <c r="AV23" s="663"/>
      <c r="AX23" s="666"/>
      <c r="AY23" s="666"/>
      <c r="AZ23" s="666"/>
      <c r="BA23" s="666"/>
      <c r="BB23" s="666"/>
      <c r="BD23" s="666"/>
      <c r="BE23" s="666"/>
      <c r="BG23" s="666"/>
      <c r="BI23" s="666"/>
      <c r="BJ23" s="666"/>
      <c r="BK23" s="666"/>
    </row>
    <row r="24" spans="1:63" ht="12.75" x14ac:dyDescent="0.2">
      <c r="A24" s="288">
        <v>17</v>
      </c>
      <c r="B24" s="290" t="s">
        <v>874</v>
      </c>
      <c r="C24" s="279" t="s">
        <v>875</v>
      </c>
      <c r="D24" s="955">
        <v>231612</v>
      </c>
      <c r="E24" s="843">
        <v>161779692</v>
      </c>
      <c r="F24" s="873">
        <v>76565623</v>
      </c>
      <c r="G24" s="873">
        <v>-3112586</v>
      </c>
      <c r="H24" s="873">
        <v>1852091</v>
      </c>
      <c r="I24" s="873">
        <v>-1260495</v>
      </c>
      <c r="J24" s="873">
        <v>-5129503</v>
      </c>
      <c r="K24" s="873">
        <v>-146579</v>
      </c>
      <c r="L24" s="873">
        <v>-43271</v>
      </c>
      <c r="M24" s="873">
        <v>-45000</v>
      </c>
      <c r="N24" s="873">
        <v>-2425000</v>
      </c>
      <c r="O24" s="873">
        <v>-117328</v>
      </c>
      <c r="P24" s="873">
        <v>-28656</v>
      </c>
      <c r="Q24" s="873">
        <v>-1442</v>
      </c>
      <c r="R24" s="873">
        <v>-35849</v>
      </c>
      <c r="S24" s="873">
        <v>-35842</v>
      </c>
      <c r="T24" s="873">
        <v>-25000</v>
      </c>
      <c r="U24" s="873">
        <v>0</v>
      </c>
      <c r="V24" s="873">
        <v>0</v>
      </c>
      <c r="W24" s="873">
        <v>-10000</v>
      </c>
      <c r="X24" s="873">
        <v>-15000</v>
      </c>
      <c r="Y24" s="873">
        <v>-704000</v>
      </c>
      <c r="Z24" s="873">
        <v>66542658</v>
      </c>
      <c r="AA24" s="873">
        <v>-822604</v>
      </c>
      <c r="AB24" s="874"/>
      <c r="AC24" s="873">
        <v>357</v>
      </c>
      <c r="AD24" s="873">
        <v>18</v>
      </c>
      <c r="AE24" s="873">
        <v>33</v>
      </c>
      <c r="AF24" s="873">
        <v>0</v>
      </c>
      <c r="AG24" s="873">
        <v>507</v>
      </c>
      <c r="AH24" s="873">
        <v>152</v>
      </c>
      <c r="AI24" s="873">
        <v>11</v>
      </c>
      <c r="AJ24" s="873">
        <v>6</v>
      </c>
      <c r="AK24" s="873">
        <v>31</v>
      </c>
      <c r="AL24" s="873">
        <v>26</v>
      </c>
      <c r="AM24" s="873">
        <v>0</v>
      </c>
      <c r="AN24" s="873">
        <v>0</v>
      </c>
      <c r="AO24" s="873">
        <v>2111</v>
      </c>
      <c r="AP24" s="873">
        <v>1645</v>
      </c>
      <c r="AQ24" s="873">
        <v>981</v>
      </c>
      <c r="AR24" s="873">
        <v>664</v>
      </c>
      <c r="AS24" s="873">
        <v>1327</v>
      </c>
      <c r="AT24" s="843">
        <v>5075</v>
      </c>
      <c r="AU24" s="663"/>
      <c r="AV24" s="663"/>
      <c r="AX24" s="666"/>
      <c r="AY24" s="666"/>
      <c r="AZ24" s="666"/>
      <c r="BA24" s="666"/>
      <c r="BB24" s="666"/>
      <c r="BD24" s="666"/>
      <c r="BE24" s="666"/>
      <c r="BG24" s="666"/>
      <c r="BI24" s="666"/>
      <c r="BJ24" s="666"/>
      <c r="BK24" s="666"/>
    </row>
    <row r="25" spans="1:63" ht="12.75" x14ac:dyDescent="0.2">
      <c r="A25" s="288">
        <v>18</v>
      </c>
      <c r="B25" s="290" t="s">
        <v>876</v>
      </c>
      <c r="C25" s="279" t="s">
        <v>877</v>
      </c>
      <c r="D25" s="955">
        <v>253817</v>
      </c>
      <c r="E25" s="843">
        <v>172756597</v>
      </c>
      <c r="F25" s="873">
        <v>82185818</v>
      </c>
      <c r="G25" s="873">
        <v>-3956929</v>
      </c>
      <c r="H25" s="873">
        <v>1884908</v>
      </c>
      <c r="I25" s="873">
        <v>-2072021</v>
      </c>
      <c r="J25" s="873">
        <v>-6237999</v>
      </c>
      <c r="K25" s="873">
        <v>-100809</v>
      </c>
      <c r="L25" s="873">
        <v>0</v>
      </c>
      <c r="M25" s="873">
        <v>0</v>
      </c>
      <c r="N25" s="873">
        <v>-779530</v>
      </c>
      <c r="O25" s="873">
        <v>0</v>
      </c>
      <c r="P25" s="873">
        <v>0</v>
      </c>
      <c r="Q25" s="873">
        <v>0</v>
      </c>
      <c r="R25" s="873">
        <v>0</v>
      </c>
      <c r="S25" s="873">
        <v>0</v>
      </c>
      <c r="T25" s="873">
        <v>0</v>
      </c>
      <c r="U25" s="873">
        <v>0</v>
      </c>
      <c r="V25" s="873">
        <v>0</v>
      </c>
      <c r="W25" s="873">
        <v>0</v>
      </c>
      <c r="X25" s="873">
        <v>-5486</v>
      </c>
      <c r="Y25" s="873">
        <v>-1148554</v>
      </c>
      <c r="Z25" s="873">
        <v>70341419</v>
      </c>
      <c r="AA25" s="873">
        <v>-1900000</v>
      </c>
      <c r="AB25" s="874"/>
      <c r="AC25" s="873">
        <v>298</v>
      </c>
      <c r="AD25" s="873">
        <v>13</v>
      </c>
      <c r="AE25" s="873">
        <v>0</v>
      </c>
      <c r="AF25" s="873">
        <v>0</v>
      </c>
      <c r="AG25" s="873">
        <v>455</v>
      </c>
      <c r="AH25" s="873">
        <v>0</v>
      </c>
      <c r="AI25" s="873">
        <v>0</v>
      </c>
      <c r="AJ25" s="873">
        <v>0</v>
      </c>
      <c r="AK25" s="873">
        <v>0</v>
      </c>
      <c r="AL25" s="873">
        <v>0</v>
      </c>
      <c r="AM25" s="873">
        <v>0</v>
      </c>
      <c r="AN25" s="873">
        <v>0</v>
      </c>
      <c r="AO25" s="873">
        <v>1647</v>
      </c>
      <c r="AP25" s="873">
        <v>1924</v>
      </c>
      <c r="AQ25" s="873">
        <v>998</v>
      </c>
      <c r="AR25" s="873">
        <v>926</v>
      </c>
      <c r="AS25" s="873">
        <v>1762</v>
      </c>
      <c r="AT25" s="843">
        <v>5357</v>
      </c>
      <c r="AU25" s="663"/>
      <c r="AV25" s="663"/>
      <c r="AX25" s="666"/>
      <c r="AY25" s="666"/>
      <c r="AZ25" s="666"/>
      <c r="BA25" s="666"/>
      <c r="BB25" s="666"/>
      <c r="BD25" s="666"/>
      <c r="BE25" s="666"/>
      <c r="BG25" s="666"/>
      <c r="BI25" s="666"/>
      <c r="BJ25" s="666"/>
      <c r="BK25" s="666"/>
    </row>
    <row r="26" spans="1:63" ht="12.75" x14ac:dyDescent="0.2">
      <c r="A26" s="288">
        <v>19</v>
      </c>
      <c r="B26" s="290" t="s">
        <v>878</v>
      </c>
      <c r="C26" s="279" t="s">
        <v>879</v>
      </c>
      <c r="D26" s="955">
        <v>1924036</v>
      </c>
      <c r="E26" s="843">
        <v>1057363513</v>
      </c>
      <c r="F26" s="873">
        <v>520049941</v>
      </c>
      <c r="G26" s="873">
        <v>-22818793</v>
      </c>
      <c r="H26" s="873">
        <v>10730391</v>
      </c>
      <c r="I26" s="873">
        <v>-12088402</v>
      </c>
      <c r="J26" s="873">
        <v>-30405330</v>
      </c>
      <c r="K26" s="873">
        <v>-131240</v>
      </c>
      <c r="L26" s="873">
        <v>0</v>
      </c>
      <c r="M26" s="873">
        <v>-554467</v>
      </c>
      <c r="N26" s="873">
        <v>-26885528</v>
      </c>
      <c r="O26" s="873">
        <v>-50851</v>
      </c>
      <c r="P26" s="873">
        <v>-854088</v>
      </c>
      <c r="Q26" s="873">
        <v>0</v>
      </c>
      <c r="R26" s="873">
        <v>0</v>
      </c>
      <c r="S26" s="873">
        <v>0</v>
      </c>
      <c r="T26" s="873">
        <v>-524900</v>
      </c>
      <c r="U26" s="873">
        <v>-524900</v>
      </c>
      <c r="V26" s="873">
        <v>0</v>
      </c>
      <c r="W26" s="873">
        <v>-5838</v>
      </c>
      <c r="X26" s="873">
        <v>0</v>
      </c>
      <c r="Y26" s="873">
        <v>-7714650</v>
      </c>
      <c r="Z26" s="873">
        <v>439374239</v>
      </c>
      <c r="AA26" s="873">
        <v>-18793743</v>
      </c>
      <c r="AB26" s="874"/>
      <c r="AC26" s="873">
        <v>1937</v>
      </c>
      <c r="AD26" s="873">
        <v>15</v>
      </c>
      <c r="AE26" s="873">
        <v>0</v>
      </c>
      <c r="AF26" s="873">
        <v>11</v>
      </c>
      <c r="AG26" s="873">
        <v>11316</v>
      </c>
      <c r="AH26" s="873">
        <v>20</v>
      </c>
      <c r="AI26" s="873">
        <v>38</v>
      </c>
      <c r="AJ26" s="873">
        <v>0</v>
      </c>
      <c r="AK26" s="873">
        <v>0</v>
      </c>
      <c r="AL26" s="873">
        <v>0</v>
      </c>
      <c r="AM26" s="873">
        <v>29</v>
      </c>
      <c r="AN26" s="873">
        <v>18</v>
      </c>
      <c r="AO26" s="873">
        <v>18714</v>
      </c>
      <c r="AP26" s="873">
        <v>11588</v>
      </c>
      <c r="AQ26" s="873">
        <v>7801</v>
      </c>
      <c r="AR26" s="873">
        <v>3787</v>
      </c>
      <c r="AS26" s="873">
        <v>16324</v>
      </c>
      <c r="AT26" s="843">
        <v>46381</v>
      </c>
      <c r="AU26" s="663"/>
      <c r="AV26" s="663"/>
      <c r="AX26" s="666"/>
      <c r="AY26" s="666"/>
      <c r="AZ26" s="666"/>
      <c r="BA26" s="666"/>
      <c r="BB26" s="666"/>
      <c r="BD26" s="666"/>
      <c r="BE26" s="666"/>
      <c r="BG26" s="666"/>
      <c r="BI26" s="666"/>
      <c r="BJ26" s="666"/>
      <c r="BK26" s="666"/>
    </row>
    <row r="27" spans="1:63" ht="12.75" x14ac:dyDescent="0.2">
      <c r="A27" s="288">
        <v>20</v>
      </c>
      <c r="B27" s="290" t="s">
        <v>880</v>
      </c>
      <c r="C27" s="279" t="s">
        <v>881</v>
      </c>
      <c r="D27" s="955">
        <v>101202</v>
      </c>
      <c r="E27" s="843">
        <v>91697152</v>
      </c>
      <c r="F27" s="873">
        <v>44847728</v>
      </c>
      <c r="G27" s="873">
        <v>-1204290</v>
      </c>
      <c r="H27" s="873">
        <v>1124927</v>
      </c>
      <c r="I27" s="873">
        <v>-79363</v>
      </c>
      <c r="J27" s="873">
        <v>-896763</v>
      </c>
      <c r="K27" s="873">
        <v>-45220</v>
      </c>
      <c r="L27" s="873">
        <v>0</v>
      </c>
      <c r="M27" s="873">
        <v>-307243</v>
      </c>
      <c r="N27" s="873">
        <v>-192509</v>
      </c>
      <c r="O27" s="873">
        <v>-45736</v>
      </c>
      <c r="P27" s="873">
        <v>-3021</v>
      </c>
      <c r="Q27" s="873">
        <v>-4105</v>
      </c>
      <c r="R27" s="873">
        <v>0</v>
      </c>
      <c r="S27" s="873">
        <v>0</v>
      </c>
      <c r="T27" s="873">
        <v>0</v>
      </c>
      <c r="U27" s="873">
        <v>0</v>
      </c>
      <c r="V27" s="873">
        <v>0</v>
      </c>
      <c r="W27" s="873">
        <v>0</v>
      </c>
      <c r="X27" s="873">
        <v>0</v>
      </c>
      <c r="Y27" s="873">
        <v>-101870</v>
      </c>
      <c r="Z27" s="873">
        <v>43171898</v>
      </c>
      <c r="AA27" s="873">
        <v>-200000</v>
      </c>
      <c r="AB27" s="874"/>
      <c r="AC27" s="873">
        <v>78</v>
      </c>
      <c r="AD27" s="873">
        <v>14</v>
      </c>
      <c r="AE27" s="873">
        <v>0</v>
      </c>
      <c r="AF27" s="873">
        <v>0</v>
      </c>
      <c r="AG27" s="873">
        <v>163</v>
      </c>
      <c r="AH27" s="873">
        <v>39</v>
      </c>
      <c r="AI27" s="873">
        <v>5</v>
      </c>
      <c r="AJ27" s="873">
        <v>10</v>
      </c>
      <c r="AK27" s="873">
        <v>0</v>
      </c>
      <c r="AL27" s="873">
        <v>0</v>
      </c>
      <c r="AM27" s="873">
        <v>0</v>
      </c>
      <c r="AN27" s="873">
        <v>0</v>
      </c>
      <c r="AO27" s="873">
        <v>943</v>
      </c>
      <c r="AP27" s="873">
        <v>651</v>
      </c>
      <c r="AQ27" s="873">
        <v>418</v>
      </c>
      <c r="AR27" s="873">
        <v>233</v>
      </c>
      <c r="AS27" s="873">
        <v>513</v>
      </c>
      <c r="AT27" s="843">
        <v>2126</v>
      </c>
      <c r="AU27" s="663"/>
      <c r="AV27" s="663"/>
      <c r="AX27" s="666"/>
      <c r="AY27" s="666"/>
      <c r="AZ27" s="666"/>
      <c r="BA27" s="666"/>
      <c r="BB27" s="666"/>
      <c r="BD27" s="666"/>
      <c r="BE27" s="666"/>
      <c r="BG27" s="666"/>
      <c r="BI27" s="666"/>
      <c r="BJ27" s="666"/>
      <c r="BK27" s="666"/>
    </row>
    <row r="28" spans="1:63" ht="12.75" x14ac:dyDescent="0.2">
      <c r="A28" s="288">
        <v>21</v>
      </c>
      <c r="B28" s="290" t="s">
        <v>882</v>
      </c>
      <c r="C28" s="279" t="s">
        <v>883</v>
      </c>
      <c r="D28" s="955">
        <v>255158</v>
      </c>
      <c r="E28" s="843">
        <v>127947220</v>
      </c>
      <c r="F28" s="873">
        <v>60794000</v>
      </c>
      <c r="G28" s="873">
        <v>-5100000</v>
      </c>
      <c r="H28" s="873">
        <v>1386000</v>
      </c>
      <c r="I28" s="873">
        <v>-3714000</v>
      </c>
      <c r="J28" s="873">
        <v>-3720000</v>
      </c>
      <c r="K28" s="873">
        <v>-79000</v>
      </c>
      <c r="L28" s="873">
        <v>-3000</v>
      </c>
      <c r="M28" s="873">
        <v>-104000</v>
      </c>
      <c r="N28" s="873">
        <v>-2960000</v>
      </c>
      <c r="O28" s="873">
        <v>-36000</v>
      </c>
      <c r="P28" s="873">
        <v>-12000</v>
      </c>
      <c r="Q28" s="873">
        <v>0</v>
      </c>
      <c r="R28" s="873">
        <v>-2000</v>
      </c>
      <c r="S28" s="873">
        <v>0</v>
      </c>
      <c r="T28" s="873">
        <v>0</v>
      </c>
      <c r="U28" s="873">
        <v>0</v>
      </c>
      <c r="V28" s="873">
        <v>0</v>
      </c>
      <c r="W28" s="873">
        <v>0</v>
      </c>
      <c r="X28" s="873">
        <v>-100000</v>
      </c>
      <c r="Y28" s="873">
        <v>-735000</v>
      </c>
      <c r="Z28" s="873">
        <v>49329000</v>
      </c>
      <c r="AA28" s="873">
        <v>-2000000</v>
      </c>
      <c r="AB28" s="874"/>
      <c r="AC28" s="873">
        <v>240</v>
      </c>
      <c r="AD28" s="873">
        <v>9</v>
      </c>
      <c r="AE28" s="873">
        <v>3</v>
      </c>
      <c r="AF28" s="873">
        <v>0</v>
      </c>
      <c r="AG28" s="873">
        <v>999</v>
      </c>
      <c r="AH28" s="873">
        <v>32</v>
      </c>
      <c r="AI28" s="873">
        <v>3</v>
      </c>
      <c r="AJ28" s="873">
        <v>0</v>
      </c>
      <c r="AK28" s="873">
        <v>3</v>
      </c>
      <c r="AL28" s="873">
        <v>0</v>
      </c>
      <c r="AM28" s="873">
        <v>0</v>
      </c>
      <c r="AN28" s="873">
        <v>6</v>
      </c>
      <c r="AO28" s="873">
        <v>2167</v>
      </c>
      <c r="AP28" s="873">
        <v>2992</v>
      </c>
      <c r="AQ28" s="873">
        <v>2369</v>
      </c>
      <c r="AR28" s="873">
        <v>623</v>
      </c>
      <c r="AS28" s="873">
        <v>1146</v>
      </c>
      <c r="AT28" s="843">
        <v>6372</v>
      </c>
      <c r="AU28" s="663"/>
      <c r="AV28" s="663"/>
      <c r="AX28" s="666"/>
      <c r="AY28" s="666"/>
      <c r="AZ28" s="666"/>
      <c r="BA28" s="666"/>
      <c r="BB28" s="666"/>
      <c r="BD28" s="666"/>
      <c r="BE28" s="666"/>
      <c r="BG28" s="666"/>
      <c r="BI28" s="666"/>
      <c r="BJ28" s="666"/>
      <c r="BK28" s="666"/>
    </row>
    <row r="29" spans="1:63" ht="12.75" x14ac:dyDescent="0.2">
      <c r="A29" s="288">
        <v>22</v>
      </c>
      <c r="B29" s="290" t="s">
        <v>884</v>
      </c>
      <c r="C29" s="279" t="s">
        <v>885</v>
      </c>
      <c r="D29" s="955">
        <v>270621</v>
      </c>
      <c r="E29" s="843">
        <v>131430539</v>
      </c>
      <c r="F29" s="873">
        <v>61555784</v>
      </c>
      <c r="G29" s="873">
        <v>-6179052</v>
      </c>
      <c r="H29" s="873">
        <v>1381671</v>
      </c>
      <c r="I29" s="873">
        <v>-4797381</v>
      </c>
      <c r="J29" s="873">
        <v>-2282213</v>
      </c>
      <c r="K29" s="873">
        <v>0</v>
      </c>
      <c r="L29" s="873">
        <v>0</v>
      </c>
      <c r="M29" s="873">
        <v>0</v>
      </c>
      <c r="N29" s="873">
        <v>-1641886</v>
      </c>
      <c r="O29" s="873">
        <v>-5743</v>
      </c>
      <c r="P29" s="873">
        <v>-30214</v>
      </c>
      <c r="Q29" s="873">
        <v>0</v>
      </c>
      <c r="R29" s="873">
        <v>0</v>
      </c>
      <c r="S29" s="873">
        <v>0</v>
      </c>
      <c r="T29" s="873">
        <v>0</v>
      </c>
      <c r="U29" s="873">
        <v>0</v>
      </c>
      <c r="V29" s="873">
        <v>0</v>
      </c>
      <c r="W29" s="873">
        <v>-6902</v>
      </c>
      <c r="X29" s="873">
        <v>-114849</v>
      </c>
      <c r="Y29" s="873">
        <v>-846239</v>
      </c>
      <c r="Z29" s="873">
        <v>51638357</v>
      </c>
      <c r="AA29" s="873">
        <v>-1100000</v>
      </c>
      <c r="AB29" s="874"/>
      <c r="AC29" s="873">
        <v>197</v>
      </c>
      <c r="AD29" s="873">
        <v>0</v>
      </c>
      <c r="AE29" s="873">
        <v>0</v>
      </c>
      <c r="AF29" s="873">
        <v>0</v>
      </c>
      <c r="AG29" s="873">
        <v>1077</v>
      </c>
      <c r="AH29" s="873">
        <v>2</v>
      </c>
      <c r="AI29" s="873">
        <v>12</v>
      </c>
      <c r="AJ29" s="873">
        <v>0</v>
      </c>
      <c r="AK29" s="873">
        <v>0</v>
      </c>
      <c r="AL29" s="873">
        <v>0</v>
      </c>
      <c r="AM29" s="873">
        <v>0</v>
      </c>
      <c r="AN29" s="873">
        <v>0</v>
      </c>
      <c r="AO29" s="873">
        <v>2224</v>
      </c>
      <c r="AP29" s="873">
        <v>3202</v>
      </c>
      <c r="AQ29" s="873">
        <v>2351</v>
      </c>
      <c r="AR29" s="873">
        <v>851</v>
      </c>
      <c r="AS29" s="873">
        <v>1527</v>
      </c>
      <c r="AT29" s="843">
        <v>6800</v>
      </c>
      <c r="AU29" s="663"/>
      <c r="AV29" s="663"/>
      <c r="AX29" s="666"/>
      <c r="AY29" s="666"/>
      <c r="AZ29" s="666"/>
      <c r="BA29" s="666"/>
      <c r="BB29" s="666"/>
      <c r="BD29" s="666"/>
      <c r="BE29" s="666"/>
      <c r="BG29" s="666"/>
      <c r="BI29" s="666"/>
      <c r="BJ29" s="666"/>
      <c r="BK29" s="666"/>
    </row>
    <row r="30" spans="1:63" ht="12.75" x14ac:dyDescent="0.2">
      <c r="A30" s="288">
        <v>23</v>
      </c>
      <c r="B30" s="290" t="s">
        <v>886</v>
      </c>
      <c r="C30" s="279" t="s">
        <v>887</v>
      </c>
      <c r="D30" s="955">
        <v>95614</v>
      </c>
      <c r="E30" s="843">
        <v>54961370</v>
      </c>
      <c r="F30" s="873">
        <v>26742254</v>
      </c>
      <c r="G30" s="873">
        <v>-1272409</v>
      </c>
      <c r="H30" s="873">
        <v>526852</v>
      </c>
      <c r="I30" s="873">
        <v>-745557</v>
      </c>
      <c r="J30" s="873">
        <v>-388838</v>
      </c>
      <c r="K30" s="873">
        <v>0</v>
      </c>
      <c r="L30" s="873">
        <v>-10513</v>
      </c>
      <c r="M30" s="873">
        <v>-104480</v>
      </c>
      <c r="N30" s="873">
        <v>-497338</v>
      </c>
      <c r="O30" s="873">
        <v>0</v>
      </c>
      <c r="P30" s="873">
        <v>-26469</v>
      </c>
      <c r="Q30" s="873">
        <v>0</v>
      </c>
      <c r="R30" s="873">
        <v>0</v>
      </c>
      <c r="S30" s="873">
        <v>0</v>
      </c>
      <c r="T30" s="873">
        <v>0</v>
      </c>
      <c r="U30" s="873">
        <v>0</v>
      </c>
      <c r="V30" s="873">
        <v>0</v>
      </c>
      <c r="W30" s="873">
        <v>0</v>
      </c>
      <c r="X30" s="873">
        <v>0</v>
      </c>
      <c r="Y30" s="873">
        <v>-204193</v>
      </c>
      <c r="Z30" s="873">
        <v>24764866</v>
      </c>
      <c r="AA30" s="873">
        <v>-439512</v>
      </c>
      <c r="AB30" s="874"/>
      <c r="AC30" s="873">
        <v>76</v>
      </c>
      <c r="AD30" s="873">
        <v>0</v>
      </c>
      <c r="AE30" s="873">
        <v>11</v>
      </c>
      <c r="AF30" s="873">
        <v>1</v>
      </c>
      <c r="AG30" s="873">
        <v>290</v>
      </c>
      <c r="AH30" s="873">
        <v>0</v>
      </c>
      <c r="AI30" s="873">
        <v>16</v>
      </c>
      <c r="AJ30" s="873">
        <v>0</v>
      </c>
      <c r="AK30" s="873">
        <v>0</v>
      </c>
      <c r="AL30" s="873">
        <v>0</v>
      </c>
      <c r="AM30" s="873">
        <v>0</v>
      </c>
      <c r="AN30" s="873">
        <v>0</v>
      </c>
      <c r="AO30" s="873">
        <v>777</v>
      </c>
      <c r="AP30" s="873">
        <v>855</v>
      </c>
      <c r="AQ30" s="873">
        <v>701</v>
      </c>
      <c r="AR30" s="873">
        <v>154</v>
      </c>
      <c r="AS30" s="873">
        <v>696</v>
      </c>
      <c r="AT30" s="843">
        <v>2319</v>
      </c>
      <c r="AU30" s="663"/>
      <c r="AV30" s="663"/>
      <c r="AX30" s="666"/>
      <c r="AY30" s="666"/>
      <c r="AZ30" s="666"/>
      <c r="BA30" s="666"/>
      <c r="BB30" s="666"/>
      <c r="BD30" s="666"/>
      <c r="BE30" s="666"/>
      <c r="BG30" s="666"/>
      <c r="BI30" s="666"/>
      <c r="BJ30" s="666"/>
      <c r="BK30" s="666"/>
    </row>
    <row r="31" spans="1:63" ht="12.75" x14ac:dyDescent="0.2">
      <c r="A31" s="288">
        <v>24</v>
      </c>
      <c r="B31" s="290" t="s">
        <v>888</v>
      </c>
      <c r="C31" s="279" t="s">
        <v>889</v>
      </c>
      <c r="D31" s="955">
        <v>400997</v>
      </c>
      <c r="E31" s="843">
        <v>225142037</v>
      </c>
      <c r="F31" s="873">
        <v>108705561</v>
      </c>
      <c r="G31" s="873">
        <v>-7500000</v>
      </c>
      <c r="H31" s="873">
        <v>2600000</v>
      </c>
      <c r="I31" s="873">
        <v>-4900000</v>
      </c>
      <c r="J31" s="873">
        <v>-5900000</v>
      </c>
      <c r="K31" s="873">
        <v>-100000</v>
      </c>
      <c r="L31" s="873">
        <v>0</v>
      </c>
      <c r="M31" s="873">
        <v>-320000</v>
      </c>
      <c r="N31" s="873">
        <v>-4650000</v>
      </c>
      <c r="O31" s="873">
        <v>-645000</v>
      </c>
      <c r="P31" s="873">
        <v>-300000</v>
      </c>
      <c r="Q31" s="873">
        <v>-5000</v>
      </c>
      <c r="R31" s="873">
        <v>0</v>
      </c>
      <c r="S31" s="873">
        <v>0</v>
      </c>
      <c r="T31" s="873">
        <v>0</v>
      </c>
      <c r="U31" s="873">
        <v>0</v>
      </c>
      <c r="V31" s="873">
        <v>0</v>
      </c>
      <c r="W31" s="873">
        <v>-10000</v>
      </c>
      <c r="X31" s="873">
        <v>-110000</v>
      </c>
      <c r="Y31" s="873">
        <v>-1220000</v>
      </c>
      <c r="Z31" s="873">
        <v>90545561</v>
      </c>
      <c r="AA31" s="873">
        <v>-1800000</v>
      </c>
      <c r="AB31" s="874"/>
      <c r="AC31" s="873">
        <v>384</v>
      </c>
      <c r="AD31" s="873">
        <v>11</v>
      </c>
      <c r="AE31" s="873">
        <v>0</v>
      </c>
      <c r="AF31" s="873">
        <v>4</v>
      </c>
      <c r="AG31" s="873">
        <v>1249</v>
      </c>
      <c r="AH31" s="873">
        <v>203</v>
      </c>
      <c r="AI31" s="873">
        <v>50</v>
      </c>
      <c r="AJ31" s="873">
        <v>6</v>
      </c>
      <c r="AK31" s="873">
        <v>0</v>
      </c>
      <c r="AL31" s="873">
        <v>0</v>
      </c>
      <c r="AM31" s="873">
        <v>0</v>
      </c>
      <c r="AN31" s="873">
        <v>0</v>
      </c>
      <c r="AO31" s="873">
        <v>3401</v>
      </c>
      <c r="AP31" s="873">
        <v>3885</v>
      </c>
      <c r="AQ31" s="873">
        <v>2651</v>
      </c>
      <c r="AR31" s="873">
        <v>1234</v>
      </c>
      <c r="AS31" s="873">
        <v>2298</v>
      </c>
      <c r="AT31" s="843">
        <v>9579</v>
      </c>
      <c r="AU31" s="663"/>
      <c r="AV31" s="663"/>
      <c r="AX31" s="666"/>
      <c r="AY31" s="666"/>
      <c r="AZ31" s="666"/>
      <c r="BA31" s="666"/>
      <c r="BB31" s="666"/>
      <c r="BD31" s="666"/>
      <c r="BE31" s="666"/>
      <c r="BG31" s="666"/>
      <c r="BI31" s="666"/>
      <c r="BJ31" s="666"/>
      <c r="BK31" s="666"/>
    </row>
    <row r="32" spans="1:63" ht="12.75" x14ac:dyDescent="0.2">
      <c r="A32" s="288">
        <v>25</v>
      </c>
      <c r="B32" s="290" t="s">
        <v>890</v>
      </c>
      <c r="C32" s="279" t="s">
        <v>891</v>
      </c>
      <c r="D32" s="955">
        <v>90714</v>
      </c>
      <c r="E32" s="843">
        <v>49710012</v>
      </c>
      <c r="F32" s="873">
        <v>23402998</v>
      </c>
      <c r="G32" s="873">
        <v>-1416649</v>
      </c>
      <c r="H32" s="873">
        <v>460419</v>
      </c>
      <c r="I32" s="873">
        <v>-956230</v>
      </c>
      <c r="J32" s="873">
        <v>-1425809</v>
      </c>
      <c r="K32" s="873">
        <v>-44483</v>
      </c>
      <c r="L32" s="873">
        <v>-21454</v>
      </c>
      <c r="M32" s="873">
        <v>0</v>
      </c>
      <c r="N32" s="873">
        <v>-913707</v>
      </c>
      <c r="O32" s="873">
        <v>-52922</v>
      </c>
      <c r="P32" s="873">
        <v>-16069</v>
      </c>
      <c r="Q32" s="873">
        <v>-8341</v>
      </c>
      <c r="R32" s="873">
        <v>-1656</v>
      </c>
      <c r="S32" s="873">
        <v>0</v>
      </c>
      <c r="T32" s="873">
        <v>0</v>
      </c>
      <c r="U32" s="873">
        <v>0</v>
      </c>
      <c r="V32" s="873">
        <v>0</v>
      </c>
      <c r="W32" s="873">
        <v>-7840</v>
      </c>
      <c r="X32" s="873">
        <v>0</v>
      </c>
      <c r="Y32" s="873">
        <v>-275000</v>
      </c>
      <c r="Z32" s="873">
        <v>19642623</v>
      </c>
      <c r="AA32" s="873">
        <v>-325000</v>
      </c>
      <c r="AB32" s="874"/>
      <c r="AC32" s="873">
        <v>159</v>
      </c>
      <c r="AD32" s="873">
        <v>11</v>
      </c>
      <c r="AE32" s="873">
        <v>24</v>
      </c>
      <c r="AF32" s="873">
        <v>0</v>
      </c>
      <c r="AG32" s="873">
        <v>318</v>
      </c>
      <c r="AH32" s="873">
        <v>70</v>
      </c>
      <c r="AI32" s="873">
        <v>1</v>
      </c>
      <c r="AJ32" s="873">
        <v>11</v>
      </c>
      <c r="AK32" s="873">
        <v>5</v>
      </c>
      <c r="AL32" s="873">
        <v>0</v>
      </c>
      <c r="AM32" s="873">
        <v>0</v>
      </c>
      <c r="AN32" s="873">
        <v>0</v>
      </c>
      <c r="AO32" s="873">
        <v>808</v>
      </c>
      <c r="AP32" s="873">
        <v>799</v>
      </c>
      <c r="AQ32" s="873">
        <v>578</v>
      </c>
      <c r="AR32" s="873">
        <v>221</v>
      </c>
      <c r="AS32" s="873">
        <v>553</v>
      </c>
      <c r="AT32" s="843">
        <v>2224</v>
      </c>
      <c r="AU32" s="663"/>
      <c r="AV32" s="663"/>
      <c r="AX32" s="666"/>
      <c r="AY32" s="666"/>
      <c r="AZ32" s="666"/>
      <c r="BA32" s="666"/>
      <c r="BB32" s="666"/>
      <c r="BD32" s="666"/>
      <c r="BE32" s="666"/>
      <c r="BG32" s="666"/>
      <c r="BI32" s="666"/>
      <c r="BJ32" s="666"/>
      <c r="BK32" s="666"/>
    </row>
    <row r="33" spans="1:63" ht="12.75" x14ac:dyDescent="0.2">
      <c r="A33" s="288">
        <v>26</v>
      </c>
      <c r="B33" s="290" t="s">
        <v>892</v>
      </c>
      <c r="C33" s="279" t="s">
        <v>893</v>
      </c>
      <c r="D33" s="955">
        <v>299908</v>
      </c>
      <c r="E33" s="843">
        <v>165848683</v>
      </c>
      <c r="F33" s="873">
        <v>79149165</v>
      </c>
      <c r="G33" s="873">
        <v>-4516215</v>
      </c>
      <c r="H33" s="873">
        <v>1826605</v>
      </c>
      <c r="I33" s="873">
        <v>-2689610</v>
      </c>
      <c r="J33" s="873">
        <v>-5231550</v>
      </c>
      <c r="K33" s="873">
        <v>-114376</v>
      </c>
      <c r="L33" s="873">
        <v>0</v>
      </c>
      <c r="M33" s="873">
        <v>-2500</v>
      </c>
      <c r="N33" s="873">
        <v>-1214964</v>
      </c>
      <c r="O33" s="873">
        <v>-92522</v>
      </c>
      <c r="P33" s="873">
        <v>-25148</v>
      </c>
      <c r="Q33" s="873">
        <v>-4000</v>
      </c>
      <c r="R33" s="873">
        <v>0</v>
      </c>
      <c r="S33" s="873">
        <v>0</v>
      </c>
      <c r="T33" s="873">
        <v>0</v>
      </c>
      <c r="U33" s="873">
        <v>0</v>
      </c>
      <c r="V33" s="873">
        <v>0</v>
      </c>
      <c r="W33" s="873">
        <v>0</v>
      </c>
      <c r="X33" s="873">
        <v>-75000</v>
      </c>
      <c r="Y33" s="873">
        <v>-1373189</v>
      </c>
      <c r="Z33" s="873">
        <v>68326306</v>
      </c>
      <c r="AA33" s="873">
        <v>-798690</v>
      </c>
      <c r="AB33" s="874"/>
      <c r="AC33" s="873">
        <v>255</v>
      </c>
      <c r="AD33" s="873">
        <v>1</v>
      </c>
      <c r="AE33" s="873">
        <v>0</v>
      </c>
      <c r="AF33" s="873">
        <v>0</v>
      </c>
      <c r="AG33" s="873">
        <v>399</v>
      </c>
      <c r="AH33" s="873">
        <v>57</v>
      </c>
      <c r="AI33" s="873">
        <v>9</v>
      </c>
      <c r="AJ33" s="873">
        <v>1</v>
      </c>
      <c r="AK33" s="873">
        <v>0</v>
      </c>
      <c r="AL33" s="873">
        <v>0</v>
      </c>
      <c r="AM33" s="873">
        <v>0</v>
      </c>
      <c r="AN33" s="873">
        <v>0</v>
      </c>
      <c r="AO33" s="873">
        <v>2026</v>
      </c>
      <c r="AP33" s="873">
        <v>3574</v>
      </c>
      <c r="AQ33" s="873">
        <v>2733</v>
      </c>
      <c r="AR33" s="873">
        <v>841</v>
      </c>
      <c r="AS33" s="873">
        <v>1734</v>
      </c>
      <c r="AT33" s="843">
        <v>7338</v>
      </c>
      <c r="AU33" s="663"/>
      <c r="AV33" s="663"/>
      <c r="AX33" s="666"/>
      <c r="AY33" s="666"/>
      <c r="AZ33" s="666"/>
      <c r="BA33" s="666"/>
      <c r="BB33" s="666"/>
      <c r="BD33" s="666"/>
      <c r="BE33" s="666"/>
      <c r="BG33" s="666"/>
      <c r="BI33" s="666"/>
      <c r="BJ33" s="666"/>
      <c r="BK33" s="666"/>
    </row>
    <row r="34" spans="1:63" ht="12.75" x14ac:dyDescent="0.2">
      <c r="A34" s="288">
        <v>27</v>
      </c>
      <c r="B34" s="290" t="s">
        <v>894</v>
      </c>
      <c r="C34" s="279" t="s">
        <v>895</v>
      </c>
      <c r="D34" s="955">
        <v>149777</v>
      </c>
      <c r="E34" s="843">
        <v>169907060</v>
      </c>
      <c r="F34" s="873">
        <v>80963024</v>
      </c>
      <c r="G34" s="873">
        <v>-989122</v>
      </c>
      <c r="H34" s="873">
        <v>2106302</v>
      </c>
      <c r="I34" s="873">
        <v>1117180</v>
      </c>
      <c r="J34" s="873">
        <v>-1840800</v>
      </c>
      <c r="K34" s="873">
        <v>-5000</v>
      </c>
      <c r="L34" s="873">
        <v>0</v>
      </c>
      <c r="M34" s="873">
        <v>-350000</v>
      </c>
      <c r="N34" s="873">
        <v>-2924181</v>
      </c>
      <c r="O34" s="873">
        <v>-70234</v>
      </c>
      <c r="P34" s="873">
        <v>-83750</v>
      </c>
      <c r="Q34" s="873">
        <v>-1250</v>
      </c>
      <c r="R34" s="873">
        <v>0</v>
      </c>
      <c r="S34" s="873">
        <v>0</v>
      </c>
      <c r="T34" s="873">
        <v>0</v>
      </c>
      <c r="U34" s="873">
        <v>0</v>
      </c>
      <c r="V34" s="873">
        <v>0</v>
      </c>
      <c r="W34" s="873">
        <v>0</v>
      </c>
      <c r="X34" s="873">
        <v>-50000</v>
      </c>
      <c r="Y34" s="873">
        <v>-350000</v>
      </c>
      <c r="Z34" s="873">
        <v>74762947</v>
      </c>
      <c r="AA34" s="873">
        <v>-2000000</v>
      </c>
      <c r="AB34" s="874"/>
      <c r="AC34" s="873">
        <v>107</v>
      </c>
      <c r="AD34" s="873">
        <v>2</v>
      </c>
      <c r="AE34" s="873">
        <v>0</v>
      </c>
      <c r="AF34" s="873">
        <v>1</v>
      </c>
      <c r="AG34" s="873">
        <v>244</v>
      </c>
      <c r="AH34" s="873">
        <v>74</v>
      </c>
      <c r="AI34" s="873">
        <v>14</v>
      </c>
      <c r="AJ34" s="873">
        <v>2</v>
      </c>
      <c r="AK34" s="873">
        <v>0</v>
      </c>
      <c r="AL34" s="873">
        <v>0</v>
      </c>
      <c r="AM34" s="873">
        <v>0</v>
      </c>
      <c r="AN34" s="873">
        <v>0</v>
      </c>
      <c r="AO34" s="873">
        <v>1357</v>
      </c>
      <c r="AP34" s="873">
        <v>430</v>
      </c>
      <c r="AQ34" s="873">
        <v>229</v>
      </c>
      <c r="AR34" s="873">
        <v>201</v>
      </c>
      <c r="AS34" s="873">
        <v>604</v>
      </c>
      <c r="AT34" s="843">
        <v>2390</v>
      </c>
      <c r="AU34" s="663"/>
      <c r="AV34" s="663"/>
      <c r="AX34" s="666"/>
      <c r="AY34" s="666"/>
      <c r="AZ34" s="666"/>
      <c r="BA34" s="666"/>
      <c r="BB34" s="666"/>
      <c r="BD34" s="666"/>
      <c r="BE34" s="666"/>
      <c r="BG34" s="666"/>
      <c r="BI34" s="666"/>
      <c r="BJ34" s="666"/>
      <c r="BK34" s="666"/>
    </row>
    <row r="35" spans="1:63" ht="12.75" x14ac:dyDescent="0.2">
      <c r="A35" s="288">
        <v>28</v>
      </c>
      <c r="B35" s="290" t="s">
        <v>896</v>
      </c>
      <c r="C35" s="279" t="s">
        <v>897</v>
      </c>
      <c r="D35" s="955">
        <v>741111</v>
      </c>
      <c r="E35" s="843">
        <v>379117140</v>
      </c>
      <c r="F35" s="873">
        <v>183856302</v>
      </c>
      <c r="G35" s="873">
        <v>-15800000</v>
      </c>
      <c r="H35" s="873">
        <v>4066971</v>
      </c>
      <c r="I35" s="873">
        <v>-11733029</v>
      </c>
      <c r="J35" s="873">
        <v>-13788584</v>
      </c>
      <c r="K35" s="873">
        <v>-139101</v>
      </c>
      <c r="L35" s="873">
        <v>-9842</v>
      </c>
      <c r="M35" s="873">
        <v>-250000</v>
      </c>
      <c r="N35" s="873">
        <v>-8605000</v>
      </c>
      <c r="O35" s="873">
        <v>-8074</v>
      </c>
      <c r="P35" s="873">
        <v>-500000</v>
      </c>
      <c r="Q35" s="873">
        <v>0</v>
      </c>
      <c r="R35" s="873">
        <v>0</v>
      </c>
      <c r="S35" s="873">
        <v>-4992</v>
      </c>
      <c r="T35" s="873">
        <v>0</v>
      </c>
      <c r="U35" s="873">
        <v>0</v>
      </c>
      <c r="V35" s="873">
        <v>0</v>
      </c>
      <c r="W35" s="873">
        <v>-45000</v>
      </c>
      <c r="X35" s="873">
        <v>-20000</v>
      </c>
      <c r="Y35" s="873">
        <v>-3245007</v>
      </c>
      <c r="Z35" s="873">
        <v>145507673</v>
      </c>
      <c r="AA35" s="873">
        <v>-2318890</v>
      </c>
      <c r="AB35" s="874"/>
      <c r="AC35" s="873">
        <v>767</v>
      </c>
      <c r="AD35" s="873">
        <v>20</v>
      </c>
      <c r="AE35" s="873">
        <v>8</v>
      </c>
      <c r="AF35" s="873">
        <v>0</v>
      </c>
      <c r="AG35" s="873">
        <v>1875</v>
      </c>
      <c r="AH35" s="873">
        <v>8</v>
      </c>
      <c r="AI35" s="873">
        <v>96</v>
      </c>
      <c r="AJ35" s="873">
        <v>0</v>
      </c>
      <c r="AK35" s="873">
        <v>0</v>
      </c>
      <c r="AL35" s="873">
        <v>7</v>
      </c>
      <c r="AM35" s="873">
        <v>0</v>
      </c>
      <c r="AN35" s="873">
        <v>0</v>
      </c>
      <c r="AO35" s="873">
        <v>6243</v>
      </c>
      <c r="AP35" s="873">
        <v>7818</v>
      </c>
      <c r="AQ35" s="873">
        <v>5324</v>
      </c>
      <c r="AR35" s="873">
        <v>2494</v>
      </c>
      <c r="AS35" s="873">
        <v>4008</v>
      </c>
      <c r="AT35" s="843">
        <v>18313</v>
      </c>
      <c r="AU35" s="663"/>
      <c r="AV35" s="663"/>
      <c r="AX35" s="666"/>
      <c r="AY35" s="666"/>
      <c r="AZ35" s="666"/>
      <c r="BA35" s="666"/>
      <c r="BB35" s="666"/>
      <c r="BD35" s="666"/>
      <c r="BE35" s="666"/>
      <c r="BG35" s="666"/>
      <c r="BI35" s="666"/>
      <c r="BJ35" s="666"/>
      <c r="BK35" s="666"/>
    </row>
    <row r="36" spans="1:63" ht="12.75" x14ac:dyDescent="0.2">
      <c r="A36" s="288">
        <v>29</v>
      </c>
      <c r="B36" s="290" t="s">
        <v>898</v>
      </c>
      <c r="C36" s="279" t="s">
        <v>899</v>
      </c>
      <c r="D36" s="955">
        <v>194671</v>
      </c>
      <c r="E36" s="843">
        <v>104944475</v>
      </c>
      <c r="F36" s="873">
        <v>49592722</v>
      </c>
      <c r="G36" s="873">
        <v>-3177100</v>
      </c>
      <c r="H36" s="873">
        <v>951750</v>
      </c>
      <c r="I36" s="873">
        <v>-2225350</v>
      </c>
      <c r="J36" s="873">
        <v>-2841825</v>
      </c>
      <c r="K36" s="873">
        <v>-103350</v>
      </c>
      <c r="L36" s="873">
        <v>-13315</v>
      </c>
      <c r="M36" s="873">
        <v>-78000</v>
      </c>
      <c r="N36" s="873">
        <v>-1603730</v>
      </c>
      <c r="O36" s="873">
        <v>-71230</v>
      </c>
      <c r="P36" s="873">
        <v>-206666</v>
      </c>
      <c r="Q36" s="873">
        <v>-625</v>
      </c>
      <c r="R36" s="873">
        <v>-2987</v>
      </c>
      <c r="S36" s="873">
        <v>0</v>
      </c>
      <c r="T36" s="873">
        <v>0</v>
      </c>
      <c r="U36" s="873">
        <v>0</v>
      </c>
      <c r="V36" s="873">
        <v>0</v>
      </c>
      <c r="W36" s="873">
        <v>0</v>
      </c>
      <c r="X36" s="873">
        <v>-3210</v>
      </c>
      <c r="Y36" s="873">
        <v>-551190</v>
      </c>
      <c r="Z36" s="873">
        <v>41891244</v>
      </c>
      <c r="AA36" s="873">
        <v>-452000</v>
      </c>
      <c r="AB36" s="874"/>
      <c r="AC36" s="873">
        <v>231</v>
      </c>
      <c r="AD36" s="873">
        <v>22</v>
      </c>
      <c r="AE36" s="873">
        <v>11</v>
      </c>
      <c r="AF36" s="873">
        <v>1</v>
      </c>
      <c r="AG36" s="873">
        <v>390</v>
      </c>
      <c r="AH36" s="873">
        <v>125</v>
      </c>
      <c r="AI36" s="873">
        <v>61</v>
      </c>
      <c r="AJ36" s="873">
        <v>2</v>
      </c>
      <c r="AK36" s="873">
        <v>6</v>
      </c>
      <c r="AL36" s="873">
        <v>0</v>
      </c>
      <c r="AM36" s="873">
        <v>0</v>
      </c>
      <c r="AN36" s="873">
        <v>0</v>
      </c>
      <c r="AO36" s="873">
        <v>1787</v>
      </c>
      <c r="AP36" s="873">
        <v>1676</v>
      </c>
      <c r="AQ36" s="873">
        <v>1096</v>
      </c>
      <c r="AR36" s="873">
        <v>580</v>
      </c>
      <c r="AS36" s="873">
        <v>1129</v>
      </c>
      <c r="AT36" s="843">
        <v>4715</v>
      </c>
      <c r="AU36" s="663"/>
      <c r="AV36" s="663"/>
      <c r="AX36" s="666"/>
      <c r="AY36" s="666"/>
      <c r="AZ36" s="666"/>
      <c r="BA36" s="666"/>
      <c r="BB36" s="666"/>
      <c r="BD36" s="666"/>
      <c r="BE36" s="666"/>
      <c r="BG36" s="666"/>
      <c r="BI36" s="666"/>
      <c r="BJ36" s="666"/>
      <c r="BK36" s="666"/>
    </row>
    <row r="37" spans="1:63" ht="12.75" x14ac:dyDescent="0.2">
      <c r="A37" s="288">
        <v>30</v>
      </c>
      <c r="B37" s="290" t="s">
        <v>900</v>
      </c>
      <c r="C37" s="279" t="s">
        <v>901</v>
      </c>
      <c r="D37" s="955">
        <v>165631</v>
      </c>
      <c r="E37" s="843">
        <v>77163135</v>
      </c>
      <c r="F37" s="873">
        <v>37085947</v>
      </c>
      <c r="G37" s="873">
        <v>-2917802</v>
      </c>
      <c r="H37" s="873">
        <v>788117</v>
      </c>
      <c r="I37" s="873">
        <v>-2129685</v>
      </c>
      <c r="J37" s="873">
        <v>-2231144</v>
      </c>
      <c r="K37" s="873">
        <v>-37026</v>
      </c>
      <c r="L37" s="873">
        <v>-85472</v>
      </c>
      <c r="M37" s="873">
        <v>-60000</v>
      </c>
      <c r="N37" s="873">
        <v>-728005</v>
      </c>
      <c r="O37" s="873">
        <v>-58357</v>
      </c>
      <c r="P37" s="873">
        <v>-3930</v>
      </c>
      <c r="Q37" s="873">
        <v>-1033</v>
      </c>
      <c r="R37" s="873">
        <v>-9917</v>
      </c>
      <c r="S37" s="873">
        <v>0</v>
      </c>
      <c r="T37" s="873">
        <v>0</v>
      </c>
      <c r="U37" s="873">
        <v>0</v>
      </c>
      <c r="V37" s="873">
        <v>0</v>
      </c>
      <c r="W37" s="873">
        <v>0</v>
      </c>
      <c r="X37" s="873">
        <v>-3240</v>
      </c>
      <c r="Y37" s="873">
        <v>-633539</v>
      </c>
      <c r="Z37" s="873">
        <v>31022076</v>
      </c>
      <c r="AA37" s="873">
        <v>-211369</v>
      </c>
      <c r="AB37" s="874"/>
      <c r="AC37" s="873">
        <v>289</v>
      </c>
      <c r="AD37" s="873">
        <v>11</v>
      </c>
      <c r="AE37" s="873">
        <v>68</v>
      </c>
      <c r="AF37" s="873">
        <v>9</v>
      </c>
      <c r="AG37" s="873">
        <v>360</v>
      </c>
      <c r="AH37" s="873">
        <v>121</v>
      </c>
      <c r="AI37" s="873">
        <v>3</v>
      </c>
      <c r="AJ37" s="873">
        <v>3</v>
      </c>
      <c r="AK37" s="873">
        <v>16</v>
      </c>
      <c r="AL37" s="873">
        <v>0</v>
      </c>
      <c r="AM37" s="873">
        <v>0</v>
      </c>
      <c r="AN37" s="873">
        <v>0</v>
      </c>
      <c r="AO37" s="873">
        <v>1388</v>
      </c>
      <c r="AP37" s="873">
        <v>1743</v>
      </c>
      <c r="AQ37" s="873">
        <v>1261</v>
      </c>
      <c r="AR37" s="873">
        <v>482</v>
      </c>
      <c r="AS37" s="873">
        <v>1055</v>
      </c>
      <c r="AT37" s="843">
        <v>4194</v>
      </c>
      <c r="AU37" s="663"/>
      <c r="AV37" s="663"/>
      <c r="AX37" s="666"/>
      <c r="AY37" s="666"/>
      <c r="AZ37" s="666"/>
      <c r="BA37" s="666"/>
      <c r="BB37" s="666"/>
      <c r="BD37" s="666"/>
      <c r="BE37" s="666"/>
      <c r="BG37" s="666"/>
      <c r="BI37" s="666"/>
      <c r="BJ37" s="666"/>
      <c r="BK37" s="666"/>
    </row>
    <row r="38" spans="1:63" ht="12.75" x14ac:dyDescent="0.2">
      <c r="A38" s="288">
        <v>31</v>
      </c>
      <c r="B38" s="290" t="s">
        <v>902</v>
      </c>
      <c r="C38" s="279" t="s">
        <v>903</v>
      </c>
      <c r="D38" s="955">
        <v>416161</v>
      </c>
      <c r="E38" s="843">
        <v>278483135</v>
      </c>
      <c r="F38" s="873">
        <v>134029222</v>
      </c>
      <c r="G38" s="873">
        <v>-4405136</v>
      </c>
      <c r="H38" s="873">
        <v>2913559</v>
      </c>
      <c r="I38" s="873">
        <v>-1491577</v>
      </c>
      <c r="J38" s="873">
        <v>-7007374</v>
      </c>
      <c r="K38" s="873">
        <v>-36738</v>
      </c>
      <c r="L38" s="873">
        <v>0</v>
      </c>
      <c r="M38" s="873">
        <v>0</v>
      </c>
      <c r="N38" s="873">
        <v>-3709015</v>
      </c>
      <c r="O38" s="873">
        <v>-420651</v>
      </c>
      <c r="P38" s="873">
        <v>-94080</v>
      </c>
      <c r="Q38" s="873">
        <v>-2268</v>
      </c>
      <c r="R38" s="873">
        <v>0</v>
      </c>
      <c r="S38" s="873">
        <v>0</v>
      </c>
      <c r="T38" s="873">
        <v>0</v>
      </c>
      <c r="U38" s="873">
        <v>0</v>
      </c>
      <c r="V38" s="873">
        <v>0</v>
      </c>
      <c r="W38" s="873">
        <v>-100000</v>
      </c>
      <c r="X38" s="873">
        <v>-75000</v>
      </c>
      <c r="Y38" s="873">
        <v>-2183000</v>
      </c>
      <c r="Z38" s="873">
        <v>118909519</v>
      </c>
      <c r="AA38" s="873">
        <v>-1650000</v>
      </c>
      <c r="AB38" s="874"/>
      <c r="AC38" s="873">
        <v>307</v>
      </c>
      <c r="AD38" s="873">
        <v>9</v>
      </c>
      <c r="AE38" s="873">
        <v>0</v>
      </c>
      <c r="AF38" s="873">
        <v>0</v>
      </c>
      <c r="AG38" s="873">
        <v>905</v>
      </c>
      <c r="AH38" s="873">
        <v>114</v>
      </c>
      <c r="AI38" s="873">
        <v>9</v>
      </c>
      <c r="AJ38" s="873">
        <v>2</v>
      </c>
      <c r="AK38" s="873">
        <v>0</v>
      </c>
      <c r="AL38" s="873">
        <v>0</v>
      </c>
      <c r="AM38" s="873">
        <v>0</v>
      </c>
      <c r="AN38" s="873">
        <v>0</v>
      </c>
      <c r="AO38" s="873">
        <v>2848</v>
      </c>
      <c r="AP38" s="873">
        <v>2301</v>
      </c>
      <c r="AQ38" s="873">
        <v>895</v>
      </c>
      <c r="AR38" s="873">
        <v>1406</v>
      </c>
      <c r="AS38" s="873">
        <v>3279</v>
      </c>
      <c r="AT38" s="843">
        <v>8463</v>
      </c>
      <c r="AU38" s="663"/>
      <c r="AV38" s="663"/>
      <c r="AX38" s="666"/>
      <c r="AY38" s="666"/>
      <c r="AZ38" s="666"/>
      <c r="BA38" s="666"/>
      <c r="BB38" s="666"/>
      <c r="BD38" s="666"/>
      <c r="BE38" s="666"/>
      <c r="BG38" s="666"/>
      <c r="BI38" s="666"/>
      <c r="BJ38" s="666"/>
      <c r="BK38" s="666"/>
    </row>
    <row r="39" spans="1:63" ht="12.75" x14ac:dyDescent="0.2">
      <c r="A39" s="288">
        <v>32</v>
      </c>
      <c r="B39" s="290" t="s">
        <v>904</v>
      </c>
      <c r="C39" s="279" t="s">
        <v>905</v>
      </c>
      <c r="D39" s="955">
        <v>107735</v>
      </c>
      <c r="E39" s="843">
        <v>75558591</v>
      </c>
      <c r="F39" s="873">
        <v>36191260</v>
      </c>
      <c r="G39" s="873">
        <v>-1139201</v>
      </c>
      <c r="H39" s="873">
        <v>852417</v>
      </c>
      <c r="I39" s="873">
        <v>-286784</v>
      </c>
      <c r="J39" s="873">
        <v>-2286414</v>
      </c>
      <c r="K39" s="873">
        <v>-54550</v>
      </c>
      <c r="L39" s="873">
        <v>-4951</v>
      </c>
      <c r="M39" s="873">
        <v>-43154</v>
      </c>
      <c r="N39" s="873">
        <v>-1082725</v>
      </c>
      <c r="O39" s="873">
        <v>-84866</v>
      </c>
      <c r="P39" s="873">
        <v>-42711</v>
      </c>
      <c r="Q39" s="873">
        <v>-3466</v>
      </c>
      <c r="R39" s="873">
        <v>-3472</v>
      </c>
      <c r="S39" s="873">
        <v>-14838</v>
      </c>
      <c r="T39" s="873">
        <v>0</v>
      </c>
      <c r="U39" s="873">
        <v>0</v>
      </c>
      <c r="V39" s="873">
        <v>0</v>
      </c>
      <c r="W39" s="873">
        <v>0</v>
      </c>
      <c r="X39" s="873">
        <v>-7333</v>
      </c>
      <c r="Y39" s="873">
        <v>-533676</v>
      </c>
      <c r="Z39" s="873">
        <v>31352776</v>
      </c>
      <c r="AA39" s="873">
        <v>-405884</v>
      </c>
      <c r="AB39" s="874"/>
      <c r="AC39" s="873">
        <v>111</v>
      </c>
      <c r="AD39" s="873">
        <v>3</v>
      </c>
      <c r="AE39" s="873">
        <v>4</v>
      </c>
      <c r="AF39" s="873">
        <v>2</v>
      </c>
      <c r="AG39" s="873">
        <v>88</v>
      </c>
      <c r="AH39" s="873">
        <v>62</v>
      </c>
      <c r="AI39" s="873">
        <v>27</v>
      </c>
      <c r="AJ39" s="873">
        <v>2</v>
      </c>
      <c r="AK39" s="873">
        <v>3</v>
      </c>
      <c r="AL39" s="873">
        <v>4</v>
      </c>
      <c r="AM39" s="873">
        <v>0</v>
      </c>
      <c r="AN39" s="873">
        <v>0</v>
      </c>
      <c r="AO39" s="873">
        <v>1027</v>
      </c>
      <c r="AP39" s="873">
        <v>580</v>
      </c>
      <c r="AQ39" s="873">
        <v>265</v>
      </c>
      <c r="AR39" s="873">
        <v>315</v>
      </c>
      <c r="AS39" s="873">
        <v>647</v>
      </c>
      <c r="AT39" s="843">
        <v>2292</v>
      </c>
      <c r="AU39" s="663"/>
      <c r="AV39" s="663"/>
      <c r="AX39" s="666"/>
      <c r="AY39" s="666"/>
      <c r="AZ39" s="666"/>
      <c r="BA39" s="666"/>
      <c r="BB39" s="666"/>
      <c r="BD39" s="666"/>
      <c r="BE39" s="666"/>
      <c r="BG39" s="666"/>
      <c r="BI39" s="666"/>
      <c r="BJ39" s="666"/>
      <c r="BK39" s="666"/>
    </row>
    <row r="40" spans="1:63" ht="12.75" x14ac:dyDescent="0.2">
      <c r="A40" s="288">
        <v>33</v>
      </c>
      <c r="B40" s="290" t="s">
        <v>906</v>
      </c>
      <c r="C40" s="279" t="s">
        <v>907</v>
      </c>
      <c r="D40" s="955">
        <v>423529</v>
      </c>
      <c r="E40" s="843">
        <v>266846518</v>
      </c>
      <c r="F40" s="873">
        <v>128270733</v>
      </c>
      <c r="G40" s="873">
        <v>-6316275</v>
      </c>
      <c r="H40" s="873">
        <v>2924173</v>
      </c>
      <c r="I40" s="873">
        <v>-3392102</v>
      </c>
      <c r="J40" s="873">
        <v>-8543256</v>
      </c>
      <c r="K40" s="873">
        <v>-56435</v>
      </c>
      <c r="L40" s="873">
        <v>0</v>
      </c>
      <c r="M40" s="873">
        <v>0</v>
      </c>
      <c r="N40" s="873">
        <v>-3082043</v>
      </c>
      <c r="O40" s="873">
        <v>-83908</v>
      </c>
      <c r="P40" s="873">
        <v>-49657</v>
      </c>
      <c r="Q40" s="873">
        <v>-1307</v>
      </c>
      <c r="R40" s="873">
        <v>0</v>
      </c>
      <c r="S40" s="873">
        <v>0</v>
      </c>
      <c r="T40" s="873">
        <v>0</v>
      </c>
      <c r="U40" s="873">
        <v>0</v>
      </c>
      <c r="V40" s="873">
        <v>0</v>
      </c>
      <c r="W40" s="873">
        <v>-80000</v>
      </c>
      <c r="X40" s="873">
        <v>-55000</v>
      </c>
      <c r="Y40" s="873">
        <v>-3540877</v>
      </c>
      <c r="Z40" s="873">
        <v>109386148</v>
      </c>
      <c r="AA40" s="873">
        <v>-1300000</v>
      </c>
      <c r="AB40" s="874"/>
      <c r="AC40" s="873">
        <v>435</v>
      </c>
      <c r="AD40" s="873">
        <v>11</v>
      </c>
      <c r="AE40" s="873">
        <v>0</v>
      </c>
      <c r="AF40" s="873">
        <v>1</v>
      </c>
      <c r="AG40" s="873">
        <v>709</v>
      </c>
      <c r="AH40" s="873">
        <v>61</v>
      </c>
      <c r="AI40" s="873">
        <v>16</v>
      </c>
      <c r="AJ40" s="873">
        <v>3</v>
      </c>
      <c r="AK40" s="873">
        <v>0</v>
      </c>
      <c r="AL40" s="873">
        <v>0</v>
      </c>
      <c r="AM40" s="873">
        <v>0</v>
      </c>
      <c r="AN40" s="873">
        <v>34</v>
      </c>
      <c r="AO40" s="873">
        <v>3493</v>
      </c>
      <c r="AP40" s="873">
        <v>3574</v>
      </c>
      <c r="AQ40" s="873">
        <v>1824</v>
      </c>
      <c r="AR40" s="873">
        <v>1750</v>
      </c>
      <c r="AS40" s="873">
        <v>2662</v>
      </c>
      <c r="AT40" s="843">
        <v>9930</v>
      </c>
      <c r="AU40" s="663"/>
      <c r="AV40" s="663"/>
      <c r="AX40" s="666"/>
      <c r="AY40" s="666"/>
      <c r="AZ40" s="666"/>
      <c r="BA40" s="666"/>
      <c r="BB40" s="666"/>
      <c r="BD40" s="666"/>
      <c r="BE40" s="666"/>
      <c r="BG40" s="666"/>
      <c r="BI40" s="666"/>
      <c r="BJ40" s="666"/>
      <c r="BK40" s="666"/>
    </row>
    <row r="41" spans="1:63" ht="12.75" x14ac:dyDescent="0.2">
      <c r="A41" s="288">
        <v>34</v>
      </c>
      <c r="B41" s="290" t="s">
        <v>908</v>
      </c>
      <c r="C41" s="279" t="s">
        <v>909</v>
      </c>
      <c r="D41" s="955">
        <v>721633</v>
      </c>
      <c r="E41" s="843">
        <v>536213846</v>
      </c>
      <c r="F41" s="873">
        <v>251675316</v>
      </c>
      <c r="G41" s="873">
        <v>-5690702</v>
      </c>
      <c r="H41" s="873">
        <v>5306989</v>
      </c>
      <c r="I41" s="873">
        <v>-383713</v>
      </c>
      <c r="J41" s="873">
        <v>-15792851</v>
      </c>
      <c r="K41" s="873">
        <v>-149943</v>
      </c>
      <c r="L41" s="873">
        <v>0</v>
      </c>
      <c r="M41" s="873">
        <v>-800000</v>
      </c>
      <c r="N41" s="873">
        <v>-11683009</v>
      </c>
      <c r="O41" s="873">
        <v>-38205</v>
      </c>
      <c r="P41" s="873">
        <v>-388242</v>
      </c>
      <c r="Q41" s="873">
        <v>-2348</v>
      </c>
      <c r="R41" s="873">
        <v>0</v>
      </c>
      <c r="S41" s="873">
        <v>0</v>
      </c>
      <c r="T41" s="873">
        <v>-456079</v>
      </c>
      <c r="U41" s="873">
        <v>-440579</v>
      </c>
      <c r="V41" s="873">
        <v>0</v>
      </c>
      <c r="W41" s="873">
        <v>0</v>
      </c>
      <c r="X41" s="873">
        <v>-1278500</v>
      </c>
      <c r="Y41" s="873">
        <v>-622117</v>
      </c>
      <c r="Z41" s="873">
        <v>219949012</v>
      </c>
      <c r="AA41" s="873">
        <v>-898764</v>
      </c>
      <c r="AB41" s="874"/>
      <c r="AC41" s="873">
        <v>935</v>
      </c>
      <c r="AD41" s="873">
        <v>27</v>
      </c>
      <c r="AE41" s="873">
        <v>0</v>
      </c>
      <c r="AF41" s="873">
        <v>15</v>
      </c>
      <c r="AG41" s="873">
        <v>2573</v>
      </c>
      <c r="AH41" s="873">
        <v>65</v>
      </c>
      <c r="AI41" s="873">
        <v>34</v>
      </c>
      <c r="AJ41" s="873">
        <v>12</v>
      </c>
      <c r="AK41" s="873">
        <v>0</v>
      </c>
      <c r="AL41" s="873">
        <v>0</v>
      </c>
      <c r="AM41" s="873">
        <v>52</v>
      </c>
      <c r="AN41" s="873">
        <v>0</v>
      </c>
      <c r="AO41" s="873">
        <v>6745</v>
      </c>
      <c r="AP41" s="873">
        <v>4004</v>
      </c>
      <c r="AQ41" s="873">
        <v>2293</v>
      </c>
      <c r="AR41" s="873">
        <v>1711</v>
      </c>
      <c r="AS41" s="873">
        <v>4673</v>
      </c>
      <c r="AT41" s="843">
        <v>15527</v>
      </c>
      <c r="AU41" s="663"/>
      <c r="AV41" s="663"/>
      <c r="AX41" s="666"/>
      <c r="AY41" s="666"/>
      <c r="AZ41" s="666"/>
      <c r="BA41" s="666"/>
      <c r="BB41" s="666"/>
      <c r="BD41" s="666"/>
      <c r="BE41" s="666"/>
      <c r="BG41" s="666"/>
      <c r="BI41" s="666"/>
      <c r="BJ41" s="666"/>
      <c r="BK41" s="666"/>
    </row>
    <row r="42" spans="1:63" ht="12.75" x14ac:dyDescent="0.2">
      <c r="A42" s="288">
        <v>35</v>
      </c>
      <c r="B42" s="290" t="s">
        <v>910</v>
      </c>
      <c r="C42" s="279" t="s">
        <v>911</v>
      </c>
      <c r="D42" s="955">
        <v>138684</v>
      </c>
      <c r="E42" s="843">
        <v>73452162</v>
      </c>
      <c r="F42" s="873">
        <v>35820788</v>
      </c>
      <c r="G42" s="873">
        <v>-2572995</v>
      </c>
      <c r="H42" s="873">
        <v>787346</v>
      </c>
      <c r="I42" s="873">
        <v>-1785649</v>
      </c>
      <c r="J42" s="873">
        <v>-1390071</v>
      </c>
      <c r="K42" s="873">
        <v>-41777</v>
      </c>
      <c r="L42" s="873">
        <v>-59063</v>
      </c>
      <c r="M42" s="873">
        <v>-20000</v>
      </c>
      <c r="N42" s="873">
        <v>-813151</v>
      </c>
      <c r="O42" s="873">
        <v>-18118</v>
      </c>
      <c r="P42" s="873">
        <v>-59469</v>
      </c>
      <c r="Q42" s="873">
        <v>0</v>
      </c>
      <c r="R42" s="873">
        <v>-59064</v>
      </c>
      <c r="S42" s="873">
        <v>-10320</v>
      </c>
      <c r="T42" s="873">
        <v>0</v>
      </c>
      <c r="U42" s="873">
        <v>0</v>
      </c>
      <c r="V42" s="873">
        <v>0</v>
      </c>
      <c r="W42" s="873">
        <v>-6212</v>
      </c>
      <c r="X42" s="873">
        <v>-15000</v>
      </c>
      <c r="Y42" s="873">
        <v>-329881</v>
      </c>
      <c r="Z42" s="873">
        <v>30962015</v>
      </c>
      <c r="AA42" s="873">
        <v>-304612</v>
      </c>
      <c r="AB42" s="874"/>
      <c r="AC42" s="873">
        <v>172</v>
      </c>
      <c r="AD42" s="873">
        <v>16</v>
      </c>
      <c r="AE42" s="873">
        <v>43</v>
      </c>
      <c r="AF42" s="873">
        <v>0</v>
      </c>
      <c r="AG42" s="873">
        <v>187</v>
      </c>
      <c r="AH42" s="873">
        <v>25</v>
      </c>
      <c r="AI42" s="873">
        <v>14</v>
      </c>
      <c r="AJ42" s="873">
        <v>0</v>
      </c>
      <c r="AK42" s="873">
        <v>43</v>
      </c>
      <c r="AL42" s="873">
        <v>4</v>
      </c>
      <c r="AM42" s="873">
        <v>0</v>
      </c>
      <c r="AN42" s="873">
        <v>260</v>
      </c>
      <c r="AO42" s="873">
        <v>980</v>
      </c>
      <c r="AP42" s="873">
        <v>1541</v>
      </c>
      <c r="AQ42" s="873">
        <v>1149</v>
      </c>
      <c r="AR42" s="873">
        <v>392</v>
      </c>
      <c r="AS42" s="873">
        <v>848</v>
      </c>
      <c r="AT42" s="843">
        <v>3425</v>
      </c>
      <c r="AU42" s="663"/>
      <c r="AV42" s="663"/>
      <c r="AX42" s="666"/>
      <c r="AY42" s="666"/>
      <c r="AZ42" s="666"/>
      <c r="BA42" s="666"/>
      <c r="BB42" s="666"/>
      <c r="BD42" s="666"/>
      <c r="BE42" s="666"/>
      <c r="BG42" s="666"/>
      <c r="BI42" s="666"/>
      <c r="BJ42" s="666"/>
      <c r="BK42" s="666"/>
    </row>
    <row r="43" spans="1:63" ht="12.75" x14ac:dyDescent="0.2">
      <c r="A43" s="288">
        <v>36</v>
      </c>
      <c r="B43" s="290" t="s">
        <v>912</v>
      </c>
      <c r="C43" s="279" t="s">
        <v>913</v>
      </c>
      <c r="D43" s="955">
        <v>336932</v>
      </c>
      <c r="E43" s="843">
        <v>211899167</v>
      </c>
      <c r="F43" s="873">
        <v>102492503</v>
      </c>
      <c r="G43" s="873">
        <v>-4358592</v>
      </c>
      <c r="H43" s="873">
        <v>2234050</v>
      </c>
      <c r="I43" s="873">
        <v>-2124542</v>
      </c>
      <c r="J43" s="873">
        <v>-8181262</v>
      </c>
      <c r="K43" s="873">
        <v>-166606</v>
      </c>
      <c r="L43" s="873">
        <v>0</v>
      </c>
      <c r="M43" s="873">
        <v>0</v>
      </c>
      <c r="N43" s="873">
        <v>-3211273</v>
      </c>
      <c r="O43" s="873">
        <v>-217016</v>
      </c>
      <c r="P43" s="873">
        <v>-200275</v>
      </c>
      <c r="Q43" s="873">
        <v>-41652</v>
      </c>
      <c r="R43" s="873">
        <v>0</v>
      </c>
      <c r="S43" s="873">
        <v>0</v>
      </c>
      <c r="T43" s="873">
        <v>0</v>
      </c>
      <c r="U43" s="873">
        <v>0</v>
      </c>
      <c r="V43" s="873">
        <v>0</v>
      </c>
      <c r="W43" s="873">
        <v>0</v>
      </c>
      <c r="X43" s="873">
        <v>-18025</v>
      </c>
      <c r="Y43" s="873">
        <v>-2117250</v>
      </c>
      <c r="Z43" s="873">
        <v>86214602</v>
      </c>
      <c r="AA43" s="873">
        <v>-1349480</v>
      </c>
      <c r="AB43" s="874"/>
      <c r="AC43" s="873">
        <v>375</v>
      </c>
      <c r="AD43" s="873">
        <v>26</v>
      </c>
      <c r="AE43" s="873">
        <v>0</v>
      </c>
      <c r="AF43" s="873">
        <v>0</v>
      </c>
      <c r="AG43" s="873">
        <v>277</v>
      </c>
      <c r="AH43" s="873">
        <v>42</v>
      </c>
      <c r="AI43" s="873">
        <v>35</v>
      </c>
      <c r="AJ43" s="873">
        <v>27</v>
      </c>
      <c r="AK43" s="873">
        <v>0</v>
      </c>
      <c r="AL43" s="873">
        <v>0</v>
      </c>
      <c r="AM43" s="873">
        <v>0</v>
      </c>
      <c r="AN43" s="873">
        <v>0</v>
      </c>
      <c r="AO43" s="873">
        <v>2366</v>
      </c>
      <c r="AP43" s="873">
        <v>2128</v>
      </c>
      <c r="AQ43" s="873">
        <v>1124</v>
      </c>
      <c r="AR43" s="873">
        <v>1004</v>
      </c>
      <c r="AS43" s="873">
        <v>2865</v>
      </c>
      <c r="AT43" s="843">
        <v>7282</v>
      </c>
      <c r="AU43" s="663"/>
      <c r="AV43" s="663"/>
      <c r="AX43" s="666"/>
      <c r="AY43" s="666"/>
      <c r="AZ43" s="666"/>
      <c r="BA43" s="666"/>
      <c r="BB43" s="666"/>
      <c r="BD43" s="666"/>
      <c r="BE43" s="666"/>
      <c r="BG43" s="666"/>
      <c r="BI43" s="666"/>
      <c r="BJ43" s="666"/>
      <c r="BK43" s="666"/>
    </row>
    <row r="44" spans="1:63" ht="12.75" x14ac:dyDescent="0.2">
      <c r="A44" s="288">
        <v>37</v>
      </c>
      <c r="B44" s="290" t="s">
        <v>914</v>
      </c>
      <c r="C44" s="279" t="s">
        <v>915</v>
      </c>
      <c r="D44" s="955">
        <v>123658</v>
      </c>
      <c r="E44" s="843">
        <v>69465076</v>
      </c>
      <c r="F44" s="873">
        <v>33034630</v>
      </c>
      <c r="G44" s="873">
        <v>-2078463</v>
      </c>
      <c r="H44" s="873">
        <v>723194</v>
      </c>
      <c r="I44" s="873">
        <v>-1355269</v>
      </c>
      <c r="J44" s="873">
        <v>-1750091</v>
      </c>
      <c r="K44" s="873">
        <v>-15788</v>
      </c>
      <c r="L44" s="873">
        <v>-2206</v>
      </c>
      <c r="M44" s="873">
        <v>-70000</v>
      </c>
      <c r="N44" s="873">
        <v>-799234</v>
      </c>
      <c r="O44" s="873">
        <v>-43821</v>
      </c>
      <c r="P44" s="873">
        <v>-45789</v>
      </c>
      <c r="Q44" s="873">
        <v>-3577</v>
      </c>
      <c r="R44" s="873">
        <v>-1578</v>
      </c>
      <c r="S44" s="873">
        <v>0</v>
      </c>
      <c r="T44" s="873">
        <v>0</v>
      </c>
      <c r="U44" s="873">
        <v>0</v>
      </c>
      <c r="V44" s="873">
        <v>0</v>
      </c>
      <c r="W44" s="873">
        <v>0</v>
      </c>
      <c r="X44" s="873">
        <v>0</v>
      </c>
      <c r="Y44" s="873">
        <v>-564004</v>
      </c>
      <c r="Z44" s="873">
        <v>28383273</v>
      </c>
      <c r="AA44" s="873">
        <v>-247271</v>
      </c>
      <c r="AB44" s="874"/>
      <c r="AC44" s="873">
        <v>104</v>
      </c>
      <c r="AD44" s="873">
        <v>3</v>
      </c>
      <c r="AE44" s="873">
        <v>2</v>
      </c>
      <c r="AF44" s="873">
        <v>0</v>
      </c>
      <c r="AG44" s="873">
        <v>183</v>
      </c>
      <c r="AH44" s="873">
        <v>40</v>
      </c>
      <c r="AI44" s="873">
        <v>17</v>
      </c>
      <c r="AJ44" s="873">
        <v>2</v>
      </c>
      <c r="AK44" s="873">
        <v>1</v>
      </c>
      <c r="AL44" s="873">
        <v>0</v>
      </c>
      <c r="AM44" s="873">
        <v>0</v>
      </c>
      <c r="AN44" s="873">
        <v>0</v>
      </c>
      <c r="AO44" s="873">
        <v>1089</v>
      </c>
      <c r="AP44" s="873">
        <v>1083</v>
      </c>
      <c r="AQ44" s="873">
        <v>693</v>
      </c>
      <c r="AR44" s="873">
        <v>390</v>
      </c>
      <c r="AS44" s="873">
        <v>844</v>
      </c>
      <c r="AT44" s="843">
        <v>3015</v>
      </c>
      <c r="AU44" s="663"/>
      <c r="AV44" s="663"/>
      <c r="AX44" s="666"/>
      <c r="AY44" s="666"/>
      <c r="AZ44" s="666"/>
      <c r="BA44" s="666"/>
      <c r="BB44" s="666"/>
      <c r="BD44" s="666"/>
      <c r="BE44" s="666"/>
      <c r="BG44" s="666"/>
      <c r="BI44" s="666"/>
      <c r="BJ44" s="666"/>
      <c r="BK44" s="666"/>
    </row>
    <row r="45" spans="1:63" ht="12.75" x14ac:dyDescent="0.2">
      <c r="A45" s="288">
        <v>38</v>
      </c>
      <c r="B45" s="290" t="s">
        <v>916</v>
      </c>
      <c r="C45" s="279" t="s">
        <v>917</v>
      </c>
      <c r="D45" s="955">
        <v>116748</v>
      </c>
      <c r="E45" s="843">
        <v>96225600</v>
      </c>
      <c r="F45" s="873">
        <v>46242139</v>
      </c>
      <c r="G45" s="873">
        <v>-1405112</v>
      </c>
      <c r="H45" s="873">
        <v>1252391</v>
      </c>
      <c r="I45" s="873">
        <v>-152721</v>
      </c>
      <c r="J45" s="873">
        <v>-1811800</v>
      </c>
      <c r="K45" s="873">
        <v>-73812</v>
      </c>
      <c r="L45" s="873">
        <v>0</v>
      </c>
      <c r="M45" s="873">
        <v>-80000</v>
      </c>
      <c r="N45" s="873">
        <v>-338627</v>
      </c>
      <c r="O45" s="873">
        <v>-100432</v>
      </c>
      <c r="P45" s="873">
        <v>-9672</v>
      </c>
      <c r="Q45" s="873">
        <v>0</v>
      </c>
      <c r="R45" s="873">
        <v>0</v>
      </c>
      <c r="S45" s="873">
        <v>0</v>
      </c>
      <c r="T45" s="873">
        <v>-6500</v>
      </c>
      <c r="U45" s="873">
        <v>0</v>
      </c>
      <c r="V45" s="873">
        <v>0</v>
      </c>
      <c r="W45" s="873">
        <v>0</v>
      </c>
      <c r="X45" s="873">
        <v>-250000</v>
      </c>
      <c r="Y45" s="873">
        <v>-560442</v>
      </c>
      <c r="Z45" s="873">
        <v>42858133</v>
      </c>
      <c r="AA45" s="873">
        <v>-300000</v>
      </c>
      <c r="AB45" s="874"/>
      <c r="AC45" s="873">
        <v>90</v>
      </c>
      <c r="AD45" s="873">
        <v>4</v>
      </c>
      <c r="AE45" s="873">
        <v>0</v>
      </c>
      <c r="AF45" s="873">
        <v>0</v>
      </c>
      <c r="AG45" s="873">
        <v>139</v>
      </c>
      <c r="AH45" s="873">
        <v>46</v>
      </c>
      <c r="AI45" s="873">
        <v>7</v>
      </c>
      <c r="AJ45" s="873">
        <v>0</v>
      </c>
      <c r="AK45" s="873">
        <v>0</v>
      </c>
      <c r="AL45" s="873">
        <v>0</v>
      </c>
      <c r="AM45" s="873">
        <v>0</v>
      </c>
      <c r="AN45" s="873">
        <v>1</v>
      </c>
      <c r="AO45" s="873">
        <v>1051</v>
      </c>
      <c r="AP45" s="873">
        <v>700</v>
      </c>
      <c r="AQ45" s="873">
        <v>324</v>
      </c>
      <c r="AR45" s="873">
        <v>376</v>
      </c>
      <c r="AS45" s="873">
        <v>527</v>
      </c>
      <c r="AT45" s="843">
        <v>2283</v>
      </c>
      <c r="AU45" s="663"/>
      <c r="AV45" s="663"/>
      <c r="AX45" s="666"/>
      <c r="AY45" s="666"/>
      <c r="AZ45" s="666"/>
      <c r="BA45" s="666"/>
      <c r="BB45" s="666"/>
      <c r="BD45" s="666"/>
      <c r="BE45" s="666"/>
      <c r="BG45" s="666"/>
      <c r="BI45" s="666"/>
      <c r="BJ45" s="666"/>
      <c r="BK45" s="666"/>
    </row>
    <row r="46" spans="1:63" ht="12.75" x14ac:dyDescent="0.2">
      <c r="A46" s="288">
        <v>39</v>
      </c>
      <c r="B46" s="290" t="s">
        <v>918</v>
      </c>
      <c r="C46" s="279" t="s">
        <v>919</v>
      </c>
      <c r="D46" s="955">
        <v>107528</v>
      </c>
      <c r="E46" s="843">
        <v>60739773</v>
      </c>
      <c r="F46" s="873">
        <v>28838666</v>
      </c>
      <c r="G46" s="873">
        <v>-1625510</v>
      </c>
      <c r="H46" s="873">
        <v>650337</v>
      </c>
      <c r="I46" s="873">
        <v>-975173</v>
      </c>
      <c r="J46" s="873">
        <v>-1087455</v>
      </c>
      <c r="K46" s="873">
        <v>0</v>
      </c>
      <c r="L46" s="873">
        <v>-2170</v>
      </c>
      <c r="M46" s="873">
        <v>0</v>
      </c>
      <c r="N46" s="873">
        <v>-489394</v>
      </c>
      <c r="O46" s="873">
        <v>-37938</v>
      </c>
      <c r="P46" s="873">
        <v>-69695</v>
      </c>
      <c r="Q46" s="873">
        <v>0</v>
      </c>
      <c r="R46" s="873">
        <v>-2170</v>
      </c>
      <c r="S46" s="873">
        <v>0</v>
      </c>
      <c r="T46" s="873">
        <v>-61625</v>
      </c>
      <c r="U46" s="873">
        <v>-61625</v>
      </c>
      <c r="V46" s="873">
        <v>0</v>
      </c>
      <c r="W46" s="873">
        <v>-42152</v>
      </c>
      <c r="X46" s="873">
        <v>0</v>
      </c>
      <c r="Y46" s="873">
        <v>-159000</v>
      </c>
      <c r="Z46" s="873">
        <v>25911894</v>
      </c>
      <c r="AA46" s="873">
        <v>-502449</v>
      </c>
      <c r="AB46" s="874"/>
      <c r="AC46" s="873">
        <v>103</v>
      </c>
      <c r="AD46" s="873">
        <v>0</v>
      </c>
      <c r="AE46" s="873">
        <v>4</v>
      </c>
      <c r="AF46" s="873">
        <v>0</v>
      </c>
      <c r="AG46" s="873">
        <v>217</v>
      </c>
      <c r="AH46" s="873">
        <v>53</v>
      </c>
      <c r="AI46" s="873">
        <v>20</v>
      </c>
      <c r="AJ46" s="873">
        <v>0</v>
      </c>
      <c r="AK46" s="873">
        <v>4</v>
      </c>
      <c r="AL46" s="873">
        <v>0</v>
      </c>
      <c r="AM46" s="873">
        <v>1</v>
      </c>
      <c r="AN46" s="873">
        <v>0</v>
      </c>
      <c r="AO46" s="873">
        <v>846</v>
      </c>
      <c r="AP46" s="873">
        <v>961</v>
      </c>
      <c r="AQ46" s="873">
        <v>764</v>
      </c>
      <c r="AR46" s="873">
        <v>197</v>
      </c>
      <c r="AS46" s="873">
        <v>772</v>
      </c>
      <c r="AT46" s="843">
        <v>2580</v>
      </c>
      <c r="AU46" s="663"/>
      <c r="AV46" s="663"/>
      <c r="AX46" s="666"/>
      <c r="AY46" s="666"/>
      <c r="AZ46" s="666"/>
      <c r="BA46" s="666"/>
      <c r="BB46" s="666"/>
      <c r="BD46" s="666"/>
      <c r="BE46" s="666"/>
      <c r="BG46" s="666"/>
      <c r="BI46" s="666"/>
      <c r="BJ46" s="666"/>
      <c r="BK46" s="666"/>
    </row>
    <row r="47" spans="1:63" ht="12.75" x14ac:dyDescent="0.2">
      <c r="A47" s="288">
        <v>40</v>
      </c>
      <c r="B47" s="290" t="s">
        <v>920</v>
      </c>
      <c r="C47" s="279" t="s">
        <v>921</v>
      </c>
      <c r="D47" s="955">
        <v>151284</v>
      </c>
      <c r="E47" s="843">
        <v>73408113</v>
      </c>
      <c r="F47" s="873">
        <v>35300157</v>
      </c>
      <c r="G47" s="873">
        <v>-2612286</v>
      </c>
      <c r="H47" s="873">
        <v>786868</v>
      </c>
      <c r="I47" s="873">
        <v>-1825418</v>
      </c>
      <c r="J47" s="873">
        <v>-2301674</v>
      </c>
      <c r="K47" s="873">
        <v>-27647</v>
      </c>
      <c r="L47" s="873">
        <v>-4326</v>
      </c>
      <c r="M47" s="873">
        <v>0</v>
      </c>
      <c r="N47" s="873">
        <v>-1014475</v>
      </c>
      <c r="O47" s="873">
        <v>-90841</v>
      </c>
      <c r="P47" s="873">
        <v>-97460</v>
      </c>
      <c r="Q47" s="873">
        <v>0</v>
      </c>
      <c r="R47" s="873">
        <v>0</v>
      </c>
      <c r="S47" s="873">
        <v>0</v>
      </c>
      <c r="T47" s="873">
        <v>-25096</v>
      </c>
      <c r="U47" s="873">
        <v>0</v>
      </c>
      <c r="V47" s="873">
        <v>0</v>
      </c>
      <c r="W47" s="873">
        <v>0</v>
      </c>
      <c r="X47" s="873">
        <v>-19220</v>
      </c>
      <c r="Y47" s="873">
        <v>-476298</v>
      </c>
      <c r="Z47" s="873">
        <v>29417702</v>
      </c>
      <c r="AA47" s="873">
        <v>-735524</v>
      </c>
      <c r="AB47" s="874"/>
      <c r="AC47" s="873">
        <v>136</v>
      </c>
      <c r="AD47" s="873">
        <v>3</v>
      </c>
      <c r="AE47" s="873">
        <v>3</v>
      </c>
      <c r="AF47" s="873">
        <v>0</v>
      </c>
      <c r="AG47" s="873">
        <v>662</v>
      </c>
      <c r="AH47" s="873">
        <v>48</v>
      </c>
      <c r="AI47" s="873">
        <v>40</v>
      </c>
      <c r="AJ47" s="873">
        <v>1</v>
      </c>
      <c r="AK47" s="873">
        <v>0</v>
      </c>
      <c r="AL47" s="873">
        <v>0</v>
      </c>
      <c r="AM47" s="873">
        <v>0</v>
      </c>
      <c r="AN47" s="873">
        <v>4</v>
      </c>
      <c r="AO47" s="873">
        <v>1364</v>
      </c>
      <c r="AP47" s="873">
        <v>1553</v>
      </c>
      <c r="AQ47" s="873">
        <v>1193</v>
      </c>
      <c r="AR47" s="873">
        <v>360</v>
      </c>
      <c r="AS47" s="873">
        <v>768</v>
      </c>
      <c r="AT47" s="843">
        <v>3802</v>
      </c>
      <c r="AU47" s="663"/>
      <c r="AV47" s="663"/>
      <c r="AX47" s="666"/>
      <c r="AY47" s="666"/>
      <c r="AZ47" s="666"/>
      <c r="BA47" s="666"/>
      <c r="BB47" s="666"/>
      <c r="BD47" s="666"/>
      <c r="BE47" s="666"/>
      <c r="BG47" s="666"/>
      <c r="BI47" s="666"/>
      <c r="BJ47" s="666"/>
      <c r="BK47" s="666"/>
    </row>
    <row r="48" spans="1:63" ht="12.75" x14ac:dyDescent="0.2">
      <c r="A48" s="288">
        <v>41</v>
      </c>
      <c r="B48" s="290" t="s">
        <v>922</v>
      </c>
      <c r="C48" s="279" t="s">
        <v>923</v>
      </c>
      <c r="D48" s="955">
        <v>244147</v>
      </c>
      <c r="E48" s="843">
        <v>128422503</v>
      </c>
      <c r="F48" s="873">
        <v>61428700</v>
      </c>
      <c r="G48" s="873">
        <v>-4663783</v>
      </c>
      <c r="H48" s="873">
        <v>1350836</v>
      </c>
      <c r="I48" s="873">
        <v>-3312947</v>
      </c>
      <c r="J48" s="873">
        <v>-2263691</v>
      </c>
      <c r="K48" s="873">
        <v>-91440</v>
      </c>
      <c r="L48" s="873">
        <v>-1547</v>
      </c>
      <c r="M48" s="873">
        <v>0</v>
      </c>
      <c r="N48" s="873">
        <v>-1286428</v>
      </c>
      <c r="O48" s="873">
        <v>-278223</v>
      </c>
      <c r="P48" s="873">
        <v>-67396</v>
      </c>
      <c r="Q48" s="873">
        <v>-22860</v>
      </c>
      <c r="R48" s="873">
        <v>-1547</v>
      </c>
      <c r="S48" s="873">
        <v>0</v>
      </c>
      <c r="T48" s="873">
        <v>0</v>
      </c>
      <c r="U48" s="873">
        <v>0</v>
      </c>
      <c r="V48" s="873">
        <v>0</v>
      </c>
      <c r="W48" s="873">
        <v>0</v>
      </c>
      <c r="X48" s="873">
        <v>-1740</v>
      </c>
      <c r="Y48" s="873">
        <v>-1132427</v>
      </c>
      <c r="Z48" s="873">
        <v>52968454</v>
      </c>
      <c r="AA48" s="873">
        <v>-2636452</v>
      </c>
      <c r="AB48" s="874"/>
      <c r="AC48" s="873">
        <v>179</v>
      </c>
      <c r="AD48" s="873">
        <v>9</v>
      </c>
      <c r="AE48" s="873">
        <v>1</v>
      </c>
      <c r="AF48" s="873">
        <v>0</v>
      </c>
      <c r="AG48" s="873">
        <v>422</v>
      </c>
      <c r="AH48" s="873">
        <v>119</v>
      </c>
      <c r="AI48" s="873">
        <v>29</v>
      </c>
      <c r="AJ48" s="873">
        <v>9</v>
      </c>
      <c r="AK48" s="873">
        <v>1</v>
      </c>
      <c r="AL48" s="873">
        <v>0</v>
      </c>
      <c r="AM48" s="873">
        <v>0</v>
      </c>
      <c r="AN48" s="873">
        <v>0</v>
      </c>
      <c r="AO48" s="873">
        <v>1857</v>
      </c>
      <c r="AP48" s="873">
        <v>2318</v>
      </c>
      <c r="AQ48" s="873">
        <v>1481</v>
      </c>
      <c r="AR48" s="873">
        <v>837</v>
      </c>
      <c r="AS48" s="873">
        <v>1579</v>
      </c>
      <c r="AT48" s="843">
        <v>5917</v>
      </c>
      <c r="AU48" s="663"/>
      <c r="AV48" s="663"/>
      <c r="AX48" s="666"/>
      <c r="AY48" s="666"/>
      <c r="AZ48" s="666"/>
      <c r="BA48" s="666"/>
      <c r="BB48" s="666"/>
      <c r="BD48" s="666"/>
      <c r="BE48" s="666"/>
      <c r="BG48" s="666"/>
      <c r="BI48" s="666"/>
      <c r="BJ48" s="666"/>
      <c r="BK48" s="666"/>
    </row>
    <row r="49" spans="1:63" ht="12.75" x14ac:dyDescent="0.2">
      <c r="A49" s="288">
        <v>42</v>
      </c>
      <c r="B49" s="290" t="s">
        <v>924</v>
      </c>
      <c r="C49" s="279" t="s">
        <v>925</v>
      </c>
      <c r="D49" s="955">
        <v>356038</v>
      </c>
      <c r="E49" s="843">
        <v>158027236</v>
      </c>
      <c r="F49" s="873">
        <v>75974248</v>
      </c>
      <c r="G49" s="873">
        <v>-6242269</v>
      </c>
      <c r="H49" s="873">
        <v>1633776</v>
      </c>
      <c r="I49" s="873">
        <v>-4608493</v>
      </c>
      <c r="J49" s="873">
        <v>-3764336</v>
      </c>
      <c r="K49" s="873">
        <v>-180277</v>
      </c>
      <c r="L49" s="873">
        <v>-9631</v>
      </c>
      <c r="M49" s="873">
        <v>-14600</v>
      </c>
      <c r="N49" s="873">
        <v>-3267293</v>
      </c>
      <c r="O49" s="873">
        <v>-265918</v>
      </c>
      <c r="P49" s="873">
        <v>-290333</v>
      </c>
      <c r="Q49" s="873">
        <v>0</v>
      </c>
      <c r="R49" s="873">
        <v>-2896</v>
      </c>
      <c r="S49" s="873">
        <v>0</v>
      </c>
      <c r="T49" s="873">
        <v>0</v>
      </c>
      <c r="U49" s="873">
        <v>0</v>
      </c>
      <c r="V49" s="873">
        <v>0</v>
      </c>
      <c r="W49" s="873">
        <v>0</v>
      </c>
      <c r="X49" s="873">
        <v>0</v>
      </c>
      <c r="Y49" s="873">
        <v>-830134</v>
      </c>
      <c r="Z49" s="873">
        <v>61347362</v>
      </c>
      <c r="AA49" s="873">
        <v>-528569</v>
      </c>
      <c r="AB49" s="874"/>
      <c r="AC49" s="873">
        <v>357</v>
      </c>
      <c r="AD49" s="873">
        <v>31</v>
      </c>
      <c r="AE49" s="873">
        <v>11</v>
      </c>
      <c r="AF49" s="873">
        <v>6</v>
      </c>
      <c r="AG49" s="873">
        <v>931</v>
      </c>
      <c r="AH49" s="873">
        <v>190</v>
      </c>
      <c r="AI49" s="873">
        <v>109</v>
      </c>
      <c r="AJ49" s="873">
        <v>0</v>
      </c>
      <c r="AK49" s="873">
        <v>2</v>
      </c>
      <c r="AL49" s="873">
        <v>0</v>
      </c>
      <c r="AM49" s="873">
        <v>0</v>
      </c>
      <c r="AN49" s="873">
        <v>0</v>
      </c>
      <c r="AO49" s="873">
        <v>3270</v>
      </c>
      <c r="AP49" s="873">
        <v>3542</v>
      </c>
      <c r="AQ49" s="873">
        <v>2581</v>
      </c>
      <c r="AR49" s="873">
        <v>961</v>
      </c>
      <c r="AS49" s="873">
        <v>2125</v>
      </c>
      <c r="AT49" s="843">
        <v>9034</v>
      </c>
      <c r="AU49" s="663"/>
      <c r="AV49" s="663"/>
      <c r="AX49" s="666"/>
      <c r="AY49" s="666"/>
      <c r="AZ49" s="666"/>
      <c r="BA49" s="666"/>
      <c r="BB49" s="666"/>
      <c r="BD49" s="666"/>
      <c r="BE49" s="666"/>
      <c r="BG49" s="666"/>
      <c r="BI49" s="666"/>
      <c r="BJ49" s="666"/>
      <c r="BK49" s="666"/>
    </row>
    <row r="50" spans="1:63" ht="12.75" x14ac:dyDescent="0.2">
      <c r="A50" s="288">
        <v>43</v>
      </c>
      <c r="B50" s="290" t="s">
        <v>926</v>
      </c>
      <c r="C50" s="279" t="s">
        <v>927</v>
      </c>
      <c r="D50" s="955">
        <v>225956</v>
      </c>
      <c r="E50" s="843">
        <v>255180215</v>
      </c>
      <c r="F50" s="873">
        <v>122086968</v>
      </c>
      <c r="G50" s="873">
        <v>-1396098</v>
      </c>
      <c r="H50" s="873">
        <v>3135359</v>
      </c>
      <c r="I50" s="873">
        <v>1739261</v>
      </c>
      <c r="J50" s="873">
        <v>-21909125</v>
      </c>
      <c r="K50" s="873">
        <v>-15066</v>
      </c>
      <c r="L50" s="873">
        <v>0</v>
      </c>
      <c r="M50" s="873">
        <v>-20000</v>
      </c>
      <c r="N50" s="873">
        <v>-1667834</v>
      </c>
      <c r="O50" s="873">
        <v>-161287</v>
      </c>
      <c r="P50" s="873">
        <v>-6726</v>
      </c>
      <c r="Q50" s="873">
        <v>0</v>
      </c>
      <c r="R50" s="873">
        <v>0</v>
      </c>
      <c r="S50" s="873">
        <v>0</v>
      </c>
      <c r="T50" s="873">
        <v>0</v>
      </c>
      <c r="U50" s="873">
        <v>0</v>
      </c>
      <c r="V50" s="873">
        <v>0</v>
      </c>
      <c r="W50" s="873">
        <v>-50000</v>
      </c>
      <c r="X50" s="873">
        <v>-3360</v>
      </c>
      <c r="Y50" s="873">
        <v>-1106573</v>
      </c>
      <c r="Z50" s="873">
        <v>98886258</v>
      </c>
      <c r="AA50" s="873">
        <v>-1500000</v>
      </c>
      <c r="AB50" s="874"/>
      <c r="AC50" s="873">
        <v>443</v>
      </c>
      <c r="AD50" s="873">
        <v>4</v>
      </c>
      <c r="AE50" s="873">
        <v>0</v>
      </c>
      <c r="AF50" s="873">
        <v>0</v>
      </c>
      <c r="AG50" s="873">
        <v>345</v>
      </c>
      <c r="AH50" s="873">
        <v>54</v>
      </c>
      <c r="AI50" s="873">
        <v>3</v>
      </c>
      <c r="AJ50" s="873">
        <v>0</v>
      </c>
      <c r="AK50" s="873">
        <v>0</v>
      </c>
      <c r="AL50" s="873">
        <v>0</v>
      </c>
      <c r="AM50" s="873">
        <v>0</v>
      </c>
      <c r="AN50" s="873">
        <v>0</v>
      </c>
      <c r="AO50" s="873">
        <v>2394</v>
      </c>
      <c r="AP50" s="873">
        <v>724</v>
      </c>
      <c r="AQ50" s="873">
        <v>299</v>
      </c>
      <c r="AR50" s="873">
        <v>425</v>
      </c>
      <c r="AS50" s="873">
        <v>961</v>
      </c>
      <c r="AT50" s="843">
        <v>4031</v>
      </c>
      <c r="AU50" s="663"/>
      <c r="AV50" s="663"/>
      <c r="AX50" s="666"/>
      <c r="AY50" s="666"/>
      <c r="AZ50" s="666"/>
      <c r="BA50" s="666"/>
      <c r="BB50" s="666"/>
      <c r="BD50" s="666"/>
      <c r="BE50" s="666"/>
      <c r="BG50" s="666"/>
      <c r="BI50" s="666"/>
      <c r="BJ50" s="666"/>
      <c r="BK50" s="666"/>
    </row>
    <row r="51" spans="1:63" ht="12.75" x14ac:dyDescent="0.2">
      <c r="A51" s="288">
        <v>44</v>
      </c>
      <c r="B51" s="290" t="s">
        <v>928</v>
      </c>
      <c r="C51" s="279" t="s">
        <v>929</v>
      </c>
      <c r="D51" s="955">
        <v>1168748</v>
      </c>
      <c r="E51" s="843">
        <v>1234786643</v>
      </c>
      <c r="F51" s="873">
        <v>614598675</v>
      </c>
      <c r="G51" s="873">
        <v>-2844120</v>
      </c>
      <c r="H51" s="873">
        <v>15174498</v>
      </c>
      <c r="I51" s="873">
        <v>12330378</v>
      </c>
      <c r="J51" s="873">
        <v>-60227459</v>
      </c>
      <c r="K51" s="873">
        <v>-14100</v>
      </c>
      <c r="L51" s="873">
        <v>0</v>
      </c>
      <c r="M51" s="873">
        <v>-235023</v>
      </c>
      <c r="N51" s="873">
        <v>-18344520</v>
      </c>
      <c r="O51" s="873">
        <v>-187817</v>
      </c>
      <c r="P51" s="873">
        <v>0</v>
      </c>
      <c r="Q51" s="873">
        <v>0</v>
      </c>
      <c r="R51" s="873">
        <v>0</v>
      </c>
      <c r="S51" s="873">
        <v>0</v>
      </c>
      <c r="T51" s="873">
        <v>0</v>
      </c>
      <c r="U51" s="873">
        <v>0</v>
      </c>
      <c r="V51" s="873">
        <v>0</v>
      </c>
      <c r="W51" s="873">
        <v>0</v>
      </c>
      <c r="X51" s="873">
        <v>0</v>
      </c>
      <c r="Y51" s="873">
        <v>-3661930</v>
      </c>
      <c r="Z51" s="873">
        <v>544231549</v>
      </c>
      <c r="AA51" s="873">
        <v>-9992012</v>
      </c>
      <c r="AB51" s="874"/>
      <c r="AC51" s="873">
        <v>862</v>
      </c>
      <c r="AD51" s="873">
        <v>1</v>
      </c>
      <c r="AE51" s="873">
        <v>0</v>
      </c>
      <c r="AF51" s="873">
        <v>1</v>
      </c>
      <c r="AG51" s="873">
        <v>1485</v>
      </c>
      <c r="AH51" s="873">
        <v>36</v>
      </c>
      <c r="AI51" s="873">
        <v>1</v>
      </c>
      <c r="AJ51" s="873">
        <v>0</v>
      </c>
      <c r="AK51" s="873">
        <v>0</v>
      </c>
      <c r="AL51" s="873">
        <v>0</v>
      </c>
      <c r="AM51" s="873">
        <v>0</v>
      </c>
      <c r="AN51" s="873">
        <v>0</v>
      </c>
      <c r="AO51" s="873">
        <v>8274</v>
      </c>
      <c r="AP51" s="873">
        <v>1479</v>
      </c>
      <c r="AQ51" s="873">
        <v>602</v>
      </c>
      <c r="AR51" s="873">
        <v>877</v>
      </c>
      <c r="AS51" s="873">
        <v>6864</v>
      </c>
      <c r="AT51" s="843">
        <v>16512</v>
      </c>
      <c r="AU51" s="663"/>
      <c r="AV51" s="663"/>
      <c r="AX51" s="666"/>
      <c r="AY51" s="666"/>
      <c r="AZ51" s="666"/>
      <c r="BA51" s="666"/>
      <c r="BB51" s="666"/>
      <c r="BD51" s="666"/>
      <c r="BE51" s="666"/>
      <c r="BG51" s="666"/>
      <c r="BI51" s="666"/>
      <c r="BJ51" s="666"/>
      <c r="BK51" s="666"/>
    </row>
    <row r="52" spans="1:63" ht="12.75" x14ac:dyDescent="0.2">
      <c r="A52" s="288">
        <v>45</v>
      </c>
      <c r="B52" s="290" t="s">
        <v>930</v>
      </c>
      <c r="C52" s="279" t="s">
        <v>931</v>
      </c>
      <c r="D52" s="955">
        <v>136708</v>
      </c>
      <c r="E52" s="843">
        <v>88038715</v>
      </c>
      <c r="F52" s="873">
        <v>42325576</v>
      </c>
      <c r="G52" s="873">
        <v>-2443834</v>
      </c>
      <c r="H52" s="873">
        <v>960792</v>
      </c>
      <c r="I52" s="873">
        <v>-1483042</v>
      </c>
      <c r="J52" s="873">
        <v>-1774228</v>
      </c>
      <c r="K52" s="873">
        <v>-1479</v>
      </c>
      <c r="L52" s="873">
        <v>0</v>
      </c>
      <c r="M52" s="873">
        <v>0</v>
      </c>
      <c r="N52" s="873">
        <v>-800000</v>
      </c>
      <c r="O52" s="873">
        <v>-45413</v>
      </c>
      <c r="P52" s="873">
        <v>-12341</v>
      </c>
      <c r="Q52" s="873">
        <v>-92</v>
      </c>
      <c r="R52" s="873">
        <v>0</v>
      </c>
      <c r="S52" s="873">
        <v>0</v>
      </c>
      <c r="T52" s="873">
        <v>0</v>
      </c>
      <c r="U52" s="873">
        <v>0</v>
      </c>
      <c r="V52" s="873">
        <v>0</v>
      </c>
      <c r="W52" s="873">
        <v>0</v>
      </c>
      <c r="X52" s="873">
        <v>0</v>
      </c>
      <c r="Y52" s="873">
        <v>-403596</v>
      </c>
      <c r="Z52" s="873">
        <v>37805385</v>
      </c>
      <c r="AA52" s="873">
        <v>-800000</v>
      </c>
      <c r="AB52" s="874"/>
      <c r="AC52" s="873">
        <v>110</v>
      </c>
      <c r="AD52" s="873">
        <v>2</v>
      </c>
      <c r="AE52" s="873">
        <v>0</v>
      </c>
      <c r="AF52" s="873">
        <v>0</v>
      </c>
      <c r="AG52" s="873">
        <v>213</v>
      </c>
      <c r="AH52" s="873">
        <v>56</v>
      </c>
      <c r="AI52" s="873">
        <v>14</v>
      </c>
      <c r="AJ52" s="873">
        <v>2</v>
      </c>
      <c r="AK52" s="873">
        <v>0</v>
      </c>
      <c r="AL52" s="873">
        <v>0</v>
      </c>
      <c r="AM52" s="873">
        <v>0</v>
      </c>
      <c r="AN52" s="873">
        <v>0</v>
      </c>
      <c r="AO52" s="873">
        <v>1102</v>
      </c>
      <c r="AP52" s="873">
        <v>1280</v>
      </c>
      <c r="AQ52" s="873">
        <v>826</v>
      </c>
      <c r="AR52" s="873">
        <v>454</v>
      </c>
      <c r="AS52" s="873">
        <v>842</v>
      </c>
      <c r="AT52" s="843">
        <v>3223</v>
      </c>
      <c r="AU52" s="663"/>
      <c r="AV52" s="663"/>
      <c r="AX52" s="666"/>
      <c r="AY52" s="666"/>
      <c r="AZ52" s="666"/>
      <c r="BA52" s="666"/>
      <c r="BB52" s="666"/>
      <c r="BD52" s="666"/>
      <c r="BE52" s="666"/>
      <c r="BG52" s="666"/>
      <c r="BI52" s="666"/>
      <c r="BJ52" s="666"/>
      <c r="BK52" s="666"/>
    </row>
    <row r="53" spans="1:63" ht="12.75" x14ac:dyDescent="0.2">
      <c r="A53" s="288">
        <v>46</v>
      </c>
      <c r="B53" s="290" t="s">
        <v>932</v>
      </c>
      <c r="C53" s="279" t="s">
        <v>933</v>
      </c>
      <c r="D53" s="955">
        <v>232519</v>
      </c>
      <c r="E53" s="843">
        <v>135852191</v>
      </c>
      <c r="F53" s="873">
        <v>65314489</v>
      </c>
      <c r="G53" s="873">
        <v>-3353722</v>
      </c>
      <c r="H53" s="873">
        <v>1512797</v>
      </c>
      <c r="I53" s="873">
        <v>-1840925</v>
      </c>
      <c r="J53" s="873">
        <v>-7003289</v>
      </c>
      <c r="K53" s="873">
        <v>-102640</v>
      </c>
      <c r="L53" s="873">
        <v>-19843</v>
      </c>
      <c r="M53" s="873">
        <v>0</v>
      </c>
      <c r="N53" s="873">
        <v>-891299</v>
      </c>
      <c r="O53" s="873">
        <v>-248239</v>
      </c>
      <c r="P53" s="873">
        <v>-66869</v>
      </c>
      <c r="Q53" s="873">
        <v>-4648</v>
      </c>
      <c r="R53" s="873">
        <v>-10166</v>
      </c>
      <c r="S53" s="873">
        <v>0</v>
      </c>
      <c r="T53" s="873">
        <v>0</v>
      </c>
      <c r="U53" s="873">
        <v>0</v>
      </c>
      <c r="V53" s="873">
        <v>0</v>
      </c>
      <c r="W53" s="873">
        <v>0</v>
      </c>
      <c r="X53" s="873">
        <v>0</v>
      </c>
      <c r="Y53" s="873">
        <v>-839992</v>
      </c>
      <c r="Z53" s="873">
        <v>54286579</v>
      </c>
      <c r="AA53" s="873">
        <v>-1000000</v>
      </c>
      <c r="AB53" s="874"/>
      <c r="AC53" s="873">
        <v>330</v>
      </c>
      <c r="AD53" s="873">
        <v>22</v>
      </c>
      <c r="AE53" s="873">
        <v>9</v>
      </c>
      <c r="AF53" s="873">
        <v>0</v>
      </c>
      <c r="AG53" s="873">
        <v>399</v>
      </c>
      <c r="AH53" s="873">
        <v>147</v>
      </c>
      <c r="AI53" s="873">
        <v>20</v>
      </c>
      <c r="AJ53" s="873">
        <v>3</v>
      </c>
      <c r="AK53" s="873">
        <v>0</v>
      </c>
      <c r="AL53" s="873">
        <v>0</v>
      </c>
      <c r="AM53" s="873">
        <v>0</v>
      </c>
      <c r="AN53" s="873">
        <v>0</v>
      </c>
      <c r="AO53" s="873">
        <v>1676</v>
      </c>
      <c r="AP53" s="873">
        <v>2476</v>
      </c>
      <c r="AQ53" s="873">
        <v>1860</v>
      </c>
      <c r="AR53" s="873">
        <v>616</v>
      </c>
      <c r="AS53" s="873">
        <v>1355</v>
      </c>
      <c r="AT53" s="843">
        <v>5571</v>
      </c>
      <c r="AU53" s="663"/>
      <c r="AV53" s="663"/>
      <c r="AX53" s="666"/>
      <c r="AY53" s="666"/>
      <c r="AZ53" s="666"/>
      <c r="BA53" s="666"/>
      <c r="BB53" s="666"/>
      <c r="BD53" s="666"/>
      <c r="BE53" s="666"/>
      <c r="BG53" s="666"/>
      <c r="BI53" s="666"/>
      <c r="BJ53" s="666"/>
      <c r="BK53" s="666"/>
    </row>
    <row r="54" spans="1:63" ht="12.75" x14ac:dyDescent="0.2">
      <c r="A54" s="288">
        <v>47</v>
      </c>
      <c r="B54" s="290" t="s">
        <v>934</v>
      </c>
      <c r="C54" s="279" t="s">
        <v>935</v>
      </c>
      <c r="D54" s="955">
        <v>181291</v>
      </c>
      <c r="E54" s="843">
        <v>105840011</v>
      </c>
      <c r="F54" s="873">
        <v>50910571</v>
      </c>
      <c r="G54" s="873">
        <v>-2517658</v>
      </c>
      <c r="H54" s="873">
        <v>1168609</v>
      </c>
      <c r="I54" s="873">
        <v>-1349049</v>
      </c>
      <c r="J54" s="873">
        <v>-3110915</v>
      </c>
      <c r="K54" s="873">
        <v>-89320</v>
      </c>
      <c r="L54" s="873">
        <v>-33969</v>
      </c>
      <c r="M54" s="873">
        <v>0</v>
      </c>
      <c r="N54" s="873">
        <v>-1904296</v>
      </c>
      <c r="O54" s="873">
        <v>-57726</v>
      </c>
      <c r="P54" s="873">
        <v>-43998</v>
      </c>
      <c r="Q54" s="873">
        <v>-2882</v>
      </c>
      <c r="R54" s="873">
        <v>0</v>
      </c>
      <c r="S54" s="873">
        <v>-2957</v>
      </c>
      <c r="T54" s="873">
        <v>0</v>
      </c>
      <c r="U54" s="873">
        <v>0</v>
      </c>
      <c r="V54" s="873">
        <v>0</v>
      </c>
      <c r="W54" s="873">
        <v>-4186</v>
      </c>
      <c r="X54" s="873">
        <v>-50000</v>
      </c>
      <c r="Y54" s="873">
        <v>-713195</v>
      </c>
      <c r="Z54" s="873">
        <v>43410018</v>
      </c>
      <c r="AA54" s="873">
        <v>-365109</v>
      </c>
      <c r="AB54" s="874"/>
      <c r="AC54" s="873">
        <v>247</v>
      </c>
      <c r="AD54" s="873">
        <v>9</v>
      </c>
      <c r="AE54" s="873">
        <v>30</v>
      </c>
      <c r="AF54" s="873">
        <v>0</v>
      </c>
      <c r="AG54" s="873">
        <v>340</v>
      </c>
      <c r="AH54" s="873">
        <v>88</v>
      </c>
      <c r="AI54" s="873">
        <v>11</v>
      </c>
      <c r="AJ54" s="873">
        <v>4</v>
      </c>
      <c r="AK54" s="873">
        <v>0</v>
      </c>
      <c r="AL54" s="873">
        <v>4</v>
      </c>
      <c r="AM54" s="873">
        <v>0</v>
      </c>
      <c r="AN54" s="873">
        <v>0</v>
      </c>
      <c r="AO54" s="873">
        <v>1635</v>
      </c>
      <c r="AP54" s="873">
        <v>1493</v>
      </c>
      <c r="AQ54" s="873">
        <v>1109</v>
      </c>
      <c r="AR54" s="873">
        <v>384</v>
      </c>
      <c r="AS54" s="873">
        <v>1222</v>
      </c>
      <c r="AT54" s="843">
        <v>4381</v>
      </c>
      <c r="AU54" s="663"/>
      <c r="AV54" s="663"/>
      <c r="AX54" s="666"/>
      <c r="AY54" s="666"/>
      <c r="AZ54" s="666"/>
      <c r="BA54" s="666"/>
      <c r="BB54" s="666"/>
      <c r="BD54" s="666"/>
      <c r="BE54" s="666"/>
      <c r="BG54" s="666"/>
      <c r="BI54" s="666"/>
      <c r="BJ54" s="666"/>
      <c r="BK54" s="666"/>
    </row>
    <row r="55" spans="1:63" ht="12.75" x14ac:dyDescent="0.2">
      <c r="A55" s="288">
        <v>48</v>
      </c>
      <c r="B55" s="290" t="s">
        <v>936</v>
      </c>
      <c r="C55" s="279" t="s">
        <v>937</v>
      </c>
      <c r="D55" s="955">
        <v>81221</v>
      </c>
      <c r="E55" s="843">
        <v>39824535</v>
      </c>
      <c r="F55" s="873">
        <v>19173787</v>
      </c>
      <c r="G55" s="873">
        <v>-1765774</v>
      </c>
      <c r="H55" s="873">
        <v>391240</v>
      </c>
      <c r="I55" s="873">
        <v>-1374534</v>
      </c>
      <c r="J55" s="873">
        <v>-1475056</v>
      </c>
      <c r="K55" s="873">
        <v>-9347</v>
      </c>
      <c r="L55" s="873">
        <v>0</v>
      </c>
      <c r="M55" s="873">
        <v>-1000</v>
      </c>
      <c r="N55" s="873">
        <v>-152866</v>
      </c>
      <c r="O55" s="873">
        <v>-59017</v>
      </c>
      <c r="P55" s="873">
        <v>-34696</v>
      </c>
      <c r="Q55" s="873">
        <v>-2300</v>
      </c>
      <c r="R55" s="873">
        <v>0</v>
      </c>
      <c r="S55" s="873">
        <v>0</v>
      </c>
      <c r="T55" s="873">
        <v>0</v>
      </c>
      <c r="U55" s="873">
        <v>0</v>
      </c>
      <c r="V55" s="873">
        <v>0</v>
      </c>
      <c r="W55" s="873">
        <v>-3204</v>
      </c>
      <c r="X55" s="873">
        <v>-4940</v>
      </c>
      <c r="Y55" s="873">
        <v>-488136</v>
      </c>
      <c r="Z55" s="873">
        <v>15534773</v>
      </c>
      <c r="AA55" s="873">
        <v>-154300</v>
      </c>
      <c r="AB55" s="874"/>
      <c r="AC55" s="873">
        <v>67</v>
      </c>
      <c r="AD55" s="873">
        <v>6</v>
      </c>
      <c r="AE55" s="873">
        <v>0</v>
      </c>
      <c r="AF55" s="873">
        <v>0</v>
      </c>
      <c r="AG55" s="873">
        <v>81</v>
      </c>
      <c r="AH55" s="873">
        <v>43</v>
      </c>
      <c r="AI55" s="873">
        <v>18</v>
      </c>
      <c r="AJ55" s="873">
        <v>6</v>
      </c>
      <c r="AK55" s="873">
        <v>0</v>
      </c>
      <c r="AL55" s="873">
        <v>0</v>
      </c>
      <c r="AM55" s="873">
        <v>0</v>
      </c>
      <c r="AN55" s="873">
        <v>0</v>
      </c>
      <c r="AO55" s="873">
        <v>573</v>
      </c>
      <c r="AP55" s="873">
        <v>849</v>
      </c>
      <c r="AQ55" s="873">
        <v>471</v>
      </c>
      <c r="AR55" s="873">
        <v>378</v>
      </c>
      <c r="AS55" s="873">
        <v>596</v>
      </c>
      <c r="AT55" s="843">
        <v>2006</v>
      </c>
      <c r="AU55" s="663"/>
      <c r="AV55" s="663"/>
      <c r="AX55" s="666"/>
      <c r="AY55" s="666"/>
      <c r="AZ55" s="666"/>
      <c r="BA55" s="666"/>
      <c r="BB55" s="666"/>
      <c r="BD55" s="666"/>
      <c r="BE55" s="666"/>
      <c r="BG55" s="666"/>
      <c r="BI55" s="666"/>
      <c r="BJ55" s="666"/>
      <c r="BK55" s="666"/>
    </row>
    <row r="56" spans="1:63" ht="12.75" x14ac:dyDescent="0.2">
      <c r="A56" s="288">
        <v>49</v>
      </c>
      <c r="B56" s="291" t="s">
        <v>938</v>
      </c>
      <c r="C56" s="280" t="s">
        <v>939</v>
      </c>
      <c r="D56" s="955">
        <v>312185</v>
      </c>
      <c r="E56" s="843">
        <v>202392976</v>
      </c>
      <c r="F56" s="873">
        <v>95804885</v>
      </c>
      <c r="G56" s="873">
        <v>-4568630</v>
      </c>
      <c r="H56" s="873">
        <v>1912388</v>
      </c>
      <c r="I56" s="873">
        <v>-2656242</v>
      </c>
      <c r="J56" s="873">
        <v>-6071938</v>
      </c>
      <c r="K56" s="873">
        <v>-114435</v>
      </c>
      <c r="L56" s="873">
        <v>-44801</v>
      </c>
      <c r="M56" s="873">
        <v>-372210</v>
      </c>
      <c r="N56" s="873">
        <v>-2296656</v>
      </c>
      <c r="O56" s="873">
        <v>-349624</v>
      </c>
      <c r="P56" s="873">
        <v>-308080</v>
      </c>
      <c r="Q56" s="873">
        <v>0</v>
      </c>
      <c r="R56" s="873">
        <v>-27739</v>
      </c>
      <c r="S56" s="873">
        <v>-13512</v>
      </c>
      <c r="T56" s="873">
        <v>0</v>
      </c>
      <c r="U56" s="873">
        <v>0</v>
      </c>
      <c r="V56" s="873">
        <v>0</v>
      </c>
      <c r="W56" s="873">
        <v>-10328</v>
      </c>
      <c r="X56" s="873">
        <v>-22437</v>
      </c>
      <c r="Y56" s="873">
        <v>-1030205</v>
      </c>
      <c r="Z56" s="873">
        <v>82686451</v>
      </c>
      <c r="AA56" s="873">
        <v>-800000</v>
      </c>
      <c r="AB56" s="874"/>
      <c r="AC56" s="873">
        <v>393</v>
      </c>
      <c r="AD56" s="873">
        <v>10</v>
      </c>
      <c r="AE56" s="873">
        <v>29</v>
      </c>
      <c r="AF56" s="873">
        <v>7</v>
      </c>
      <c r="AG56" s="873">
        <v>437</v>
      </c>
      <c r="AH56" s="873">
        <v>214</v>
      </c>
      <c r="AI56" s="873">
        <v>74</v>
      </c>
      <c r="AJ56" s="873">
        <v>0</v>
      </c>
      <c r="AK56" s="873">
        <v>19</v>
      </c>
      <c r="AL56" s="873">
        <v>4</v>
      </c>
      <c r="AM56" s="873">
        <v>0</v>
      </c>
      <c r="AN56" s="873">
        <v>0</v>
      </c>
      <c r="AO56" s="873">
        <v>2681</v>
      </c>
      <c r="AP56" s="873">
        <v>2370</v>
      </c>
      <c r="AQ56" s="873">
        <v>1376</v>
      </c>
      <c r="AR56" s="873">
        <v>994</v>
      </c>
      <c r="AS56" s="873">
        <v>1912</v>
      </c>
      <c r="AT56" s="843">
        <v>6994</v>
      </c>
      <c r="AU56" s="663"/>
      <c r="AV56" s="663"/>
      <c r="AX56" s="666"/>
      <c r="AY56" s="666"/>
      <c r="AZ56" s="666"/>
      <c r="BA56" s="666"/>
      <c r="BB56" s="666"/>
      <c r="BD56" s="666"/>
      <c r="BE56" s="666"/>
      <c r="BG56" s="666"/>
      <c r="BI56" s="666"/>
      <c r="BJ56" s="666"/>
      <c r="BK56" s="666"/>
    </row>
    <row r="57" spans="1:63" ht="12.75" x14ac:dyDescent="0.2">
      <c r="A57" s="288">
        <v>50</v>
      </c>
      <c r="B57" s="290" t="s">
        <v>940</v>
      </c>
      <c r="C57" s="279" t="s">
        <v>941</v>
      </c>
      <c r="D57" s="955">
        <v>192135</v>
      </c>
      <c r="E57" s="843">
        <v>113809452</v>
      </c>
      <c r="F57" s="873">
        <v>53609282</v>
      </c>
      <c r="G57" s="873">
        <v>-3198314</v>
      </c>
      <c r="H57" s="873">
        <v>1227920</v>
      </c>
      <c r="I57" s="873">
        <v>-1970394</v>
      </c>
      <c r="J57" s="873">
        <v>-5511340</v>
      </c>
      <c r="K57" s="873">
        <v>-21791</v>
      </c>
      <c r="L57" s="873">
        <v>-1652</v>
      </c>
      <c r="M57" s="873">
        <v>-30000</v>
      </c>
      <c r="N57" s="873">
        <v>-880353</v>
      </c>
      <c r="O57" s="873">
        <v>-63432</v>
      </c>
      <c r="P57" s="873">
        <v>-185907</v>
      </c>
      <c r="Q57" s="873">
        <v>-422</v>
      </c>
      <c r="R57" s="873">
        <v>0</v>
      </c>
      <c r="S57" s="873">
        <v>-414</v>
      </c>
      <c r="T57" s="873">
        <v>-26466</v>
      </c>
      <c r="U57" s="873">
        <v>0</v>
      </c>
      <c r="V57" s="873">
        <v>0</v>
      </c>
      <c r="W57" s="873">
        <v>-48437</v>
      </c>
      <c r="X57" s="873">
        <v>-17164</v>
      </c>
      <c r="Y57" s="873">
        <v>-686823</v>
      </c>
      <c r="Z57" s="873">
        <v>43764687</v>
      </c>
      <c r="AA57" s="873">
        <v>-80000</v>
      </c>
      <c r="AB57" s="874"/>
      <c r="AC57" s="873">
        <v>222</v>
      </c>
      <c r="AD57" s="873">
        <v>10</v>
      </c>
      <c r="AE57" s="873">
        <v>1</v>
      </c>
      <c r="AF57" s="873">
        <v>0</v>
      </c>
      <c r="AG57" s="873">
        <v>427</v>
      </c>
      <c r="AH57" s="873">
        <v>78</v>
      </c>
      <c r="AI57" s="873">
        <v>34</v>
      </c>
      <c r="AJ57" s="873">
        <v>2</v>
      </c>
      <c r="AK57" s="873">
        <v>0</v>
      </c>
      <c r="AL57" s="873">
        <v>1</v>
      </c>
      <c r="AM57" s="873">
        <v>0</v>
      </c>
      <c r="AN57" s="873">
        <v>0</v>
      </c>
      <c r="AO57" s="873">
        <v>1604</v>
      </c>
      <c r="AP57" s="873">
        <v>1827</v>
      </c>
      <c r="AQ57" s="873">
        <v>1252</v>
      </c>
      <c r="AR57" s="873">
        <v>575</v>
      </c>
      <c r="AS57" s="873">
        <v>1147</v>
      </c>
      <c r="AT57" s="843">
        <v>4627</v>
      </c>
      <c r="AU57" s="663"/>
      <c r="AV57" s="663"/>
      <c r="AX57" s="666"/>
      <c r="AY57" s="666"/>
      <c r="AZ57" s="666"/>
      <c r="BA57" s="666"/>
      <c r="BB57" s="666"/>
      <c r="BD57" s="666"/>
      <c r="BE57" s="666"/>
      <c r="BG57" s="666"/>
      <c r="BI57" s="666"/>
      <c r="BJ57" s="666"/>
      <c r="BK57" s="666"/>
    </row>
    <row r="58" spans="1:63" ht="12.75" x14ac:dyDescent="0.2">
      <c r="A58" s="288">
        <v>51</v>
      </c>
      <c r="B58" s="290" t="s">
        <v>942</v>
      </c>
      <c r="C58" s="279" t="s">
        <v>943</v>
      </c>
      <c r="D58" s="955">
        <v>224442</v>
      </c>
      <c r="E58" s="843">
        <v>185593060</v>
      </c>
      <c r="F58" s="873">
        <v>89148389</v>
      </c>
      <c r="G58" s="873">
        <v>-2599893</v>
      </c>
      <c r="H58" s="873">
        <v>2175971</v>
      </c>
      <c r="I58" s="873">
        <v>-423922</v>
      </c>
      <c r="J58" s="873">
        <v>-4496629</v>
      </c>
      <c r="K58" s="873">
        <v>-33524</v>
      </c>
      <c r="L58" s="873">
        <v>-8640</v>
      </c>
      <c r="M58" s="873">
        <v>0</v>
      </c>
      <c r="N58" s="873">
        <v>-1498890</v>
      </c>
      <c r="O58" s="873">
        <v>-8771</v>
      </c>
      <c r="P58" s="873">
        <v>-101707</v>
      </c>
      <c r="Q58" s="873">
        <v>0</v>
      </c>
      <c r="R58" s="873">
        <v>-1575</v>
      </c>
      <c r="S58" s="873">
        <v>-8239</v>
      </c>
      <c r="T58" s="873">
        <v>0</v>
      </c>
      <c r="U58" s="873">
        <v>0</v>
      </c>
      <c r="V58" s="873">
        <v>0</v>
      </c>
      <c r="W58" s="873">
        <v>0</v>
      </c>
      <c r="X58" s="873">
        <v>0</v>
      </c>
      <c r="Y58" s="873">
        <v>-968603</v>
      </c>
      <c r="Z58" s="873">
        <v>80095889</v>
      </c>
      <c r="AA58" s="873">
        <v>-100000</v>
      </c>
      <c r="AB58" s="874"/>
      <c r="AC58" s="873">
        <v>245</v>
      </c>
      <c r="AD58" s="873">
        <v>9</v>
      </c>
      <c r="AE58" s="873">
        <v>6</v>
      </c>
      <c r="AF58" s="873">
        <v>0</v>
      </c>
      <c r="AG58" s="873">
        <v>527</v>
      </c>
      <c r="AH58" s="873">
        <v>19</v>
      </c>
      <c r="AI58" s="873">
        <v>17</v>
      </c>
      <c r="AJ58" s="873">
        <v>0</v>
      </c>
      <c r="AK58" s="873">
        <v>2</v>
      </c>
      <c r="AL58" s="873">
        <v>2</v>
      </c>
      <c r="AM58" s="873">
        <v>0</v>
      </c>
      <c r="AN58" s="873">
        <v>0</v>
      </c>
      <c r="AO58" s="873">
        <v>2204</v>
      </c>
      <c r="AP58" s="873">
        <v>1356</v>
      </c>
      <c r="AQ58" s="873">
        <v>745</v>
      </c>
      <c r="AR58" s="873">
        <v>611</v>
      </c>
      <c r="AS58" s="873">
        <v>1142</v>
      </c>
      <c r="AT58" s="843">
        <v>4803</v>
      </c>
      <c r="AU58" s="663"/>
      <c r="AV58" s="663"/>
      <c r="AX58" s="666"/>
      <c r="AY58" s="666"/>
      <c r="AZ58" s="666"/>
      <c r="BA58" s="666"/>
      <c r="BB58" s="666"/>
      <c r="BD58" s="666"/>
      <c r="BE58" s="666"/>
      <c r="BG58" s="666"/>
      <c r="BI58" s="666"/>
      <c r="BJ58" s="666"/>
      <c r="BK58" s="666"/>
    </row>
    <row r="59" spans="1:63" ht="12.75" x14ac:dyDescent="0.2">
      <c r="A59" s="288">
        <v>52</v>
      </c>
      <c r="B59" s="290" t="s">
        <v>944</v>
      </c>
      <c r="C59" s="279" t="s">
        <v>945</v>
      </c>
      <c r="D59" s="955">
        <v>181383</v>
      </c>
      <c r="E59" s="843">
        <v>134005270</v>
      </c>
      <c r="F59" s="873">
        <v>64361383</v>
      </c>
      <c r="G59" s="873">
        <v>-2246799</v>
      </c>
      <c r="H59" s="873">
        <v>1552409</v>
      </c>
      <c r="I59" s="873">
        <v>-694390</v>
      </c>
      <c r="J59" s="873">
        <v>-4169009</v>
      </c>
      <c r="K59" s="873">
        <v>-29698</v>
      </c>
      <c r="L59" s="873">
        <v>0</v>
      </c>
      <c r="M59" s="873">
        <v>-35000</v>
      </c>
      <c r="N59" s="873">
        <v>-1650347</v>
      </c>
      <c r="O59" s="873">
        <v>-13816</v>
      </c>
      <c r="P59" s="873">
        <v>-13056</v>
      </c>
      <c r="Q59" s="873">
        <v>0</v>
      </c>
      <c r="R59" s="873">
        <v>0</v>
      </c>
      <c r="S59" s="873">
        <v>0</v>
      </c>
      <c r="T59" s="873">
        <v>0</v>
      </c>
      <c r="U59" s="873">
        <v>0</v>
      </c>
      <c r="V59" s="873">
        <v>0</v>
      </c>
      <c r="W59" s="873">
        <v>-10000</v>
      </c>
      <c r="X59" s="873">
        <v>-10000</v>
      </c>
      <c r="Y59" s="873">
        <v>-596913</v>
      </c>
      <c r="Z59" s="873">
        <v>56889154</v>
      </c>
      <c r="AA59" s="873">
        <v>-665000</v>
      </c>
      <c r="AB59" s="874"/>
      <c r="AC59" s="873">
        <v>198</v>
      </c>
      <c r="AD59" s="873">
        <v>8</v>
      </c>
      <c r="AE59" s="873">
        <v>0</v>
      </c>
      <c r="AF59" s="873">
        <v>2</v>
      </c>
      <c r="AG59" s="873">
        <v>329</v>
      </c>
      <c r="AH59" s="873">
        <v>15</v>
      </c>
      <c r="AI59" s="873">
        <v>2</v>
      </c>
      <c r="AJ59" s="873">
        <v>0</v>
      </c>
      <c r="AK59" s="873">
        <v>0</v>
      </c>
      <c r="AL59" s="873">
        <v>0</v>
      </c>
      <c r="AM59" s="873">
        <v>0</v>
      </c>
      <c r="AN59" s="873">
        <v>0</v>
      </c>
      <c r="AO59" s="873">
        <v>1717</v>
      </c>
      <c r="AP59" s="873">
        <v>1198</v>
      </c>
      <c r="AQ59" s="873">
        <v>768</v>
      </c>
      <c r="AR59" s="873">
        <v>430</v>
      </c>
      <c r="AS59" s="873">
        <v>1112</v>
      </c>
      <c r="AT59" s="843">
        <v>4003</v>
      </c>
      <c r="AU59" s="663"/>
      <c r="AV59" s="663"/>
      <c r="AX59" s="666"/>
      <c r="AY59" s="666"/>
      <c r="AZ59" s="666"/>
      <c r="BA59" s="666"/>
      <c r="BB59" s="666"/>
      <c r="BD59" s="666"/>
      <c r="BE59" s="666"/>
      <c r="BG59" s="666"/>
      <c r="BI59" s="666"/>
      <c r="BJ59" s="666"/>
      <c r="BK59" s="666"/>
    </row>
    <row r="60" spans="1:63" ht="12.75" x14ac:dyDescent="0.2">
      <c r="A60" s="288">
        <v>53</v>
      </c>
      <c r="B60" s="290" t="s">
        <v>946</v>
      </c>
      <c r="C60" s="279" t="s">
        <v>947</v>
      </c>
      <c r="D60" s="955">
        <v>222918</v>
      </c>
      <c r="E60" s="843">
        <v>170778872</v>
      </c>
      <c r="F60" s="873">
        <v>82257366</v>
      </c>
      <c r="G60" s="873">
        <v>-2118725</v>
      </c>
      <c r="H60" s="873">
        <v>1934755</v>
      </c>
      <c r="I60" s="873">
        <v>-183970</v>
      </c>
      <c r="J60" s="873">
        <v>-2690377</v>
      </c>
      <c r="K60" s="873">
        <v>-53046</v>
      </c>
      <c r="L60" s="873">
        <v>-56565</v>
      </c>
      <c r="M60" s="873">
        <v>-262272</v>
      </c>
      <c r="N60" s="873">
        <v>-1259374</v>
      </c>
      <c r="O60" s="873">
        <v>-719</v>
      </c>
      <c r="P60" s="873">
        <v>-81677</v>
      </c>
      <c r="Q60" s="873">
        <v>0</v>
      </c>
      <c r="R60" s="873">
        <v>-48061</v>
      </c>
      <c r="S60" s="873">
        <v>-14208</v>
      </c>
      <c r="T60" s="873">
        <v>0</v>
      </c>
      <c r="U60" s="873">
        <v>0</v>
      </c>
      <c r="V60" s="873">
        <v>0</v>
      </c>
      <c r="W60" s="873">
        <v>0</v>
      </c>
      <c r="X60" s="873">
        <v>-4128</v>
      </c>
      <c r="Y60" s="873">
        <v>-860569</v>
      </c>
      <c r="Z60" s="873">
        <v>75239017</v>
      </c>
      <c r="AA60" s="873">
        <v>0</v>
      </c>
      <c r="AB60" s="874"/>
      <c r="AC60" s="873">
        <v>230</v>
      </c>
      <c r="AD60" s="873">
        <v>0</v>
      </c>
      <c r="AE60" s="873">
        <v>35</v>
      </c>
      <c r="AF60" s="873">
        <v>0</v>
      </c>
      <c r="AG60" s="873">
        <v>413</v>
      </c>
      <c r="AH60" s="873">
        <v>230</v>
      </c>
      <c r="AI60" s="873">
        <v>7</v>
      </c>
      <c r="AJ60" s="873">
        <v>0</v>
      </c>
      <c r="AK60" s="873">
        <v>31</v>
      </c>
      <c r="AL60" s="873">
        <v>4</v>
      </c>
      <c r="AM60" s="873">
        <v>0</v>
      </c>
      <c r="AN60" s="873">
        <v>0</v>
      </c>
      <c r="AO60" s="873">
        <v>2133</v>
      </c>
      <c r="AP60" s="873">
        <v>2015</v>
      </c>
      <c r="AQ60" s="873">
        <v>1543</v>
      </c>
      <c r="AR60" s="873">
        <v>472</v>
      </c>
      <c r="AS60" s="873">
        <v>118</v>
      </c>
      <c r="AT60" s="843">
        <v>4651</v>
      </c>
      <c r="AU60" s="663"/>
      <c r="AV60" s="663"/>
      <c r="AX60" s="666"/>
      <c r="AY60" s="666"/>
      <c r="AZ60" s="666"/>
      <c r="BA60" s="666"/>
      <c r="BB60" s="666"/>
      <c r="BD60" s="666"/>
      <c r="BE60" s="666"/>
      <c r="BG60" s="666"/>
      <c r="BI60" s="666"/>
      <c r="BJ60" s="666"/>
      <c r="BK60" s="666"/>
    </row>
    <row r="61" spans="1:63" ht="12.75" x14ac:dyDescent="0.2">
      <c r="A61" s="288">
        <v>54</v>
      </c>
      <c r="B61" s="290" t="s">
        <v>948</v>
      </c>
      <c r="C61" s="279" t="s">
        <v>949</v>
      </c>
      <c r="D61" s="955">
        <v>562451</v>
      </c>
      <c r="E61" s="843">
        <v>341961739</v>
      </c>
      <c r="F61" s="873">
        <v>163963596</v>
      </c>
      <c r="G61" s="873">
        <v>-8815301</v>
      </c>
      <c r="H61" s="873">
        <v>3772320</v>
      </c>
      <c r="I61" s="873">
        <v>-5042981</v>
      </c>
      <c r="J61" s="873">
        <v>-6880020</v>
      </c>
      <c r="K61" s="873">
        <v>-93118</v>
      </c>
      <c r="L61" s="873">
        <v>-27592</v>
      </c>
      <c r="M61" s="873">
        <v>-125425</v>
      </c>
      <c r="N61" s="873">
        <v>-4481061</v>
      </c>
      <c r="O61" s="873">
        <v>-207666</v>
      </c>
      <c r="P61" s="873">
        <v>-78570</v>
      </c>
      <c r="Q61" s="873">
        <v>-8504</v>
      </c>
      <c r="R61" s="873">
        <v>-20032</v>
      </c>
      <c r="S61" s="873">
        <v>-10350</v>
      </c>
      <c r="T61" s="873">
        <v>0</v>
      </c>
      <c r="U61" s="873">
        <v>0</v>
      </c>
      <c r="V61" s="873">
        <v>0</v>
      </c>
      <c r="W61" s="873">
        <v>0</v>
      </c>
      <c r="X61" s="873">
        <v>-24257</v>
      </c>
      <c r="Y61" s="873">
        <v>-2295000</v>
      </c>
      <c r="Z61" s="873">
        <v>142820753</v>
      </c>
      <c r="AA61" s="873">
        <v>-1244807</v>
      </c>
      <c r="AB61" s="874"/>
      <c r="AC61" s="873">
        <v>547</v>
      </c>
      <c r="AD61" s="873">
        <v>33</v>
      </c>
      <c r="AE61" s="873">
        <v>22</v>
      </c>
      <c r="AF61" s="873">
        <v>2</v>
      </c>
      <c r="AG61" s="873">
        <v>1501</v>
      </c>
      <c r="AH61" s="873">
        <v>288</v>
      </c>
      <c r="AI61" s="873">
        <v>28</v>
      </c>
      <c r="AJ61" s="873">
        <v>30</v>
      </c>
      <c r="AK61" s="873">
        <v>23</v>
      </c>
      <c r="AL61" s="873">
        <v>10</v>
      </c>
      <c r="AM61" s="873">
        <v>0</v>
      </c>
      <c r="AN61" s="873">
        <v>0</v>
      </c>
      <c r="AO61" s="873">
        <v>5028</v>
      </c>
      <c r="AP61" s="873">
        <v>4560</v>
      </c>
      <c r="AQ61" s="873">
        <v>3032</v>
      </c>
      <c r="AR61" s="873">
        <v>1528</v>
      </c>
      <c r="AS61" s="873">
        <v>3521</v>
      </c>
      <c r="AT61" s="843">
        <v>13243</v>
      </c>
      <c r="AU61" s="663"/>
      <c r="AV61" s="663"/>
      <c r="AX61" s="666"/>
      <c r="AY61" s="666"/>
      <c r="AZ61" s="666"/>
      <c r="BA61" s="666"/>
      <c r="BB61" s="666"/>
      <c r="BD61" s="666"/>
      <c r="BE61" s="666"/>
      <c r="BG61" s="666"/>
      <c r="BI61" s="666"/>
      <c r="BJ61" s="666"/>
      <c r="BK61" s="666"/>
    </row>
    <row r="62" spans="1:63" ht="12.75" x14ac:dyDescent="0.2">
      <c r="A62" s="288">
        <v>55</v>
      </c>
      <c r="B62" s="290" t="s">
        <v>950</v>
      </c>
      <c r="C62" s="279" t="s">
        <v>951</v>
      </c>
      <c r="D62" s="955">
        <v>498103</v>
      </c>
      <c r="E62" s="843">
        <v>389671798</v>
      </c>
      <c r="F62" s="873">
        <v>182418631</v>
      </c>
      <c r="G62" s="873">
        <v>-6250000</v>
      </c>
      <c r="H62" s="873">
        <v>4500000</v>
      </c>
      <c r="I62" s="873">
        <v>-1750000</v>
      </c>
      <c r="J62" s="873">
        <v>-7700000</v>
      </c>
      <c r="K62" s="873">
        <v>-68000</v>
      </c>
      <c r="L62" s="873">
        <v>-63000</v>
      </c>
      <c r="M62" s="873">
        <v>-500000</v>
      </c>
      <c r="N62" s="873">
        <v>-7000000</v>
      </c>
      <c r="O62" s="873">
        <v>-771000</v>
      </c>
      <c r="P62" s="873">
        <v>-920000</v>
      </c>
      <c r="Q62" s="873">
        <v>-14000</v>
      </c>
      <c r="R62" s="873">
        <v>-63000</v>
      </c>
      <c r="S62" s="873">
        <v>-25000</v>
      </c>
      <c r="T62" s="873">
        <v>0</v>
      </c>
      <c r="U62" s="873">
        <v>0</v>
      </c>
      <c r="V62" s="873">
        <v>0</v>
      </c>
      <c r="W62" s="873">
        <v>-40000</v>
      </c>
      <c r="X62" s="873">
        <v>-300000</v>
      </c>
      <c r="Y62" s="873">
        <v>-2000000</v>
      </c>
      <c r="Z62" s="873">
        <v>160204631</v>
      </c>
      <c r="AA62" s="873">
        <v>-6000000</v>
      </c>
      <c r="AB62" s="874"/>
      <c r="AC62" s="873">
        <v>520</v>
      </c>
      <c r="AD62" s="873">
        <v>16</v>
      </c>
      <c r="AE62" s="873">
        <v>45</v>
      </c>
      <c r="AF62" s="873">
        <v>3</v>
      </c>
      <c r="AG62" s="873">
        <v>1322</v>
      </c>
      <c r="AH62" s="873">
        <v>408</v>
      </c>
      <c r="AI62" s="873">
        <v>60</v>
      </c>
      <c r="AJ62" s="873">
        <v>16</v>
      </c>
      <c r="AK62" s="873">
        <v>45</v>
      </c>
      <c r="AL62" s="873">
        <v>13</v>
      </c>
      <c r="AM62" s="873">
        <v>0</v>
      </c>
      <c r="AN62" s="873">
        <v>1</v>
      </c>
      <c r="AO62" s="873">
        <v>4572</v>
      </c>
      <c r="AP62" s="873">
        <v>3418</v>
      </c>
      <c r="AQ62" s="873">
        <v>2343</v>
      </c>
      <c r="AR62" s="873">
        <v>1075</v>
      </c>
      <c r="AS62" s="873">
        <v>2879</v>
      </c>
      <c r="AT62" s="843">
        <v>10877</v>
      </c>
      <c r="AU62" s="663"/>
      <c r="AV62" s="663"/>
      <c r="AX62" s="666"/>
      <c r="AY62" s="666"/>
      <c r="AZ62" s="666"/>
      <c r="BA62" s="666"/>
      <c r="BB62" s="666"/>
      <c r="BD62" s="666"/>
      <c r="BE62" s="666"/>
      <c r="BG62" s="666"/>
      <c r="BI62" s="666"/>
      <c r="BJ62" s="666"/>
      <c r="BK62" s="666"/>
    </row>
    <row r="63" spans="1:63" ht="12.75" x14ac:dyDescent="0.2">
      <c r="A63" s="288">
        <v>56</v>
      </c>
      <c r="B63" s="290" t="s">
        <v>952</v>
      </c>
      <c r="C63" s="279" t="s">
        <v>953</v>
      </c>
      <c r="D63" s="955">
        <v>164110</v>
      </c>
      <c r="E63" s="843">
        <v>89056600</v>
      </c>
      <c r="F63" s="873">
        <v>43216284</v>
      </c>
      <c r="G63" s="873">
        <v>-2705918</v>
      </c>
      <c r="H63" s="873">
        <v>946903</v>
      </c>
      <c r="I63" s="873">
        <v>-1759015</v>
      </c>
      <c r="J63" s="873">
        <v>-1406985</v>
      </c>
      <c r="K63" s="873">
        <v>-30951</v>
      </c>
      <c r="L63" s="873">
        <v>-3303</v>
      </c>
      <c r="M63" s="873">
        <v>0</v>
      </c>
      <c r="N63" s="873">
        <v>-1520362</v>
      </c>
      <c r="O63" s="873">
        <v>-38511</v>
      </c>
      <c r="P63" s="873">
        <v>-41115</v>
      </c>
      <c r="Q63" s="873">
        <v>-1257</v>
      </c>
      <c r="R63" s="873">
        <v>0</v>
      </c>
      <c r="S63" s="873">
        <v>0</v>
      </c>
      <c r="T63" s="873">
        <v>0</v>
      </c>
      <c r="U63" s="873">
        <v>0</v>
      </c>
      <c r="V63" s="873">
        <v>0</v>
      </c>
      <c r="W63" s="873">
        <v>0</v>
      </c>
      <c r="X63" s="873">
        <v>0</v>
      </c>
      <c r="Y63" s="873">
        <v>-742282</v>
      </c>
      <c r="Z63" s="873">
        <v>37672503</v>
      </c>
      <c r="AA63" s="873">
        <v>-264354</v>
      </c>
      <c r="AB63" s="874"/>
      <c r="AC63" s="873">
        <v>150</v>
      </c>
      <c r="AD63" s="873">
        <v>5</v>
      </c>
      <c r="AE63" s="873">
        <v>4</v>
      </c>
      <c r="AF63" s="873">
        <v>0</v>
      </c>
      <c r="AG63" s="873">
        <v>456</v>
      </c>
      <c r="AH63" s="873">
        <v>38</v>
      </c>
      <c r="AI63" s="873">
        <v>6</v>
      </c>
      <c r="AJ63" s="873">
        <v>3</v>
      </c>
      <c r="AK63" s="873">
        <v>0</v>
      </c>
      <c r="AL63" s="873">
        <v>0</v>
      </c>
      <c r="AM63" s="873">
        <v>0</v>
      </c>
      <c r="AN63" s="873">
        <v>0</v>
      </c>
      <c r="AO63" s="873">
        <v>1385</v>
      </c>
      <c r="AP63" s="873">
        <v>1527</v>
      </c>
      <c r="AQ63" s="873">
        <v>1113</v>
      </c>
      <c r="AR63" s="873">
        <v>414</v>
      </c>
      <c r="AS63" s="873">
        <v>1094</v>
      </c>
      <c r="AT63" s="843">
        <v>4032</v>
      </c>
      <c r="AU63" s="663"/>
      <c r="AV63" s="663"/>
      <c r="AX63" s="666"/>
      <c r="AY63" s="666"/>
      <c r="AZ63" s="666"/>
      <c r="BA63" s="666"/>
      <c r="BB63" s="666"/>
      <c r="BD63" s="666"/>
      <c r="BE63" s="666"/>
      <c r="BG63" s="666"/>
      <c r="BI63" s="666"/>
      <c r="BJ63" s="666"/>
      <c r="BK63" s="666"/>
    </row>
    <row r="64" spans="1:63" ht="12.75" x14ac:dyDescent="0.2">
      <c r="A64" s="288">
        <v>57</v>
      </c>
      <c r="B64" s="290" t="s">
        <v>954</v>
      </c>
      <c r="C64" s="279" t="s">
        <v>955</v>
      </c>
      <c r="D64" s="955">
        <v>196828</v>
      </c>
      <c r="E64" s="843">
        <v>110263368</v>
      </c>
      <c r="F64" s="873">
        <v>51950108</v>
      </c>
      <c r="G64" s="873">
        <v>-3139007</v>
      </c>
      <c r="H64" s="873">
        <v>1023110</v>
      </c>
      <c r="I64" s="873">
        <v>-2115897</v>
      </c>
      <c r="J64" s="873">
        <v>-3484826</v>
      </c>
      <c r="K64" s="873">
        <v>-32720</v>
      </c>
      <c r="L64" s="873">
        <v>-43031</v>
      </c>
      <c r="M64" s="873">
        <v>-50000</v>
      </c>
      <c r="N64" s="873">
        <v>-863659</v>
      </c>
      <c r="O64" s="873">
        <v>-9000</v>
      </c>
      <c r="P64" s="873">
        <v>-15000</v>
      </c>
      <c r="Q64" s="873">
        <v>-1000</v>
      </c>
      <c r="R64" s="873">
        <v>-45000</v>
      </c>
      <c r="S64" s="873">
        <v>-8500</v>
      </c>
      <c r="T64" s="873">
        <v>-5000</v>
      </c>
      <c r="U64" s="873">
        <v>0</v>
      </c>
      <c r="V64" s="873">
        <v>0</v>
      </c>
      <c r="W64" s="873">
        <v>-10000</v>
      </c>
      <c r="X64" s="873">
        <v>-50000</v>
      </c>
      <c r="Y64" s="873">
        <v>-720000</v>
      </c>
      <c r="Z64" s="873">
        <v>44291475</v>
      </c>
      <c r="AA64" s="873">
        <v>-100000</v>
      </c>
      <c r="AB64" s="874"/>
      <c r="AC64" s="873">
        <v>237</v>
      </c>
      <c r="AD64" s="873">
        <v>20</v>
      </c>
      <c r="AE64" s="873">
        <v>29</v>
      </c>
      <c r="AF64" s="873">
        <v>1</v>
      </c>
      <c r="AG64" s="873">
        <v>191</v>
      </c>
      <c r="AH64" s="873">
        <v>1</v>
      </c>
      <c r="AI64" s="873">
        <v>3</v>
      </c>
      <c r="AJ64" s="873">
        <v>0</v>
      </c>
      <c r="AK64" s="873">
        <v>28</v>
      </c>
      <c r="AL64" s="873">
        <v>3</v>
      </c>
      <c r="AM64" s="873">
        <v>0</v>
      </c>
      <c r="AN64" s="873">
        <v>0</v>
      </c>
      <c r="AO64" s="873">
        <v>1599</v>
      </c>
      <c r="AP64" s="873">
        <v>1948</v>
      </c>
      <c r="AQ64" s="873">
        <v>1375</v>
      </c>
      <c r="AR64" s="873">
        <v>573</v>
      </c>
      <c r="AS64" s="873">
        <v>1100</v>
      </c>
      <c r="AT64" s="843">
        <v>4802</v>
      </c>
      <c r="AU64" s="663"/>
      <c r="AV64" s="663"/>
      <c r="AX64" s="666"/>
      <c r="AY64" s="666"/>
      <c r="AZ64" s="666"/>
      <c r="BA64" s="666"/>
      <c r="BB64" s="666"/>
      <c r="BD64" s="666"/>
      <c r="BE64" s="666"/>
      <c r="BG64" s="666"/>
      <c r="BI64" s="666"/>
      <c r="BJ64" s="666"/>
      <c r="BK64" s="666"/>
    </row>
    <row r="65" spans="1:63" ht="12.75" x14ac:dyDescent="0.2">
      <c r="A65" s="288">
        <v>58</v>
      </c>
      <c r="B65" s="290" t="s">
        <v>956</v>
      </c>
      <c r="C65" s="279" t="s">
        <v>957</v>
      </c>
      <c r="D65" s="955">
        <v>115183</v>
      </c>
      <c r="E65" s="843">
        <v>54056100</v>
      </c>
      <c r="F65" s="873">
        <v>25927548</v>
      </c>
      <c r="G65" s="873">
        <v>-1462014</v>
      </c>
      <c r="H65" s="873">
        <v>548189</v>
      </c>
      <c r="I65" s="873">
        <v>-913825</v>
      </c>
      <c r="J65" s="873">
        <v>-2285752</v>
      </c>
      <c r="K65" s="873">
        <v>-34461</v>
      </c>
      <c r="L65" s="873">
        <v>-18401</v>
      </c>
      <c r="M65" s="873">
        <v>-2328</v>
      </c>
      <c r="N65" s="873">
        <v>-410437</v>
      </c>
      <c r="O65" s="873">
        <v>-110457</v>
      </c>
      <c r="P65" s="873">
        <v>-45963</v>
      </c>
      <c r="Q65" s="873">
        <v>-4957</v>
      </c>
      <c r="R65" s="873">
        <v>-5472</v>
      </c>
      <c r="S65" s="873">
        <v>0</v>
      </c>
      <c r="T65" s="873">
        <v>0</v>
      </c>
      <c r="U65" s="873">
        <v>0</v>
      </c>
      <c r="V65" s="873">
        <v>0</v>
      </c>
      <c r="W65" s="873">
        <v>0</v>
      </c>
      <c r="X65" s="873">
        <v>0</v>
      </c>
      <c r="Y65" s="873">
        <v>-522264</v>
      </c>
      <c r="Z65" s="873">
        <v>21573231</v>
      </c>
      <c r="AA65" s="873">
        <v>-101413</v>
      </c>
      <c r="AB65" s="874"/>
      <c r="AC65" s="873">
        <v>187</v>
      </c>
      <c r="AD65" s="873">
        <v>7</v>
      </c>
      <c r="AE65" s="873">
        <v>13</v>
      </c>
      <c r="AF65" s="873">
        <v>1</v>
      </c>
      <c r="AG65" s="873">
        <v>168</v>
      </c>
      <c r="AH65" s="873">
        <v>40</v>
      </c>
      <c r="AI65" s="873">
        <v>25</v>
      </c>
      <c r="AJ65" s="873">
        <v>5</v>
      </c>
      <c r="AK65" s="873">
        <v>5</v>
      </c>
      <c r="AL65" s="873">
        <v>0</v>
      </c>
      <c r="AM65" s="873">
        <v>0</v>
      </c>
      <c r="AN65" s="873">
        <v>0</v>
      </c>
      <c r="AO65" s="873">
        <v>1023</v>
      </c>
      <c r="AP65" s="873">
        <v>757</v>
      </c>
      <c r="AQ65" s="873">
        <v>440</v>
      </c>
      <c r="AR65" s="873">
        <v>317</v>
      </c>
      <c r="AS65" s="873">
        <v>851</v>
      </c>
      <c r="AT65" s="843">
        <v>2653</v>
      </c>
      <c r="AU65" s="663"/>
      <c r="AV65" s="663"/>
      <c r="AX65" s="666"/>
      <c r="AY65" s="666"/>
      <c r="AZ65" s="666"/>
      <c r="BA65" s="666"/>
      <c r="BB65" s="666"/>
      <c r="BD65" s="666"/>
      <c r="BE65" s="666"/>
      <c r="BG65" s="666"/>
      <c r="BI65" s="666"/>
      <c r="BJ65" s="666"/>
      <c r="BK65" s="666"/>
    </row>
    <row r="66" spans="1:63" ht="12.75" x14ac:dyDescent="0.2">
      <c r="A66" s="288">
        <v>59</v>
      </c>
      <c r="B66" s="290" t="s">
        <v>958</v>
      </c>
      <c r="C66" s="279" t="s">
        <v>959</v>
      </c>
      <c r="D66" s="955">
        <v>136918</v>
      </c>
      <c r="E66" s="843">
        <v>70617786</v>
      </c>
      <c r="F66" s="873">
        <v>34062043</v>
      </c>
      <c r="G66" s="873">
        <v>-2441042</v>
      </c>
      <c r="H66" s="873">
        <v>757126</v>
      </c>
      <c r="I66" s="873">
        <v>-1683916</v>
      </c>
      <c r="J66" s="873">
        <v>-1939983</v>
      </c>
      <c r="K66" s="873">
        <v>-47697</v>
      </c>
      <c r="L66" s="873">
        <v>-5516</v>
      </c>
      <c r="M66" s="873">
        <v>-5000</v>
      </c>
      <c r="N66" s="873">
        <v>-393332</v>
      </c>
      <c r="O66" s="873">
        <v>-12557</v>
      </c>
      <c r="P66" s="873">
        <v>0</v>
      </c>
      <c r="Q66" s="873">
        <v>0</v>
      </c>
      <c r="R66" s="873">
        <v>0</v>
      </c>
      <c r="S66" s="873">
        <v>0</v>
      </c>
      <c r="T66" s="873">
        <v>0</v>
      </c>
      <c r="U66" s="873">
        <v>0</v>
      </c>
      <c r="V66" s="873">
        <v>0</v>
      </c>
      <c r="W66" s="873">
        <v>-8135</v>
      </c>
      <c r="X66" s="873">
        <v>-22250</v>
      </c>
      <c r="Y66" s="873">
        <v>-517141</v>
      </c>
      <c r="Z66" s="873">
        <v>29415016</v>
      </c>
      <c r="AA66" s="873">
        <v>-458980</v>
      </c>
      <c r="AB66" s="874"/>
      <c r="AC66" s="873">
        <v>160</v>
      </c>
      <c r="AD66" s="873">
        <v>21</v>
      </c>
      <c r="AE66" s="873">
        <v>5</v>
      </c>
      <c r="AF66" s="873">
        <v>0</v>
      </c>
      <c r="AG66" s="873">
        <v>256</v>
      </c>
      <c r="AH66" s="873">
        <v>12</v>
      </c>
      <c r="AI66" s="873">
        <v>0</v>
      </c>
      <c r="AJ66" s="873">
        <v>0</v>
      </c>
      <c r="AK66" s="873">
        <v>0</v>
      </c>
      <c r="AL66" s="873">
        <v>0</v>
      </c>
      <c r="AM66" s="873">
        <v>0</v>
      </c>
      <c r="AN66" s="873">
        <v>0</v>
      </c>
      <c r="AO66" s="873">
        <v>1132</v>
      </c>
      <c r="AP66" s="873">
        <v>1353</v>
      </c>
      <c r="AQ66" s="873">
        <v>980</v>
      </c>
      <c r="AR66" s="873">
        <v>373</v>
      </c>
      <c r="AS66" s="873">
        <v>823</v>
      </c>
      <c r="AT66" s="843">
        <v>3400</v>
      </c>
      <c r="AU66" s="663"/>
      <c r="AV66" s="663"/>
      <c r="AX66" s="666"/>
      <c r="AY66" s="666"/>
      <c r="AZ66" s="666"/>
      <c r="BA66" s="666"/>
      <c r="BB66" s="666"/>
      <c r="BD66" s="666"/>
      <c r="BE66" s="666"/>
      <c r="BG66" s="666"/>
      <c r="BI66" s="666"/>
      <c r="BJ66" s="666"/>
      <c r="BK66" s="666"/>
    </row>
    <row r="67" spans="1:63" ht="12.75" x14ac:dyDescent="0.2">
      <c r="A67" s="288">
        <v>60</v>
      </c>
      <c r="B67" s="290" t="s">
        <v>960</v>
      </c>
      <c r="C67" s="279" t="s">
        <v>961</v>
      </c>
      <c r="D67" s="955">
        <v>75810</v>
      </c>
      <c r="E67" s="843">
        <v>44871231</v>
      </c>
      <c r="F67" s="873">
        <v>20897375</v>
      </c>
      <c r="G67" s="873">
        <v>-1191591</v>
      </c>
      <c r="H67" s="873">
        <v>483530</v>
      </c>
      <c r="I67" s="873">
        <v>-708061</v>
      </c>
      <c r="J67" s="873">
        <v>-733219</v>
      </c>
      <c r="K67" s="873">
        <v>-37290</v>
      </c>
      <c r="L67" s="873">
        <v>-1750</v>
      </c>
      <c r="M67" s="873">
        <v>0</v>
      </c>
      <c r="N67" s="873">
        <v>-290473</v>
      </c>
      <c r="O67" s="873">
        <v>-4364</v>
      </c>
      <c r="P67" s="873">
        <v>-4260</v>
      </c>
      <c r="Q67" s="873">
        <v>-1577</v>
      </c>
      <c r="R67" s="873">
        <v>0</v>
      </c>
      <c r="S67" s="873">
        <v>0</v>
      </c>
      <c r="T67" s="873">
        <v>0</v>
      </c>
      <c r="U67" s="873">
        <v>0</v>
      </c>
      <c r="V67" s="873">
        <v>0</v>
      </c>
      <c r="W67" s="873">
        <v>0</v>
      </c>
      <c r="X67" s="873">
        <v>0</v>
      </c>
      <c r="Y67" s="873">
        <v>-376311</v>
      </c>
      <c r="Z67" s="873">
        <v>18740070</v>
      </c>
      <c r="AA67" s="873">
        <v>-300000</v>
      </c>
      <c r="AB67" s="874"/>
      <c r="AC67" s="873">
        <v>71</v>
      </c>
      <c r="AD67" s="873">
        <v>8</v>
      </c>
      <c r="AE67" s="873">
        <v>1</v>
      </c>
      <c r="AF67" s="873">
        <v>0</v>
      </c>
      <c r="AG67" s="873">
        <v>53</v>
      </c>
      <c r="AH67" s="873">
        <v>18</v>
      </c>
      <c r="AI67" s="873">
        <v>1</v>
      </c>
      <c r="AJ67" s="873">
        <v>1</v>
      </c>
      <c r="AK67" s="873">
        <v>0</v>
      </c>
      <c r="AL67" s="873">
        <v>0</v>
      </c>
      <c r="AM67" s="873">
        <v>0</v>
      </c>
      <c r="AN67" s="873">
        <v>0</v>
      </c>
      <c r="AO67" s="873">
        <v>613</v>
      </c>
      <c r="AP67" s="873">
        <v>720</v>
      </c>
      <c r="AQ67" s="873">
        <v>491</v>
      </c>
      <c r="AR67" s="873">
        <v>229</v>
      </c>
      <c r="AS67" s="873">
        <v>470</v>
      </c>
      <c r="AT67" s="843">
        <v>1826</v>
      </c>
      <c r="AU67" s="663"/>
      <c r="AV67" s="663"/>
      <c r="AX67" s="666"/>
      <c r="AY67" s="666"/>
      <c r="AZ67" s="666"/>
      <c r="BA67" s="666"/>
      <c r="BB67" s="666"/>
      <c r="BD67" s="666"/>
      <c r="BE67" s="666"/>
      <c r="BG67" s="666"/>
      <c r="BI67" s="666"/>
      <c r="BJ67" s="666"/>
      <c r="BK67" s="666"/>
    </row>
    <row r="68" spans="1:63" ht="12.75" x14ac:dyDescent="0.2">
      <c r="A68" s="288">
        <v>61</v>
      </c>
      <c r="B68" s="290" t="s">
        <v>962</v>
      </c>
      <c r="C68" s="279" t="s">
        <v>0</v>
      </c>
      <c r="D68" s="955">
        <v>1720295</v>
      </c>
      <c r="E68" s="843">
        <v>1912950144</v>
      </c>
      <c r="F68" s="873">
        <v>804353079</v>
      </c>
      <c r="G68" s="873">
        <v>-433269</v>
      </c>
      <c r="H68" s="873">
        <v>23383882</v>
      </c>
      <c r="I68" s="873">
        <v>22950613</v>
      </c>
      <c r="J68" s="873">
        <v>-11932004</v>
      </c>
      <c r="K68" s="873">
        <v>0</v>
      </c>
      <c r="L68" s="873">
        <v>0</v>
      </c>
      <c r="M68" s="873">
        <v>-3177801</v>
      </c>
      <c r="N68" s="873">
        <v>-36337552</v>
      </c>
      <c r="O68" s="873">
        <v>-142930</v>
      </c>
      <c r="P68" s="873">
        <v>-204280</v>
      </c>
      <c r="Q68" s="873">
        <v>0</v>
      </c>
      <c r="R68" s="873">
        <v>0</v>
      </c>
      <c r="S68" s="873">
        <v>0</v>
      </c>
      <c r="T68" s="873">
        <v>0</v>
      </c>
      <c r="U68" s="873">
        <v>0</v>
      </c>
      <c r="V68" s="873">
        <v>0</v>
      </c>
      <c r="W68" s="873">
        <v>-125000</v>
      </c>
      <c r="X68" s="873">
        <v>-90000</v>
      </c>
      <c r="Y68" s="873">
        <v>-600000</v>
      </c>
      <c r="Z68" s="873">
        <v>777746996</v>
      </c>
      <c r="AA68" s="873">
        <v>-13000000</v>
      </c>
      <c r="AB68" s="874"/>
      <c r="AC68" s="873">
        <v>249</v>
      </c>
      <c r="AD68" s="873">
        <v>0</v>
      </c>
      <c r="AE68" s="873">
        <v>0</v>
      </c>
      <c r="AF68" s="873">
        <v>0</v>
      </c>
      <c r="AG68" s="873">
        <v>0</v>
      </c>
      <c r="AH68" s="873">
        <v>4</v>
      </c>
      <c r="AI68" s="873">
        <v>29</v>
      </c>
      <c r="AJ68" s="873">
        <v>0</v>
      </c>
      <c r="AK68" s="873">
        <v>0</v>
      </c>
      <c r="AL68" s="873">
        <v>0</v>
      </c>
      <c r="AM68" s="873">
        <v>0</v>
      </c>
      <c r="AN68" s="873">
        <v>0</v>
      </c>
      <c r="AO68" s="873">
        <v>8696</v>
      </c>
      <c r="AP68" s="873">
        <v>220</v>
      </c>
      <c r="AQ68" s="873">
        <v>94</v>
      </c>
      <c r="AR68" s="873">
        <v>126</v>
      </c>
      <c r="AS68" s="873">
        <v>8469</v>
      </c>
      <c r="AT68" s="843">
        <v>17824</v>
      </c>
      <c r="AU68" s="663"/>
      <c r="AV68" s="663"/>
      <c r="AX68" s="666"/>
      <c r="AY68" s="666"/>
      <c r="AZ68" s="666"/>
      <c r="BA68" s="666"/>
      <c r="BB68" s="666"/>
      <c r="BD68" s="666"/>
      <c r="BE68" s="666"/>
      <c r="BG68" s="666"/>
      <c r="BI68" s="666"/>
      <c r="BJ68" s="666"/>
      <c r="BK68" s="666"/>
    </row>
    <row r="69" spans="1:63" ht="12.75" x14ac:dyDescent="0.2">
      <c r="A69" s="288">
        <v>62</v>
      </c>
      <c r="B69" s="290" t="s">
        <v>1</v>
      </c>
      <c r="C69" s="279" t="s">
        <v>2</v>
      </c>
      <c r="D69" s="955">
        <v>240074</v>
      </c>
      <c r="E69" s="843">
        <v>154490518</v>
      </c>
      <c r="F69" s="873">
        <v>73613974</v>
      </c>
      <c r="G69" s="873">
        <v>-2994237</v>
      </c>
      <c r="H69" s="873">
        <v>1737259</v>
      </c>
      <c r="I69" s="873">
        <v>-1256978</v>
      </c>
      <c r="J69" s="873">
        <v>-4654578</v>
      </c>
      <c r="K69" s="873">
        <v>-60441</v>
      </c>
      <c r="L69" s="873">
        <v>-13520</v>
      </c>
      <c r="M69" s="873">
        <v>-41225</v>
      </c>
      <c r="N69" s="873">
        <v>-1322875</v>
      </c>
      <c r="O69" s="873">
        <v>-157742</v>
      </c>
      <c r="P69" s="873">
        <v>-7821</v>
      </c>
      <c r="Q69" s="873">
        <v>-15110</v>
      </c>
      <c r="R69" s="873">
        <v>0</v>
      </c>
      <c r="S69" s="873">
        <v>0</v>
      </c>
      <c r="T69" s="873">
        <v>0</v>
      </c>
      <c r="U69" s="873">
        <v>0</v>
      </c>
      <c r="V69" s="873">
        <v>0</v>
      </c>
      <c r="W69" s="873">
        <v>-100000</v>
      </c>
      <c r="X69" s="873">
        <v>-11832</v>
      </c>
      <c r="Y69" s="873">
        <v>-1112315</v>
      </c>
      <c r="Z69" s="873">
        <v>64859537</v>
      </c>
      <c r="AA69" s="873">
        <v>-1547838</v>
      </c>
      <c r="AB69" s="874"/>
      <c r="AC69" s="873">
        <v>345</v>
      </c>
      <c r="AD69" s="873">
        <v>19</v>
      </c>
      <c r="AE69" s="873">
        <v>11</v>
      </c>
      <c r="AF69" s="873">
        <v>8</v>
      </c>
      <c r="AG69" s="873">
        <v>388</v>
      </c>
      <c r="AH69" s="873">
        <v>194</v>
      </c>
      <c r="AI69" s="873">
        <v>18</v>
      </c>
      <c r="AJ69" s="873">
        <v>20</v>
      </c>
      <c r="AK69" s="873">
        <v>11</v>
      </c>
      <c r="AL69" s="873">
        <v>0</v>
      </c>
      <c r="AM69" s="873">
        <v>0</v>
      </c>
      <c r="AN69" s="873">
        <v>0</v>
      </c>
      <c r="AO69" s="873">
        <v>2207</v>
      </c>
      <c r="AP69" s="873">
        <v>1966</v>
      </c>
      <c r="AQ69" s="873">
        <v>1343</v>
      </c>
      <c r="AR69" s="873">
        <v>623</v>
      </c>
      <c r="AS69" s="873">
        <v>1330</v>
      </c>
      <c r="AT69" s="843">
        <v>5569</v>
      </c>
      <c r="AU69" s="663"/>
      <c r="AV69" s="663"/>
      <c r="AX69" s="666"/>
      <c r="AY69" s="666"/>
      <c r="AZ69" s="666"/>
      <c r="BA69" s="666"/>
      <c r="BB69" s="666"/>
      <c r="BD69" s="666"/>
      <c r="BE69" s="666"/>
      <c r="BG69" s="666"/>
      <c r="BI69" s="666"/>
      <c r="BJ69" s="666"/>
      <c r="BK69" s="666"/>
    </row>
    <row r="70" spans="1:63" ht="12.75" x14ac:dyDescent="0.2">
      <c r="A70" s="288">
        <v>63</v>
      </c>
      <c r="B70" s="290" t="s">
        <v>3</v>
      </c>
      <c r="C70" s="279" t="s">
        <v>4</v>
      </c>
      <c r="D70" s="955">
        <v>111435</v>
      </c>
      <c r="E70" s="843">
        <v>98414411</v>
      </c>
      <c r="F70" s="873">
        <v>47278623</v>
      </c>
      <c r="G70" s="873">
        <v>-1360210</v>
      </c>
      <c r="H70" s="873">
        <v>1169205</v>
      </c>
      <c r="I70" s="873">
        <v>-191005</v>
      </c>
      <c r="J70" s="873">
        <v>-1306118</v>
      </c>
      <c r="K70" s="873">
        <v>-64069</v>
      </c>
      <c r="L70" s="873">
        <v>-21228</v>
      </c>
      <c r="M70" s="873">
        <v>0</v>
      </c>
      <c r="N70" s="873">
        <v>-312392</v>
      </c>
      <c r="O70" s="873">
        <v>0</v>
      </c>
      <c r="P70" s="873">
        <v>0</v>
      </c>
      <c r="Q70" s="873">
        <v>0</v>
      </c>
      <c r="R70" s="873">
        <v>0</v>
      </c>
      <c r="S70" s="873">
        <v>0</v>
      </c>
      <c r="T70" s="873">
        <v>0</v>
      </c>
      <c r="U70" s="873">
        <v>0</v>
      </c>
      <c r="V70" s="873">
        <v>0</v>
      </c>
      <c r="W70" s="873">
        <v>0</v>
      </c>
      <c r="X70" s="873">
        <v>-5500</v>
      </c>
      <c r="Y70" s="873">
        <v>-341343</v>
      </c>
      <c r="Z70" s="873">
        <v>44966968</v>
      </c>
      <c r="AA70" s="873">
        <v>-8215312</v>
      </c>
      <c r="AB70" s="874"/>
      <c r="AC70" s="873">
        <v>162</v>
      </c>
      <c r="AD70" s="873">
        <v>17</v>
      </c>
      <c r="AE70" s="873">
        <v>23</v>
      </c>
      <c r="AF70" s="873">
        <v>0</v>
      </c>
      <c r="AG70" s="873">
        <v>119</v>
      </c>
      <c r="AH70" s="873">
        <v>0</v>
      </c>
      <c r="AI70" s="873">
        <v>0</v>
      </c>
      <c r="AJ70" s="873">
        <v>0</v>
      </c>
      <c r="AK70" s="873">
        <v>0</v>
      </c>
      <c r="AL70" s="873">
        <v>0</v>
      </c>
      <c r="AM70" s="873">
        <v>0</v>
      </c>
      <c r="AN70" s="873">
        <v>0</v>
      </c>
      <c r="AO70" s="873">
        <v>720</v>
      </c>
      <c r="AP70" s="873">
        <v>863</v>
      </c>
      <c r="AQ70" s="873">
        <v>713</v>
      </c>
      <c r="AR70" s="873">
        <v>150</v>
      </c>
      <c r="AS70" s="873">
        <v>783</v>
      </c>
      <c r="AT70" s="843">
        <v>2366</v>
      </c>
      <c r="AU70" s="663"/>
      <c r="AV70" s="663"/>
      <c r="AX70" s="666"/>
      <c r="AY70" s="666"/>
      <c r="AZ70" s="666"/>
      <c r="BA70" s="666"/>
      <c r="BB70" s="666"/>
      <c r="BD70" s="666"/>
      <c r="BE70" s="666"/>
      <c r="BG70" s="666"/>
      <c r="BI70" s="666"/>
      <c r="BJ70" s="666"/>
      <c r="BK70" s="666"/>
    </row>
    <row r="71" spans="1:63" ht="12.75" x14ac:dyDescent="0.2">
      <c r="A71" s="288">
        <v>64</v>
      </c>
      <c r="B71" s="290" t="s">
        <v>5</v>
      </c>
      <c r="C71" s="279" t="s">
        <v>6</v>
      </c>
      <c r="D71" s="955">
        <v>89783</v>
      </c>
      <c r="E71" s="843">
        <v>81672572</v>
      </c>
      <c r="F71" s="873">
        <v>38983637</v>
      </c>
      <c r="G71" s="873">
        <v>-482630</v>
      </c>
      <c r="H71" s="873">
        <v>831448</v>
      </c>
      <c r="I71" s="873">
        <v>348818</v>
      </c>
      <c r="J71" s="873">
        <v>-1767648</v>
      </c>
      <c r="K71" s="873">
        <v>0</v>
      </c>
      <c r="L71" s="873">
        <v>-530</v>
      </c>
      <c r="M71" s="873">
        <v>-96664</v>
      </c>
      <c r="N71" s="873">
        <v>-852620</v>
      </c>
      <c r="O71" s="873">
        <v>0</v>
      </c>
      <c r="P71" s="873">
        <v>-12381</v>
      </c>
      <c r="Q71" s="873">
        <v>0</v>
      </c>
      <c r="R71" s="873">
        <v>-531</v>
      </c>
      <c r="S71" s="873">
        <v>0</v>
      </c>
      <c r="T71" s="873">
        <v>0</v>
      </c>
      <c r="U71" s="873">
        <v>0</v>
      </c>
      <c r="V71" s="873">
        <v>0</v>
      </c>
      <c r="W71" s="873">
        <v>0</v>
      </c>
      <c r="X71" s="873">
        <v>-47807</v>
      </c>
      <c r="Y71" s="873">
        <v>-150000</v>
      </c>
      <c r="Z71" s="873">
        <v>35239274</v>
      </c>
      <c r="AA71" s="873">
        <v>-350038</v>
      </c>
      <c r="AB71" s="874"/>
      <c r="AC71" s="873">
        <v>86</v>
      </c>
      <c r="AD71" s="873">
        <v>0</v>
      </c>
      <c r="AE71" s="873">
        <v>1</v>
      </c>
      <c r="AF71" s="873">
        <v>0</v>
      </c>
      <c r="AG71" s="873">
        <v>97</v>
      </c>
      <c r="AH71" s="873">
        <v>1</v>
      </c>
      <c r="AI71" s="873">
        <v>1</v>
      </c>
      <c r="AJ71" s="873">
        <v>0</v>
      </c>
      <c r="AK71" s="873">
        <v>1</v>
      </c>
      <c r="AL71" s="873">
        <v>1</v>
      </c>
      <c r="AM71" s="873">
        <v>0</v>
      </c>
      <c r="AN71" s="873">
        <v>0</v>
      </c>
      <c r="AO71" s="873">
        <v>803</v>
      </c>
      <c r="AP71" s="873">
        <v>593</v>
      </c>
      <c r="AQ71" s="873">
        <v>411</v>
      </c>
      <c r="AR71" s="873">
        <v>182</v>
      </c>
      <c r="AS71" s="873">
        <v>351</v>
      </c>
      <c r="AT71" s="843">
        <v>1848</v>
      </c>
      <c r="AU71" s="663"/>
      <c r="AV71" s="663"/>
      <c r="AX71" s="666"/>
      <c r="AY71" s="666"/>
      <c r="AZ71" s="666"/>
      <c r="BA71" s="666"/>
      <c r="BB71" s="666"/>
      <c r="BD71" s="666"/>
      <c r="BE71" s="666"/>
      <c r="BG71" s="666"/>
      <c r="BI71" s="666"/>
      <c r="BJ71" s="666"/>
      <c r="BK71" s="666"/>
    </row>
    <row r="72" spans="1:63" ht="12.75" x14ac:dyDescent="0.2">
      <c r="A72" s="288">
        <v>65</v>
      </c>
      <c r="B72" s="290" t="s">
        <v>7</v>
      </c>
      <c r="C72" s="279" t="s">
        <v>8</v>
      </c>
      <c r="D72" s="955">
        <v>1124554</v>
      </c>
      <c r="E72" s="843">
        <v>427894527</v>
      </c>
      <c r="F72" s="873">
        <v>205318161</v>
      </c>
      <c r="G72" s="873">
        <v>-22751914</v>
      </c>
      <c r="H72" s="873">
        <v>4031709</v>
      </c>
      <c r="I72" s="873">
        <v>-18720205</v>
      </c>
      <c r="J72" s="873">
        <v>-15753600</v>
      </c>
      <c r="K72" s="873">
        <v>-218395</v>
      </c>
      <c r="L72" s="873">
        <v>-211246</v>
      </c>
      <c r="M72" s="873">
        <v>-7000</v>
      </c>
      <c r="N72" s="873">
        <v>-3532818</v>
      </c>
      <c r="O72" s="873">
        <v>-1054239</v>
      </c>
      <c r="P72" s="873">
        <v>-500498</v>
      </c>
      <c r="Q72" s="873">
        <v>-6102</v>
      </c>
      <c r="R72" s="873">
        <v>-77108</v>
      </c>
      <c r="S72" s="873">
        <v>-16070</v>
      </c>
      <c r="T72" s="873">
        <v>-119667</v>
      </c>
      <c r="U72" s="873">
        <v>-119667</v>
      </c>
      <c r="V72" s="873">
        <v>0</v>
      </c>
      <c r="W72" s="873">
        <v>-48585</v>
      </c>
      <c r="X72" s="873">
        <v>-3936</v>
      </c>
      <c r="Y72" s="873">
        <v>-4503273</v>
      </c>
      <c r="Z72" s="873">
        <v>158158419</v>
      </c>
      <c r="AA72" s="873">
        <v>-8234000</v>
      </c>
      <c r="AB72" s="874"/>
      <c r="AC72" s="873">
        <v>1728</v>
      </c>
      <c r="AD72" s="873">
        <v>53</v>
      </c>
      <c r="AE72" s="873">
        <v>175</v>
      </c>
      <c r="AF72" s="873">
        <v>0</v>
      </c>
      <c r="AG72" s="873">
        <v>989</v>
      </c>
      <c r="AH72" s="873">
        <v>545</v>
      </c>
      <c r="AI72" s="873">
        <v>114</v>
      </c>
      <c r="AJ72" s="873">
        <v>18</v>
      </c>
      <c r="AK72" s="873">
        <v>69</v>
      </c>
      <c r="AL72" s="873">
        <v>6</v>
      </c>
      <c r="AM72" s="873">
        <v>7</v>
      </c>
      <c r="AN72" s="873">
        <v>0</v>
      </c>
      <c r="AO72" s="873">
        <v>7150</v>
      </c>
      <c r="AP72" s="873">
        <v>13379</v>
      </c>
      <c r="AQ72" s="873">
        <v>10453</v>
      </c>
      <c r="AR72" s="873">
        <v>2926</v>
      </c>
      <c r="AS72" s="873">
        <v>8349</v>
      </c>
      <c r="AT72" s="843">
        <v>29416</v>
      </c>
      <c r="AU72" s="663"/>
      <c r="AV72" s="663"/>
      <c r="AX72" s="666"/>
      <c r="AY72" s="666"/>
      <c r="AZ72" s="666"/>
      <c r="BA72" s="666"/>
      <c r="BB72" s="666"/>
      <c r="BD72" s="666"/>
      <c r="BE72" s="666"/>
      <c r="BG72" s="666"/>
      <c r="BI72" s="666"/>
      <c r="BJ72" s="666"/>
      <c r="BK72" s="666"/>
    </row>
    <row r="73" spans="1:63" ht="12.75" x14ac:dyDescent="0.2">
      <c r="A73" s="288">
        <v>66</v>
      </c>
      <c r="B73" s="290" t="s">
        <v>9</v>
      </c>
      <c r="C73" s="279" t="s">
        <v>10</v>
      </c>
      <c r="D73" s="955">
        <v>178689</v>
      </c>
      <c r="E73" s="843">
        <v>76355199</v>
      </c>
      <c r="F73" s="873">
        <v>36634559</v>
      </c>
      <c r="G73" s="873">
        <v>-2812757</v>
      </c>
      <c r="H73" s="873">
        <v>733647</v>
      </c>
      <c r="I73" s="873">
        <v>-2079110</v>
      </c>
      <c r="J73" s="873">
        <v>-2060555</v>
      </c>
      <c r="K73" s="873">
        <v>-115510</v>
      </c>
      <c r="L73" s="873">
        <v>-32162</v>
      </c>
      <c r="M73" s="873">
        <v>0</v>
      </c>
      <c r="N73" s="873">
        <v>-891769</v>
      </c>
      <c r="O73" s="873">
        <v>-81234</v>
      </c>
      <c r="P73" s="873">
        <v>-10956</v>
      </c>
      <c r="Q73" s="873">
        <v>-78</v>
      </c>
      <c r="R73" s="873">
        <v>-4912</v>
      </c>
      <c r="S73" s="873">
        <v>0</v>
      </c>
      <c r="T73" s="873">
        <v>0</v>
      </c>
      <c r="U73" s="873">
        <v>0</v>
      </c>
      <c r="V73" s="873">
        <v>0</v>
      </c>
      <c r="W73" s="873">
        <v>-28000</v>
      </c>
      <c r="X73" s="873">
        <v>0</v>
      </c>
      <c r="Y73" s="873">
        <v>-833444</v>
      </c>
      <c r="Z73" s="873">
        <v>30496829</v>
      </c>
      <c r="AA73" s="873">
        <v>-184709</v>
      </c>
      <c r="AB73" s="874"/>
      <c r="AC73" s="873">
        <v>279</v>
      </c>
      <c r="AD73" s="873">
        <v>21</v>
      </c>
      <c r="AE73" s="873">
        <v>28</v>
      </c>
      <c r="AF73" s="873">
        <v>0</v>
      </c>
      <c r="AG73" s="873">
        <v>212</v>
      </c>
      <c r="AH73" s="873">
        <v>96</v>
      </c>
      <c r="AI73" s="873">
        <v>26</v>
      </c>
      <c r="AJ73" s="873">
        <v>1</v>
      </c>
      <c r="AK73" s="873">
        <v>8</v>
      </c>
      <c r="AL73" s="873">
        <v>0</v>
      </c>
      <c r="AM73" s="873">
        <v>0</v>
      </c>
      <c r="AN73" s="873">
        <v>0</v>
      </c>
      <c r="AO73" s="873">
        <v>1496</v>
      </c>
      <c r="AP73" s="873">
        <v>1584</v>
      </c>
      <c r="AQ73" s="873">
        <v>1035</v>
      </c>
      <c r="AR73" s="873">
        <v>549</v>
      </c>
      <c r="AS73" s="873">
        <v>1384</v>
      </c>
      <c r="AT73" s="843">
        <v>4489</v>
      </c>
      <c r="AU73" s="663"/>
      <c r="AV73" s="663"/>
      <c r="AX73" s="666"/>
      <c r="AY73" s="666"/>
      <c r="AZ73" s="666"/>
      <c r="BA73" s="666"/>
      <c r="BB73" s="666"/>
      <c r="BD73" s="666"/>
      <c r="BE73" s="666"/>
      <c r="BG73" s="666"/>
      <c r="BI73" s="666"/>
      <c r="BJ73" s="666"/>
      <c r="BK73" s="666"/>
    </row>
    <row r="74" spans="1:63" ht="12.75" x14ac:dyDescent="0.2">
      <c r="A74" s="288">
        <v>67</v>
      </c>
      <c r="B74" s="290" t="s">
        <v>11</v>
      </c>
      <c r="C74" s="279" t="s">
        <v>12</v>
      </c>
      <c r="D74" s="955">
        <v>379337</v>
      </c>
      <c r="E74" s="843">
        <v>297893392</v>
      </c>
      <c r="F74" s="873">
        <v>143082251</v>
      </c>
      <c r="G74" s="873">
        <v>-5228455</v>
      </c>
      <c r="H74" s="873">
        <v>3483450</v>
      </c>
      <c r="I74" s="873">
        <v>-1745005</v>
      </c>
      <c r="J74" s="873">
        <v>-12338023</v>
      </c>
      <c r="K74" s="873">
        <v>-86985</v>
      </c>
      <c r="L74" s="873">
        <v>0</v>
      </c>
      <c r="M74" s="873">
        <v>0</v>
      </c>
      <c r="N74" s="873">
        <v>-1911406</v>
      </c>
      <c r="O74" s="873">
        <v>-581986</v>
      </c>
      <c r="P74" s="873">
        <v>-270341</v>
      </c>
      <c r="Q74" s="873">
        <v>-21746</v>
      </c>
      <c r="R74" s="873">
        <v>0</v>
      </c>
      <c r="S74" s="873">
        <v>0</v>
      </c>
      <c r="T74" s="873">
        <v>0</v>
      </c>
      <c r="U74" s="873">
        <v>0</v>
      </c>
      <c r="V74" s="873">
        <v>0</v>
      </c>
      <c r="W74" s="873">
        <v>-33524</v>
      </c>
      <c r="X74" s="873">
        <v>0</v>
      </c>
      <c r="Y74" s="873">
        <v>-1093481</v>
      </c>
      <c r="Z74" s="873">
        <v>124999754</v>
      </c>
      <c r="AA74" s="873">
        <v>-5828138</v>
      </c>
      <c r="AB74" s="874"/>
      <c r="AC74" s="873">
        <v>378</v>
      </c>
      <c r="AD74" s="873">
        <v>7</v>
      </c>
      <c r="AE74" s="873">
        <v>0</v>
      </c>
      <c r="AF74" s="873">
        <v>0</v>
      </c>
      <c r="AG74" s="873">
        <v>477</v>
      </c>
      <c r="AH74" s="873">
        <v>154</v>
      </c>
      <c r="AI74" s="873">
        <v>33</v>
      </c>
      <c r="AJ74" s="873">
        <v>9</v>
      </c>
      <c r="AK74" s="873">
        <v>0</v>
      </c>
      <c r="AL74" s="873">
        <v>0</v>
      </c>
      <c r="AM74" s="873">
        <v>0</v>
      </c>
      <c r="AN74" s="873">
        <v>0</v>
      </c>
      <c r="AO74" s="873">
        <v>3201</v>
      </c>
      <c r="AP74" s="873">
        <v>2852</v>
      </c>
      <c r="AQ74" s="873">
        <v>2030</v>
      </c>
      <c r="AR74" s="873">
        <v>822</v>
      </c>
      <c r="AS74" s="873">
        <v>2159</v>
      </c>
      <c r="AT74" s="843">
        <v>8268</v>
      </c>
      <c r="AU74" s="663"/>
      <c r="AV74" s="663"/>
      <c r="AX74" s="666"/>
      <c r="AY74" s="666"/>
      <c r="AZ74" s="666"/>
      <c r="BA74" s="666"/>
      <c r="BB74" s="666"/>
      <c r="BD74" s="666"/>
      <c r="BE74" s="666"/>
      <c r="BG74" s="666"/>
      <c r="BI74" s="666"/>
      <c r="BJ74" s="666"/>
      <c r="BK74" s="666"/>
    </row>
    <row r="75" spans="1:63" ht="12.75" x14ac:dyDescent="0.2">
      <c r="A75" s="288">
        <v>68</v>
      </c>
      <c r="B75" s="290" t="s">
        <v>13</v>
      </c>
      <c r="C75" s="279" t="s">
        <v>14</v>
      </c>
      <c r="D75" s="955">
        <v>120297</v>
      </c>
      <c r="E75" s="843">
        <v>47376861</v>
      </c>
      <c r="F75" s="873">
        <v>22763973</v>
      </c>
      <c r="G75" s="873">
        <v>-2295000</v>
      </c>
      <c r="H75" s="873">
        <v>458779</v>
      </c>
      <c r="I75" s="873">
        <v>-1836221</v>
      </c>
      <c r="J75" s="873">
        <v>-1228018</v>
      </c>
      <c r="K75" s="873">
        <v>-28367</v>
      </c>
      <c r="L75" s="873">
        <v>-36069</v>
      </c>
      <c r="M75" s="873">
        <v>-22000</v>
      </c>
      <c r="N75" s="873">
        <v>-729000</v>
      </c>
      <c r="O75" s="873">
        <v>-23313</v>
      </c>
      <c r="P75" s="873">
        <v>-3629</v>
      </c>
      <c r="Q75" s="873">
        <v>0</v>
      </c>
      <c r="R75" s="873">
        <v>-30221</v>
      </c>
      <c r="S75" s="873">
        <v>0</v>
      </c>
      <c r="T75" s="873">
        <v>0</v>
      </c>
      <c r="U75" s="873">
        <v>0</v>
      </c>
      <c r="V75" s="873">
        <v>0</v>
      </c>
      <c r="W75" s="873">
        <v>-5497</v>
      </c>
      <c r="X75" s="873">
        <v>-30000</v>
      </c>
      <c r="Y75" s="873">
        <v>-600000</v>
      </c>
      <c r="Z75" s="873">
        <v>18191638</v>
      </c>
      <c r="AA75" s="873">
        <v>-317200</v>
      </c>
      <c r="AB75" s="874"/>
      <c r="AC75" s="873">
        <v>183</v>
      </c>
      <c r="AD75" s="873">
        <v>7</v>
      </c>
      <c r="AE75" s="873">
        <v>26</v>
      </c>
      <c r="AF75" s="873">
        <v>1</v>
      </c>
      <c r="AG75" s="873">
        <v>214</v>
      </c>
      <c r="AH75" s="873">
        <v>58</v>
      </c>
      <c r="AI75" s="873">
        <v>5</v>
      </c>
      <c r="AJ75" s="873">
        <v>0</v>
      </c>
      <c r="AK75" s="873">
        <v>23</v>
      </c>
      <c r="AL75" s="873">
        <v>0</v>
      </c>
      <c r="AM75" s="873">
        <v>0</v>
      </c>
      <c r="AN75" s="873">
        <v>0</v>
      </c>
      <c r="AO75" s="873">
        <v>940</v>
      </c>
      <c r="AP75" s="873">
        <v>1305</v>
      </c>
      <c r="AQ75" s="873">
        <v>975</v>
      </c>
      <c r="AR75" s="873">
        <v>330</v>
      </c>
      <c r="AS75" s="873">
        <v>890</v>
      </c>
      <c r="AT75" s="843">
        <v>3131</v>
      </c>
      <c r="AU75" s="663"/>
      <c r="AV75" s="663"/>
      <c r="AX75" s="666"/>
      <c r="AY75" s="666"/>
      <c r="AZ75" s="666"/>
      <c r="BA75" s="666"/>
      <c r="BB75" s="666"/>
      <c r="BD75" s="666"/>
      <c r="BE75" s="666"/>
      <c r="BG75" s="666"/>
      <c r="BI75" s="666"/>
      <c r="BJ75" s="666"/>
      <c r="BK75" s="666"/>
    </row>
    <row r="76" spans="1:63" ht="12.75" x14ac:dyDescent="0.2">
      <c r="A76" s="288">
        <v>69</v>
      </c>
      <c r="B76" s="290" t="s">
        <v>15</v>
      </c>
      <c r="C76" s="279" t="s">
        <v>16</v>
      </c>
      <c r="D76" s="955">
        <v>206882</v>
      </c>
      <c r="E76" s="843">
        <v>261141326</v>
      </c>
      <c r="F76" s="873">
        <v>125073856</v>
      </c>
      <c r="G76" s="873">
        <v>-742487</v>
      </c>
      <c r="H76" s="873">
        <v>3234143</v>
      </c>
      <c r="I76" s="873">
        <v>2491656</v>
      </c>
      <c r="J76" s="873">
        <v>-2723433</v>
      </c>
      <c r="K76" s="873">
        <v>-29024</v>
      </c>
      <c r="L76" s="873">
        <v>0</v>
      </c>
      <c r="M76" s="873">
        <v>-103023</v>
      </c>
      <c r="N76" s="873">
        <v>-3276981</v>
      </c>
      <c r="O76" s="873">
        <v>-287385</v>
      </c>
      <c r="P76" s="873">
        <v>-106006</v>
      </c>
      <c r="Q76" s="873">
        <v>-1682</v>
      </c>
      <c r="R76" s="873">
        <v>0</v>
      </c>
      <c r="S76" s="873">
        <v>0</v>
      </c>
      <c r="T76" s="873">
        <v>0</v>
      </c>
      <c r="U76" s="873">
        <v>0</v>
      </c>
      <c r="V76" s="873">
        <v>0</v>
      </c>
      <c r="W76" s="873">
        <v>0</v>
      </c>
      <c r="X76" s="873">
        <v>-11395</v>
      </c>
      <c r="Y76" s="873">
        <v>-360000</v>
      </c>
      <c r="Z76" s="873">
        <v>120734823</v>
      </c>
      <c r="AA76" s="873">
        <v>-1121381</v>
      </c>
      <c r="AB76" s="874"/>
      <c r="AC76" s="873">
        <v>113</v>
      </c>
      <c r="AD76" s="873">
        <v>14</v>
      </c>
      <c r="AE76" s="873">
        <v>0</v>
      </c>
      <c r="AF76" s="873">
        <v>0</v>
      </c>
      <c r="AG76" s="873">
        <v>346</v>
      </c>
      <c r="AH76" s="873">
        <v>68</v>
      </c>
      <c r="AI76" s="873">
        <v>11</v>
      </c>
      <c r="AJ76" s="873">
        <v>9</v>
      </c>
      <c r="AK76" s="873">
        <v>0</v>
      </c>
      <c r="AL76" s="873">
        <v>0</v>
      </c>
      <c r="AM76" s="873">
        <v>0</v>
      </c>
      <c r="AN76" s="873">
        <v>0</v>
      </c>
      <c r="AO76" s="873">
        <v>1751</v>
      </c>
      <c r="AP76" s="873">
        <v>392</v>
      </c>
      <c r="AQ76" s="873">
        <v>179</v>
      </c>
      <c r="AR76" s="873">
        <v>213</v>
      </c>
      <c r="AS76" s="873">
        <v>932</v>
      </c>
      <c r="AT76" s="843">
        <v>3042</v>
      </c>
      <c r="AU76" s="663"/>
      <c r="AV76" s="663"/>
      <c r="AX76" s="666"/>
      <c r="AY76" s="666"/>
      <c r="AZ76" s="666"/>
      <c r="BA76" s="666"/>
      <c r="BB76" s="666"/>
      <c r="BD76" s="666"/>
      <c r="BE76" s="666"/>
      <c r="BG76" s="666"/>
      <c r="BI76" s="666"/>
      <c r="BJ76" s="666"/>
      <c r="BK76" s="666"/>
    </row>
    <row r="77" spans="1:63" ht="12.75" x14ac:dyDescent="0.2">
      <c r="A77" s="288">
        <v>70</v>
      </c>
      <c r="B77" s="290" t="s">
        <v>17</v>
      </c>
      <c r="C77" s="279" t="s">
        <v>18</v>
      </c>
      <c r="D77" s="955">
        <v>426913</v>
      </c>
      <c r="E77" s="843">
        <v>286730133</v>
      </c>
      <c r="F77" s="873">
        <v>141289525</v>
      </c>
      <c r="G77" s="873">
        <v>-6032895</v>
      </c>
      <c r="H77" s="873">
        <v>2679942</v>
      </c>
      <c r="I77" s="873">
        <v>-3352953</v>
      </c>
      <c r="J77" s="873">
        <v>-9134515</v>
      </c>
      <c r="K77" s="873">
        <v>-123968</v>
      </c>
      <c r="L77" s="873">
        <v>0</v>
      </c>
      <c r="M77" s="873">
        <v>-96575</v>
      </c>
      <c r="N77" s="873">
        <v>-7126413</v>
      </c>
      <c r="O77" s="873">
        <v>-28822</v>
      </c>
      <c r="P77" s="873">
        <v>-58544</v>
      </c>
      <c r="Q77" s="873">
        <v>0</v>
      </c>
      <c r="R77" s="873">
        <v>0</v>
      </c>
      <c r="S77" s="873">
        <v>0</v>
      </c>
      <c r="T77" s="873">
        <v>0</v>
      </c>
      <c r="U77" s="873">
        <v>0</v>
      </c>
      <c r="V77" s="873">
        <v>0</v>
      </c>
      <c r="W77" s="873">
        <v>0</v>
      </c>
      <c r="X77" s="873">
        <v>-3215</v>
      </c>
      <c r="Y77" s="873">
        <v>-691382</v>
      </c>
      <c r="Z77" s="873">
        <v>120673138</v>
      </c>
      <c r="AA77" s="873">
        <v>-1966619</v>
      </c>
      <c r="AB77" s="874"/>
      <c r="AC77" s="873">
        <v>407</v>
      </c>
      <c r="AD77" s="873">
        <v>27</v>
      </c>
      <c r="AE77" s="873">
        <v>0</v>
      </c>
      <c r="AF77" s="873">
        <v>2</v>
      </c>
      <c r="AG77" s="873">
        <v>1264</v>
      </c>
      <c r="AH77" s="873">
        <v>15</v>
      </c>
      <c r="AI77" s="873">
        <v>59</v>
      </c>
      <c r="AJ77" s="873">
        <v>27</v>
      </c>
      <c r="AK77" s="873">
        <v>0</v>
      </c>
      <c r="AL77" s="873">
        <v>0</v>
      </c>
      <c r="AM77" s="873">
        <v>0</v>
      </c>
      <c r="AN77" s="873">
        <v>0</v>
      </c>
      <c r="AO77" s="873">
        <v>1734</v>
      </c>
      <c r="AP77" s="873">
        <v>2928</v>
      </c>
      <c r="AQ77" s="873">
        <v>1681</v>
      </c>
      <c r="AR77" s="873">
        <v>1247</v>
      </c>
      <c r="AS77" s="873">
        <v>4325</v>
      </c>
      <c r="AT77" s="843">
        <v>9048</v>
      </c>
      <c r="AU77" s="663"/>
      <c r="AV77" s="663"/>
      <c r="AX77" s="666"/>
      <c r="AY77" s="666"/>
      <c r="AZ77" s="666"/>
      <c r="BA77" s="666"/>
      <c r="BB77" s="666"/>
      <c r="BD77" s="666"/>
      <c r="BE77" s="666"/>
      <c r="BG77" s="666"/>
      <c r="BI77" s="666"/>
      <c r="BJ77" s="666"/>
      <c r="BK77" s="666"/>
    </row>
    <row r="78" spans="1:63" ht="12.75" x14ac:dyDescent="0.2">
      <c r="A78" s="288">
        <v>71</v>
      </c>
      <c r="B78" s="290" t="s">
        <v>19</v>
      </c>
      <c r="C78" s="279" t="s">
        <v>21</v>
      </c>
      <c r="D78" s="955">
        <v>217273</v>
      </c>
      <c r="E78" s="843">
        <v>151095288</v>
      </c>
      <c r="F78" s="873">
        <v>70397323</v>
      </c>
      <c r="G78" s="873">
        <v>-2184668</v>
      </c>
      <c r="H78" s="873">
        <v>1076955</v>
      </c>
      <c r="I78" s="873">
        <v>-1107713</v>
      </c>
      <c r="J78" s="873">
        <v>-3899549</v>
      </c>
      <c r="K78" s="873">
        <v>-80389</v>
      </c>
      <c r="L78" s="873">
        <v>-4092</v>
      </c>
      <c r="M78" s="873">
        <v>0</v>
      </c>
      <c r="N78" s="873">
        <v>-1227985</v>
      </c>
      <c r="O78" s="873">
        <v>-235622</v>
      </c>
      <c r="P78" s="873">
        <v>0</v>
      </c>
      <c r="Q78" s="873">
        <v>-950</v>
      </c>
      <c r="R78" s="873">
        <v>0</v>
      </c>
      <c r="S78" s="873">
        <v>-1991</v>
      </c>
      <c r="T78" s="873">
        <v>0</v>
      </c>
      <c r="U78" s="873">
        <v>0</v>
      </c>
      <c r="V78" s="873">
        <v>0</v>
      </c>
      <c r="W78" s="873">
        <v>0</v>
      </c>
      <c r="X78" s="873">
        <v>-14297</v>
      </c>
      <c r="Y78" s="873">
        <v>-740249</v>
      </c>
      <c r="Z78" s="873">
        <v>63084486</v>
      </c>
      <c r="AA78" s="873">
        <v>-2183000</v>
      </c>
      <c r="AB78" s="874"/>
      <c r="AC78" s="873">
        <v>231</v>
      </c>
      <c r="AD78" s="873">
        <v>20</v>
      </c>
      <c r="AE78" s="873">
        <v>2</v>
      </c>
      <c r="AF78" s="873">
        <v>0</v>
      </c>
      <c r="AG78" s="873">
        <v>584</v>
      </c>
      <c r="AH78" s="873">
        <v>103</v>
      </c>
      <c r="AI78" s="873">
        <v>3</v>
      </c>
      <c r="AJ78" s="873">
        <v>5</v>
      </c>
      <c r="AK78" s="873">
        <v>0</v>
      </c>
      <c r="AL78" s="873">
        <v>1</v>
      </c>
      <c r="AM78" s="873">
        <v>0</v>
      </c>
      <c r="AN78" s="873">
        <v>0</v>
      </c>
      <c r="AO78" s="873">
        <v>2111</v>
      </c>
      <c r="AP78" s="873">
        <v>1215</v>
      </c>
      <c r="AQ78" s="873">
        <v>657</v>
      </c>
      <c r="AR78" s="873">
        <v>558</v>
      </c>
      <c r="AS78" s="873">
        <v>1256</v>
      </c>
      <c r="AT78" s="843">
        <v>4523</v>
      </c>
      <c r="AU78" s="663"/>
      <c r="AV78" s="663"/>
      <c r="AX78" s="666"/>
      <c r="AY78" s="666"/>
      <c r="AZ78" s="666"/>
      <c r="BA78" s="666"/>
      <c r="BB78" s="666"/>
      <c r="BD78" s="666"/>
      <c r="BE78" s="666"/>
      <c r="BG78" s="666"/>
      <c r="BI78" s="666"/>
      <c r="BJ78" s="666"/>
      <c r="BK78" s="666"/>
    </row>
    <row r="79" spans="1:63" ht="12.75" x14ac:dyDescent="0.2">
      <c r="A79" s="288">
        <v>72</v>
      </c>
      <c r="B79" s="290" t="s">
        <v>22</v>
      </c>
      <c r="C79" s="279" t="s">
        <v>23</v>
      </c>
      <c r="D79" s="955">
        <v>147463</v>
      </c>
      <c r="E79" s="843">
        <v>85940584</v>
      </c>
      <c r="F79" s="873">
        <v>41461348</v>
      </c>
      <c r="G79" s="873">
        <v>-2227122</v>
      </c>
      <c r="H79" s="873">
        <v>940190</v>
      </c>
      <c r="I79" s="873">
        <v>-1286932</v>
      </c>
      <c r="J79" s="873">
        <v>-2561585</v>
      </c>
      <c r="K79" s="873">
        <v>-53840</v>
      </c>
      <c r="L79" s="873">
        <v>-4215</v>
      </c>
      <c r="M79" s="873">
        <v>0</v>
      </c>
      <c r="N79" s="873">
        <v>-850302</v>
      </c>
      <c r="O79" s="873">
        <v>-38631</v>
      </c>
      <c r="P79" s="873">
        <v>0</v>
      </c>
      <c r="Q79" s="873">
        <v>0</v>
      </c>
      <c r="R79" s="873">
        <v>0</v>
      </c>
      <c r="S79" s="873">
        <v>0</v>
      </c>
      <c r="T79" s="873">
        <v>0</v>
      </c>
      <c r="U79" s="873">
        <v>0</v>
      </c>
      <c r="V79" s="873">
        <v>0</v>
      </c>
      <c r="W79" s="873">
        <v>0</v>
      </c>
      <c r="X79" s="873">
        <v>-19403</v>
      </c>
      <c r="Y79" s="873">
        <v>-488949</v>
      </c>
      <c r="Z79" s="873">
        <v>36157491</v>
      </c>
      <c r="AA79" s="873">
        <v>-310000</v>
      </c>
      <c r="AB79" s="874"/>
      <c r="AC79" s="873">
        <v>159</v>
      </c>
      <c r="AD79" s="873">
        <v>8</v>
      </c>
      <c r="AE79" s="873">
        <v>4</v>
      </c>
      <c r="AF79" s="873">
        <v>0</v>
      </c>
      <c r="AG79" s="873">
        <v>464</v>
      </c>
      <c r="AH79" s="873">
        <v>48</v>
      </c>
      <c r="AI79" s="873">
        <v>0</v>
      </c>
      <c r="AJ79" s="873">
        <v>0</v>
      </c>
      <c r="AK79" s="873">
        <v>0</v>
      </c>
      <c r="AL79" s="873">
        <v>0</v>
      </c>
      <c r="AM79" s="873">
        <v>0</v>
      </c>
      <c r="AN79" s="873">
        <v>0</v>
      </c>
      <c r="AO79" s="873">
        <v>2202</v>
      </c>
      <c r="AP79" s="873">
        <v>1267</v>
      </c>
      <c r="AQ79" s="873">
        <v>870</v>
      </c>
      <c r="AR79" s="873">
        <v>397</v>
      </c>
      <c r="AS79" s="873">
        <v>46</v>
      </c>
      <c r="AT79" s="843">
        <v>3565</v>
      </c>
      <c r="AU79" s="663"/>
      <c r="AV79" s="663"/>
      <c r="AX79" s="666"/>
      <c r="AY79" s="666"/>
      <c r="AZ79" s="666"/>
      <c r="BA79" s="666"/>
      <c r="BB79" s="666"/>
      <c r="BD79" s="666"/>
      <c r="BE79" s="666"/>
      <c r="BG79" s="666"/>
      <c r="BI79" s="666"/>
      <c r="BJ79" s="666"/>
      <c r="BK79" s="666"/>
    </row>
    <row r="80" spans="1:63" ht="12.75" x14ac:dyDescent="0.2">
      <c r="A80" s="288">
        <v>73</v>
      </c>
      <c r="B80" s="290" t="s">
        <v>24</v>
      </c>
      <c r="C80" s="279" t="s">
        <v>25</v>
      </c>
      <c r="D80" s="955">
        <v>175625</v>
      </c>
      <c r="E80" s="843">
        <v>195145221</v>
      </c>
      <c r="F80" s="873">
        <v>90767369</v>
      </c>
      <c r="G80" s="873">
        <v>-1476921</v>
      </c>
      <c r="H80" s="873">
        <v>2427949</v>
      </c>
      <c r="I80" s="873">
        <v>951028</v>
      </c>
      <c r="J80" s="873">
        <v>-2616133</v>
      </c>
      <c r="K80" s="873">
        <v>-51836</v>
      </c>
      <c r="L80" s="873">
        <v>0</v>
      </c>
      <c r="M80" s="873">
        <v>0</v>
      </c>
      <c r="N80" s="873">
        <v>-1997845</v>
      </c>
      <c r="O80" s="873">
        <v>-41608</v>
      </c>
      <c r="P80" s="873">
        <v>-1211</v>
      </c>
      <c r="Q80" s="873">
        <v>-7987</v>
      </c>
      <c r="R80" s="873">
        <v>0</v>
      </c>
      <c r="S80" s="873">
        <v>-2509</v>
      </c>
      <c r="T80" s="873">
        <v>-2500</v>
      </c>
      <c r="U80" s="873">
        <v>0</v>
      </c>
      <c r="V80" s="873">
        <v>0</v>
      </c>
      <c r="W80" s="873">
        <v>0</v>
      </c>
      <c r="X80" s="873">
        <v>0</v>
      </c>
      <c r="Y80" s="873">
        <v>-238179</v>
      </c>
      <c r="Z80" s="873">
        <v>86458589</v>
      </c>
      <c r="AA80" s="873">
        <v>-1082231</v>
      </c>
      <c r="AB80" s="874"/>
      <c r="AC80" s="873">
        <v>109</v>
      </c>
      <c r="AD80" s="873">
        <v>6</v>
      </c>
      <c r="AE80" s="873">
        <v>0</v>
      </c>
      <c r="AF80" s="873">
        <v>0</v>
      </c>
      <c r="AG80" s="873">
        <v>369</v>
      </c>
      <c r="AH80" s="873">
        <v>49</v>
      </c>
      <c r="AI80" s="873">
        <v>2</v>
      </c>
      <c r="AJ80" s="873">
        <v>1</v>
      </c>
      <c r="AK80" s="873">
        <v>0</v>
      </c>
      <c r="AL80" s="873">
        <v>1</v>
      </c>
      <c r="AM80" s="873">
        <v>0</v>
      </c>
      <c r="AN80" s="873">
        <v>1</v>
      </c>
      <c r="AO80" s="873">
        <v>1473</v>
      </c>
      <c r="AP80" s="873">
        <v>734</v>
      </c>
      <c r="AQ80" s="873">
        <v>444</v>
      </c>
      <c r="AR80" s="873">
        <v>290</v>
      </c>
      <c r="AS80" s="873">
        <v>817</v>
      </c>
      <c r="AT80" s="843">
        <v>3031</v>
      </c>
      <c r="AU80" s="663"/>
      <c r="AV80" s="663"/>
      <c r="AX80" s="666"/>
      <c r="AY80" s="666"/>
      <c r="AZ80" s="666"/>
      <c r="BA80" s="666"/>
      <c r="BB80" s="666"/>
      <c r="BD80" s="666"/>
      <c r="BE80" s="666"/>
      <c r="BG80" s="666"/>
      <c r="BI80" s="666"/>
      <c r="BJ80" s="666"/>
      <c r="BK80" s="666"/>
    </row>
    <row r="81" spans="1:63" ht="12.75" x14ac:dyDescent="0.2">
      <c r="A81" s="288">
        <v>74</v>
      </c>
      <c r="B81" s="290" t="s">
        <v>26</v>
      </c>
      <c r="C81" s="279" t="s">
        <v>27</v>
      </c>
      <c r="D81" s="955">
        <v>118572</v>
      </c>
      <c r="E81" s="843">
        <v>94957977</v>
      </c>
      <c r="F81" s="873">
        <v>45378696</v>
      </c>
      <c r="G81" s="873">
        <v>-1570790</v>
      </c>
      <c r="H81" s="873">
        <v>1094984</v>
      </c>
      <c r="I81" s="873">
        <v>-475806</v>
      </c>
      <c r="J81" s="873">
        <v>-1764467</v>
      </c>
      <c r="K81" s="873">
        <v>-27578</v>
      </c>
      <c r="L81" s="873">
        <v>-42965</v>
      </c>
      <c r="M81" s="873">
        <v>0</v>
      </c>
      <c r="N81" s="873">
        <v>-1244258</v>
      </c>
      <c r="O81" s="873">
        <v>-39749</v>
      </c>
      <c r="P81" s="873">
        <v>-15738</v>
      </c>
      <c r="Q81" s="873">
        <v>-878</v>
      </c>
      <c r="R81" s="873">
        <v>-1085</v>
      </c>
      <c r="S81" s="873">
        <v>0</v>
      </c>
      <c r="T81" s="873">
        <v>0</v>
      </c>
      <c r="U81" s="873">
        <v>0</v>
      </c>
      <c r="V81" s="873">
        <v>0</v>
      </c>
      <c r="W81" s="873">
        <v>0</v>
      </c>
      <c r="X81" s="873">
        <v>0</v>
      </c>
      <c r="Y81" s="873">
        <v>-378352</v>
      </c>
      <c r="Z81" s="873">
        <v>41386820</v>
      </c>
      <c r="AA81" s="873">
        <v>0</v>
      </c>
      <c r="AB81" s="874"/>
      <c r="AC81" s="873">
        <v>155</v>
      </c>
      <c r="AD81" s="873">
        <v>5</v>
      </c>
      <c r="AE81" s="873">
        <v>32</v>
      </c>
      <c r="AF81" s="873">
        <v>0</v>
      </c>
      <c r="AG81" s="873">
        <v>210</v>
      </c>
      <c r="AH81" s="873">
        <v>91</v>
      </c>
      <c r="AI81" s="873">
        <v>11</v>
      </c>
      <c r="AJ81" s="873">
        <v>3</v>
      </c>
      <c r="AK81" s="873">
        <v>1</v>
      </c>
      <c r="AL81" s="873">
        <v>0</v>
      </c>
      <c r="AM81" s="873">
        <v>0</v>
      </c>
      <c r="AN81" s="873">
        <v>0</v>
      </c>
      <c r="AO81" s="873">
        <v>1050</v>
      </c>
      <c r="AP81" s="873">
        <v>810</v>
      </c>
      <c r="AQ81" s="873">
        <v>505</v>
      </c>
      <c r="AR81" s="873">
        <v>305</v>
      </c>
      <c r="AS81" s="873">
        <v>653</v>
      </c>
      <c r="AT81" s="843">
        <v>2567</v>
      </c>
      <c r="AU81" s="663"/>
      <c r="AV81" s="663"/>
      <c r="AX81" s="666"/>
      <c r="AY81" s="666"/>
      <c r="AZ81" s="666"/>
      <c r="BA81" s="666"/>
      <c r="BB81" s="666"/>
      <c r="BD81" s="666"/>
      <c r="BE81" s="666"/>
      <c r="BG81" s="666"/>
      <c r="BI81" s="666"/>
      <c r="BJ81" s="666"/>
      <c r="BK81" s="666"/>
    </row>
    <row r="82" spans="1:63" ht="12.75" x14ac:dyDescent="0.2">
      <c r="A82" s="288">
        <v>75</v>
      </c>
      <c r="B82" s="290" t="s">
        <v>28</v>
      </c>
      <c r="C82" s="279" t="s">
        <v>29</v>
      </c>
      <c r="D82" s="955">
        <v>319205</v>
      </c>
      <c r="E82" s="843">
        <v>215516242</v>
      </c>
      <c r="F82" s="873">
        <v>103526829</v>
      </c>
      <c r="G82" s="873">
        <v>-4018780</v>
      </c>
      <c r="H82" s="873">
        <v>2462939</v>
      </c>
      <c r="I82" s="873">
        <v>-1555841</v>
      </c>
      <c r="J82" s="873">
        <v>-5253349</v>
      </c>
      <c r="K82" s="873">
        <v>-28594</v>
      </c>
      <c r="L82" s="873">
        <v>0</v>
      </c>
      <c r="M82" s="873">
        <v>0</v>
      </c>
      <c r="N82" s="873">
        <v>-2354076</v>
      </c>
      <c r="O82" s="873">
        <v>-61083</v>
      </c>
      <c r="P82" s="873">
        <v>-155270</v>
      </c>
      <c r="Q82" s="873">
        <v>-7149</v>
      </c>
      <c r="R82" s="873">
        <v>0</v>
      </c>
      <c r="S82" s="873">
        <v>0</v>
      </c>
      <c r="T82" s="873">
        <v>0</v>
      </c>
      <c r="U82" s="873">
        <v>0</v>
      </c>
      <c r="V82" s="873">
        <v>0</v>
      </c>
      <c r="W82" s="873">
        <v>0</v>
      </c>
      <c r="X82" s="873">
        <v>-14026</v>
      </c>
      <c r="Y82" s="873">
        <v>-1288646</v>
      </c>
      <c r="Z82" s="873">
        <v>92808795</v>
      </c>
      <c r="AA82" s="873">
        <v>-3791239</v>
      </c>
      <c r="AB82" s="874"/>
      <c r="AC82" s="873">
        <v>322</v>
      </c>
      <c r="AD82" s="873">
        <v>2</v>
      </c>
      <c r="AE82" s="873">
        <v>0</v>
      </c>
      <c r="AF82" s="873">
        <v>0</v>
      </c>
      <c r="AG82" s="873">
        <v>727</v>
      </c>
      <c r="AH82" s="873">
        <v>60</v>
      </c>
      <c r="AI82" s="873">
        <v>32</v>
      </c>
      <c r="AJ82" s="873">
        <v>2</v>
      </c>
      <c r="AK82" s="873">
        <v>0</v>
      </c>
      <c r="AL82" s="873">
        <v>0</v>
      </c>
      <c r="AM82" s="873">
        <v>0</v>
      </c>
      <c r="AN82" s="873">
        <v>0</v>
      </c>
      <c r="AO82" s="873">
        <v>3233</v>
      </c>
      <c r="AP82" s="873">
        <v>2290</v>
      </c>
      <c r="AQ82" s="873">
        <v>1664</v>
      </c>
      <c r="AR82" s="873">
        <v>626</v>
      </c>
      <c r="AS82" s="873">
        <v>1772</v>
      </c>
      <c r="AT82" s="843">
        <v>7428</v>
      </c>
      <c r="AU82" s="663"/>
      <c r="AV82" s="663"/>
      <c r="AX82" s="666"/>
      <c r="AY82" s="666"/>
      <c r="AZ82" s="666"/>
      <c r="BA82" s="666"/>
      <c r="BB82" s="666"/>
      <c r="BD82" s="666"/>
      <c r="BE82" s="666"/>
      <c r="BG82" s="666"/>
      <c r="BI82" s="666"/>
      <c r="BJ82" s="666"/>
      <c r="BK82" s="666"/>
    </row>
    <row r="83" spans="1:63" ht="12.75" x14ac:dyDescent="0.2">
      <c r="A83" s="288">
        <v>76</v>
      </c>
      <c r="B83" s="290" t="s">
        <v>30</v>
      </c>
      <c r="C83" s="279" t="s">
        <v>31</v>
      </c>
      <c r="D83" s="955">
        <v>146145</v>
      </c>
      <c r="E83" s="843">
        <v>46817087</v>
      </c>
      <c r="F83" s="873">
        <v>22381632</v>
      </c>
      <c r="G83" s="873">
        <v>-2607638</v>
      </c>
      <c r="H83" s="873">
        <v>406998</v>
      </c>
      <c r="I83" s="873">
        <v>-2200640</v>
      </c>
      <c r="J83" s="873">
        <v>-1053386</v>
      </c>
      <c r="K83" s="873">
        <v>-44725</v>
      </c>
      <c r="L83" s="873">
        <v>-62174</v>
      </c>
      <c r="M83" s="873">
        <v>0</v>
      </c>
      <c r="N83" s="873">
        <v>-363142</v>
      </c>
      <c r="O83" s="873">
        <v>-112370</v>
      </c>
      <c r="P83" s="873">
        <v>-129587</v>
      </c>
      <c r="Q83" s="873">
        <v>-4033</v>
      </c>
      <c r="R83" s="873">
        <v>-62173</v>
      </c>
      <c r="S83" s="873">
        <v>-9336</v>
      </c>
      <c r="T83" s="873">
        <v>0</v>
      </c>
      <c r="U83" s="873">
        <v>0</v>
      </c>
      <c r="V83" s="873">
        <v>0</v>
      </c>
      <c r="W83" s="873">
        <v>0</v>
      </c>
      <c r="X83" s="873">
        <v>0</v>
      </c>
      <c r="Y83" s="873">
        <v>-757338</v>
      </c>
      <c r="Z83" s="873">
        <v>17582188</v>
      </c>
      <c r="AA83" s="873">
        <v>-43740</v>
      </c>
      <c r="AB83" s="874"/>
      <c r="AC83" s="873">
        <v>206</v>
      </c>
      <c r="AD83" s="873">
        <v>5</v>
      </c>
      <c r="AE83" s="873">
        <v>56</v>
      </c>
      <c r="AF83" s="873">
        <v>0</v>
      </c>
      <c r="AG83" s="873">
        <v>213</v>
      </c>
      <c r="AH83" s="873">
        <v>149</v>
      </c>
      <c r="AI83" s="873">
        <v>63</v>
      </c>
      <c r="AJ83" s="873">
        <v>3</v>
      </c>
      <c r="AK83" s="873">
        <v>56</v>
      </c>
      <c r="AL83" s="873">
        <v>6</v>
      </c>
      <c r="AM83" s="873">
        <v>0</v>
      </c>
      <c r="AN83" s="873">
        <v>0</v>
      </c>
      <c r="AO83" s="873">
        <v>1015</v>
      </c>
      <c r="AP83" s="873">
        <v>1681</v>
      </c>
      <c r="AQ83" s="873">
        <v>1315</v>
      </c>
      <c r="AR83" s="873">
        <v>366</v>
      </c>
      <c r="AS83" s="873">
        <v>1200</v>
      </c>
      <c r="AT83" s="843">
        <v>3909</v>
      </c>
      <c r="AU83" s="663"/>
      <c r="AV83" s="663"/>
      <c r="AX83" s="666"/>
      <c r="AY83" s="666"/>
      <c r="AZ83" s="666"/>
      <c r="BA83" s="666"/>
      <c r="BB83" s="666"/>
      <c r="BD83" s="666"/>
      <c r="BE83" s="666"/>
      <c r="BG83" s="666"/>
      <c r="BI83" s="666"/>
      <c r="BJ83" s="666"/>
      <c r="BK83" s="666"/>
    </row>
    <row r="84" spans="1:63" ht="12.75" x14ac:dyDescent="0.2">
      <c r="A84" s="288">
        <v>77</v>
      </c>
      <c r="B84" s="290" t="s">
        <v>32</v>
      </c>
      <c r="C84" s="279" t="s">
        <v>33</v>
      </c>
      <c r="D84" s="955">
        <v>373751</v>
      </c>
      <c r="E84" s="843">
        <v>229008872</v>
      </c>
      <c r="F84" s="873">
        <v>111084520</v>
      </c>
      <c r="G84" s="873">
        <v>-5985737</v>
      </c>
      <c r="H84" s="873">
        <v>2547099</v>
      </c>
      <c r="I84" s="873">
        <v>-3438638</v>
      </c>
      <c r="J84" s="873">
        <v>-5432605</v>
      </c>
      <c r="K84" s="873">
        <v>-29757</v>
      </c>
      <c r="L84" s="873">
        <v>-11561</v>
      </c>
      <c r="M84" s="873">
        <v>-100000</v>
      </c>
      <c r="N84" s="873">
        <v>-2532990</v>
      </c>
      <c r="O84" s="873">
        <v>-268753</v>
      </c>
      <c r="P84" s="873">
        <v>-101377</v>
      </c>
      <c r="Q84" s="873">
        <v>0</v>
      </c>
      <c r="R84" s="873">
        <v>0</v>
      </c>
      <c r="S84" s="873">
        <v>0</v>
      </c>
      <c r="T84" s="873">
        <v>0</v>
      </c>
      <c r="U84" s="873">
        <v>0</v>
      </c>
      <c r="V84" s="873">
        <v>0</v>
      </c>
      <c r="W84" s="873">
        <v>0</v>
      </c>
      <c r="X84" s="873">
        <v>-171251</v>
      </c>
      <c r="Y84" s="873">
        <v>-1039546</v>
      </c>
      <c r="Z84" s="873">
        <v>97479832</v>
      </c>
      <c r="AA84" s="873">
        <v>-1971594</v>
      </c>
      <c r="AB84" s="874"/>
      <c r="AC84" s="873">
        <v>355</v>
      </c>
      <c r="AD84" s="873">
        <v>11</v>
      </c>
      <c r="AE84" s="873">
        <v>11</v>
      </c>
      <c r="AF84" s="873">
        <v>0</v>
      </c>
      <c r="AG84" s="873">
        <v>1206</v>
      </c>
      <c r="AH84" s="873">
        <v>88</v>
      </c>
      <c r="AI84" s="873">
        <v>24</v>
      </c>
      <c r="AJ84" s="873">
        <v>0</v>
      </c>
      <c r="AK84" s="873">
        <v>0</v>
      </c>
      <c r="AL84" s="873">
        <v>0</v>
      </c>
      <c r="AM84" s="873">
        <v>0</v>
      </c>
      <c r="AN84" s="873">
        <v>0</v>
      </c>
      <c r="AO84" s="873">
        <v>3155</v>
      </c>
      <c r="AP84" s="873">
        <v>3508</v>
      </c>
      <c r="AQ84" s="873">
        <v>2666</v>
      </c>
      <c r="AR84" s="873">
        <v>842</v>
      </c>
      <c r="AS84" s="873">
        <v>2239</v>
      </c>
      <c r="AT84" s="843">
        <v>8926</v>
      </c>
      <c r="AU84" s="663"/>
      <c r="AV84" s="663"/>
      <c r="AX84" s="666"/>
      <c r="AY84" s="666"/>
      <c r="AZ84" s="666"/>
      <c r="BA84" s="666"/>
      <c r="BB84" s="666"/>
      <c r="BD84" s="666"/>
      <c r="BE84" s="666"/>
      <c r="BG84" s="666"/>
      <c r="BI84" s="666"/>
      <c r="BJ84" s="666"/>
      <c r="BK84" s="666"/>
    </row>
    <row r="85" spans="1:63" ht="12.75" x14ac:dyDescent="0.2">
      <c r="A85" s="288">
        <v>78</v>
      </c>
      <c r="B85" s="290" t="s">
        <v>46</v>
      </c>
      <c r="C85" s="279" t="s">
        <v>47</v>
      </c>
      <c r="D85" s="955">
        <v>157828</v>
      </c>
      <c r="E85" s="843">
        <v>88482875</v>
      </c>
      <c r="F85" s="873">
        <v>43488971</v>
      </c>
      <c r="G85" s="873">
        <v>-2359741</v>
      </c>
      <c r="H85" s="873">
        <v>992552</v>
      </c>
      <c r="I85" s="873">
        <v>-1367189</v>
      </c>
      <c r="J85" s="873">
        <v>-2400604</v>
      </c>
      <c r="K85" s="873">
        <v>-54112</v>
      </c>
      <c r="L85" s="873">
        <v>-24989</v>
      </c>
      <c r="M85" s="873">
        <v>0</v>
      </c>
      <c r="N85" s="873">
        <v>-662560</v>
      </c>
      <c r="O85" s="873">
        <v>-139244</v>
      </c>
      <c r="P85" s="873">
        <v>-26675</v>
      </c>
      <c r="Q85" s="873">
        <v>0</v>
      </c>
      <c r="R85" s="873">
        <v>0</v>
      </c>
      <c r="S85" s="873">
        <v>0</v>
      </c>
      <c r="T85" s="873">
        <v>-2500050</v>
      </c>
      <c r="U85" s="873">
        <v>0</v>
      </c>
      <c r="V85" s="873">
        <v>-2500050</v>
      </c>
      <c r="W85" s="873">
        <v>0</v>
      </c>
      <c r="X85" s="873">
        <v>-6000</v>
      </c>
      <c r="Y85" s="873">
        <v>-700000</v>
      </c>
      <c r="Z85" s="873">
        <v>35403708</v>
      </c>
      <c r="AA85" s="873">
        <v>0</v>
      </c>
      <c r="AB85" s="874"/>
      <c r="AC85" s="873">
        <v>229</v>
      </c>
      <c r="AD85" s="873">
        <v>9</v>
      </c>
      <c r="AE85" s="873">
        <v>16</v>
      </c>
      <c r="AF85" s="873">
        <v>0</v>
      </c>
      <c r="AG85" s="873">
        <v>268</v>
      </c>
      <c r="AH85" s="873">
        <v>89</v>
      </c>
      <c r="AI85" s="873">
        <v>23</v>
      </c>
      <c r="AJ85" s="873">
        <v>0</v>
      </c>
      <c r="AK85" s="873">
        <v>0</v>
      </c>
      <c r="AL85" s="873">
        <v>0</v>
      </c>
      <c r="AM85" s="873">
        <v>138</v>
      </c>
      <c r="AN85" s="873">
        <v>0</v>
      </c>
      <c r="AO85" s="873">
        <v>1213</v>
      </c>
      <c r="AP85" s="873">
        <v>1377</v>
      </c>
      <c r="AQ85" s="873">
        <v>1009</v>
      </c>
      <c r="AR85" s="873">
        <v>368</v>
      </c>
      <c r="AS85" s="873">
        <v>1137</v>
      </c>
      <c r="AT85" s="843">
        <v>3818</v>
      </c>
      <c r="AU85" s="663"/>
      <c r="AV85" s="663"/>
      <c r="AX85" s="666"/>
      <c r="AY85" s="666"/>
      <c r="AZ85" s="666"/>
      <c r="BA85" s="666"/>
      <c r="BB85" s="666"/>
      <c r="BD85" s="666"/>
      <c r="BE85" s="666"/>
      <c r="BG85" s="666"/>
      <c r="BI85" s="666"/>
      <c r="BJ85" s="666"/>
      <c r="BK85" s="666"/>
    </row>
    <row r="86" spans="1:63" ht="12.75" x14ac:dyDescent="0.2">
      <c r="A86" s="288">
        <v>79</v>
      </c>
      <c r="B86" s="290" t="s">
        <v>48</v>
      </c>
      <c r="C86" s="279" t="s">
        <v>49</v>
      </c>
      <c r="D86" s="955">
        <v>427645</v>
      </c>
      <c r="E86" s="843">
        <v>241734743</v>
      </c>
      <c r="F86" s="873">
        <v>116292591</v>
      </c>
      <c r="G86" s="873">
        <v>-7000000</v>
      </c>
      <c r="H86" s="873">
        <v>2655653</v>
      </c>
      <c r="I86" s="873">
        <v>-4344347</v>
      </c>
      <c r="J86" s="873">
        <v>-4989481</v>
      </c>
      <c r="K86" s="873">
        <v>-26208</v>
      </c>
      <c r="L86" s="873">
        <v>0</v>
      </c>
      <c r="M86" s="873">
        <v>-100000</v>
      </c>
      <c r="N86" s="873">
        <v>-5715660</v>
      </c>
      <c r="O86" s="873">
        <v>-467006</v>
      </c>
      <c r="P86" s="873">
        <v>-94515</v>
      </c>
      <c r="Q86" s="873">
        <v>-6552</v>
      </c>
      <c r="R86" s="873">
        <v>0</v>
      </c>
      <c r="S86" s="873">
        <v>0</v>
      </c>
      <c r="T86" s="873">
        <v>-15000</v>
      </c>
      <c r="U86" s="873">
        <v>0</v>
      </c>
      <c r="V86" s="873">
        <v>0</v>
      </c>
      <c r="W86" s="873">
        <v>-100000</v>
      </c>
      <c r="X86" s="873">
        <v>-250000</v>
      </c>
      <c r="Y86" s="873">
        <v>-1649802</v>
      </c>
      <c r="Z86" s="873">
        <v>97066020</v>
      </c>
      <c r="AA86" s="873">
        <v>-3000000</v>
      </c>
      <c r="AB86" s="874"/>
      <c r="AC86" s="873">
        <v>362</v>
      </c>
      <c r="AD86" s="873">
        <v>11</v>
      </c>
      <c r="AE86" s="873">
        <v>0</v>
      </c>
      <c r="AF86" s="873">
        <v>11</v>
      </c>
      <c r="AG86" s="873">
        <v>2101</v>
      </c>
      <c r="AH86" s="873">
        <v>301</v>
      </c>
      <c r="AI86" s="873">
        <v>20</v>
      </c>
      <c r="AJ86" s="873">
        <v>11</v>
      </c>
      <c r="AK86" s="873">
        <v>0</v>
      </c>
      <c r="AL86" s="873">
        <v>0</v>
      </c>
      <c r="AM86" s="873">
        <v>0</v>
      </c>
      <c r="AN86" s="873">
        <v>2</v>
      </c>
      <c r="AO86" s="873">
        <v>4209</v>
      </c>
      <c r="AP86" s="873">
        <v>3526</v>
      </c>
      <c r="AQ86" s="873">
        <v>2378</v>
      </c>
      <c r="AR86" s="873">
        <v>1148</v>
      </c>
      <c r="AS86" s="873">
        <v>2480</v>
      </c>
      <c r="AT86" s="843">
        <v>10243</v>
      </c>
      <c r="AU86" s="663"/>
      <c r="AV86" s="663"/>
      <c r="AX86" s="666"/>
      <c r="AY86" s="666"/>
      <c r="AZ86" s="666"/>
      <c r="BA86" s="666"/>
      <c r="BB86" s="666"/>
      <c r="BD86" s="666"/>
      <c r="BE86" s="666"/>
      <c r="BG86" s="666"/>
      <c r="BI86" s="666"/>
      <c r="BJ86" s="666"/>
      <c r="BK86" s="666"/>
    </row>
    <row r="87" spans="1:63" ht="12.75" x14ac:dyDescent="0.2">
      <c r="A87" s="288">
        <v>80</v>
      </c>
      <c r="B87" s="290" t="s">
        <v>50</v>
      </c>
      <c r="C87" s="279" t="s">
        <v>51</v>
      </c>
      <c r="D87" s="955">
        <v>599673</v>
      </c>
      <c r="E87" s="843">
        <v>302792761</v>
      </c>
      <c r="F87" s="873">
        <v>144847272</v>
      </c>
      <c r="G87" s="873">
        <v>-9656577</v>
      </c>
      <c r="H87" s="873">
        <v>3259710</v>
      </c>
      <c r="I87" s="873">
        <v>-6396867</v>
      </c>
      <c r="J87" s="873">
        <v>-9829828</v>
      </c>
      <c r="K87" s="873">
        <v>-243889</v>
      </c>
      <c r="L87" s="873">
        <v>-90401</v>
      </c>
      <c r="M87" s="873">
        <v>-350831</v>
      </c>
      <c r="N87" s="873">
        <v>-2526228</v>
      </c>
      <c r="O87" s="873">
        <v>-457393</v>
      </c>
      <c r="P87" s="873">
        <v>-81401</v>
      </c>
      <c r="Q87" s="873">
        <v>0</v>
      </c>
      <c r="R87" s="873">
        <v>-63137</v>
      </c>
      <c r="S87" s="873">
        <v>-2101</v>
      </c>
      <c r="T87" s="873">
        <v>0</v>
      </c>
      <c r="U87" s="873">
        <v>0</v>
      </c>
      <c r="V87" s="873">
        <v>0</v>
      </c>
      <c r="W87" s="873">
        <v>-179293</v>
      </c>
      <c r="X87" s="873">
        <v>-5921</v>
      </c>
      <c r="Y87" s="873">
        <v>-1653326</v>
      </c>
      <c r="Z87" s="873">
        <v>117547771</v>
      </c>
      <c r="AA87" s="873">
        <v>-3339731</v>
      </c>
      <c r="AB87" s="874"/>
      <c r="AC87" s="873">
        <v>791</v>
      </c>
      <c r="AD87" s="873">
        <v>54</v>
      </c>
      <c r="AE87" s="873">
        <v>92</v>
      </c>
      <c r="AF87" s="873">
        <v>7</v>
      </c>
      <c r="AG87" s="873">
        <v>1032</v>
      </c>
      <c r="AH87" s="873">
        <v>421</v>
      </c>
      <c r="AI87" s="873">
        <v>24</v>
      </c>
      <c r="AJ87" s="873">
        <v>0</v>
      </c>
      <c r="AK87" s="873">
        <v>64</v>
      </c>
      <c r="AL87" s="873">
        <v>3</v>
      </c>
      <c r="AM87" s="873">
        <v>0</v>
      </c>
      <c r="AN87" s="873">
        <v>0</v>
      </c>
      <c r="AO87" s="873">
        <v>4808</v>
      </c>
      <c r="AP87" s="873">
        <v>6037</v>
      </c>
      <c r="AQ87" s="873">
        <v>4754</v>
      </c>
      <c r="AR87" s="873">
        <v>1283</v>
      </c>
      <c r="AS87" s="873">
        <v>4071</v>
      </c>
      <c r="AT87" s="843">
        <v>14955</v>
      </c>
      <c r="AU87" s="663"/>
      <c r="AV87" s="663"/>
      <c r="AX87" s="666"/>
      <c r="AY87" s="666"/>
      <c r="AZ87" s="666"/>
      <c r="BA87" s="666"/>
      <c r="BB87" s="666"/>
      <c r="BD87" s="666"/>
      <c r="BE87" s="666"/>
      <c r="BG87" s="666"/>
      <c r="BI87" s="666"/>
      <c r="BJ87" s="666"/>
      <c r="BK87" s="666"/>
    </row>
    <row r="88" spans="1:63" ht="12.75" x14ac:dyDescent="0.2">
      <c r="A88" s="288">
        <v>81</v>
      </c>
      <c r="B88" s="290" t="s">
        <v>52</v>
      </c>
      <c r="C88" s="279" t="s">
        <v>53</v>
      </c>
      <c r="D88" s="955">
        <v>490136</v>
      </c>
      <c r="E88" s="843">
        <v>349857628</v>
      </c>
      <c r="F88" s="873">
        <v>163434680</v>
      </c>
      <c r="G88" s="873">
        <v>-4596218</v>
      </c>
      <c r="H88" s="873">
        <v>3780595</v>
      </c>
      <c r="I88" s="873">
        <v>-815623</v>
      </c>
      <c r="J88" s="873">
        <v>-7520791</v>
      </c>
      <c r="K88" s="873">
        <v>-72743</v>
      </c>
      <c r="L88" s="873">
        <v>0</v>
      </c>
      <c r="M88" s="873">
        <v>-350000</v>
      </c>
      <c r="N88" s="873">
        <v>-5317441</v>
      </c>
      <c r="O88" s="873">
        <v>-90047</v>
      </c>
      <c r="P88" s="873">
        <v>-341260</v>
      </c>
      <c r="Q88" s="873">
        <v>0</v>
      </c>
      <c r="R88" s="873">
        <v>0</v>
      </c>
      <c r="S88" s="873">
        <v>0</v>
      </c>
      <c r="T88" s="873">
        <v>-20000</v>
      </c>
      <c r="U88" s="873">
        <v>0</v>
      </c>
      <c r="V88" s="873">
        <v>0</v>
      </c>
      <c r="W88" s="873">
        <v>-227388</v>
      </c>
      <c r="X88" s="873">
        <v>-58454</v>
      </c>
      <c r="Y88" s="873">
        <v>-2310786</v>
      </c>
      <c r="Z88" s="873">
        <v>143735147</v>
      </c>
      <c r="AA88" s="873">
        <v>-6052800</v>
      </c>
      <c r="AB88" s="874"/>
      <c r="AC88" s="873">
        <v>319</v>
      </c>
      <c r="AD88" s="873">
        <v>7</v>
      </c>
      <c r="AE88" s="873">
        <v>0</v>
      </c>
      <c r="AF88" s="873">
        <v>1</v>
      </c>
      <c r="AG88" s="873">
        <v>185</v>
      </c>
      <c r="AH88" s="873">
        <v>76</v>
      </c>
      <c r="AI88" s="873">
        <v>21</v>
      </c>
      <c r="AJ88" s="873">
        <v>0</v>
      </c>
      <c r="AK88" s="873">
        <v>0</v>
      </c>
      <c r="AL88" s="873">
        <v>0</v>
      </c>
      <c r="AM88" s="873">
        <v>0</v>
      </c>
      <c r="AN88" s="873">
        <v>0</v>
      </c>
      <c r="AO88" s="873">
        <v>3431</v>
      </c>
      <c r="AP88" s="873">
        <v>2362</v>
      </c>
      <c r="AQ88" s="873">
        <v>1050</v>
      </c>
      <c r="AR88" s="873">
        <v>1312</v>
      </c>
      <c r="AS88" s="873">
        <v>3943</v>
      </c>
      <c r="AT88" s="843">
        <v>9753</v>
      </c>
      <c r="AU88" s="663"/>
      <c r="AV88" s="663"/>
      <c r="AX88" s="666"/>
      <c r="AY88" s="666"/>
      <c r="AZ88" s="666"/>
      <c r="BA88" s="666"/>
      <c r="BB88" s="666"/>
      <c r="BD88" s="666"/>
      <c r="BE88" s="666"/>
      <c r="BG88" s="666"/>
      <c r="BI88" s="666"/>
      <c r="BJ88" s="666"/>
      <c r="BK88" s="666"/>
    </row>
    <row r="89" spans="1:63" ht="12.75" x14ac:dyDescent="0.2">
      <c r="A89" s="288">
        <v>82</v>
      </c>
      <c r="B89" s="290" t="s">
        <v>54</v>
      </c>
      <c r="C89" s="279" t="s">
        <v>55</v>
      </c>
      <c r="D89" s="955">
        <v>94023</v>
      </c>
      <c r="E89" s="843">
        <v>47236778</v>
      </c>
      <c r="F89" s="873">
        <v>22223661</v>
      </c>
      <c r="G89" s="873">
        <v>-1542985</v>
      </c>
      <c r="H89" s="873">
        <v>472951</v>
      </c>
      <c r="I89" s="873">
        <v>-1070034</v>
      </c>
      <c r="J89" s="873">
        <v>-1492372</v>
      </c>
      <c r="K89" s="873">
        <v>-49832</v>
      </c>
      <c r="L89" s="873">
        <v>-37185</v>
      </c>
      <c r="M89" s="873">
        <v>-6000</v>
      </c>
      <c r="N89" s="873">
        <v>-454157</v>
      </c>
      <c r="O89" s="873">
        <v>-42835</v>
      </c>
      <c r="P89" s="873">
        <v>-9764</v>
      </c>
      <c r="Q89" s="873">
        <v>-4869</v>
      </c>
      <c r="R89" s="873">
        <v>-7148</v>
      </c>
      <c r="S89" s="873">
        <v>0</v>
      </c>
      <c r="T89" s="873">
        <v>0</v>
      </c>
      <c r="U89" s="873">
        <v>0</v>
      </c>
      <c r="V89" s="873">
        <v>0</v>
      </c>
      <c r="W89" s="873">
        <v>0</v>
      </c>
      <c r="X89" s="873">
        <v>0</v>
      </c>
      <c r="Y89" s="873">
        <v>-354282</v>
      </c>
      <c r="Z89" s="873">
        <v>18695183</v>
      </c>
      <c r="AA89" s="873">
        <v>-239814</v>
      </c>
      <c r="AB89" s="874"/>
      <c r="AC89" s="873">
        <v>129</v>
      </c>
      <c r="AD89" s="873">
        <v>8</v>
      </c>
      <c r="AE89" s="873">
        <v>21</v>
      </c>
      <c r="AF89" s="873">
        <v>0</v>
      </c>
      <c r="AG89" s="873">
        <v>162</v>
      </c>
      <c r="AH89" s="873">
        <v>56</v>
      </c>
      <c r="AI89" s="873">
        <v>7</v>
      </c>
      <c r="AJ89" s="873">
        <v>7</v>
      </c>
      <c r="AK89" s="873">
        <v>6</v>
      </c>
      <c r="AL89" s="873">
        <v>0</v>
      </c>
      <c r="AM89" s="873">
        <v>0</v>
      </c>
      <c r="AN89" s="873">
        <v>0</v>
      </c>
      <c r="AO89" s="873">
        <v>753</v>
      </c>
      <c r="AP89" s="873">
        <v>862</v>
      </c>
      <c r="AQ89" s="873">
        <v>569</v>
      </c>
      <c r="AR89" s="873">
        <v>293</v>
      </c>
      <c r="AS89" s="873">
        <v>602</v>
      </c>
      <c r="AT89" s="843">
        <v>2255</v>
      </c>
      <c r="AU89" s="663"/>
      <c r="AV89" s="663"/>
      <c r="AX89" s="666"/>
      <c r="AY89" s="666"/>
      <c r="AZ89" s="666"/>
      <c r="BA89" s="666"/>
      <c r="BB89" s="666"/>
      <c r="BD89" s="666"/>
      <c r="BE89" s="666"/>
      <c r="BG89" s="666"/>
      <c r="BI89" s="666"/>
      <c r="BJ89" s="666"/>
      <c r="BK89" s="666"/>
    </row>
    <row r="90" spans="1:63" ht="12.75" x14ac:dyDescent="0.2">
      <c r="A90" s="288">
        <v>83</v>
      </c>
      <c r="B90" s="290" t="s">
        <v>56</v>
      </c>
      <c r="C90" s="279" t="s">
        <v>57</v>
      </c>
      <c r="D90" s="955">
        <v>227426</v>
      </c>
      <c r="E90" s="843">
        <v>86432552</v>
      </c>
      <c r="F90" s="873">
        <v>41386531</v>
      </c>
      <c r="G90" s="873">
        <v>-4226737</v>
      </c>
      <c r="H90" s="873">
        <v>813387</v>
      </c>
      <c r="I90" s="873">
        <v>-3413350</v>
      </c>
      <c r="J90" s="873">
        <v>-2039411</v>
      </c>
      <c r="K90" s="873">
        <v>-377194</v>
      </c>
      <c r="L90" s="873">
        <v>-40056</v>
      </c>
      <c r="M90" s="873">
        <v>0</v>
      </c>
      <c r="N90" s="873">
        <v>-750000</v>
      </c>
      <c r="O90" s="873">
        <v>-102067</v>
      </c>
      <c r="P90" s="873">
        <v>-7048</v>
      </c>
      <c r="Q90" s="873">
        <v>-73491</v>
      </c>
      <c r="R90" s="873">
        <v>-13108</v>
      </c>
      <c r="S90" s="873">
        <v>0</v>
      </c>
      <c r="T90" s="873">
        <v>-20000</v>
      </c>
      <c r="U90" s="873">
        <v>0</v>
      </c>
      <c r="V90" s="873">
        <v>0</v>
      </c>
      <c r="W90" s="873">
        <v>0</v>
      </c>
      <c r="X90" s="873">
        <v>-2400</v>
      </c>
      <c r="Y90" s="873">
        <v>-894228</v>
      </c>
      <c r="Z90" s="873">
        <v>33396678</v>
      </c>
      <c r="AA90" s="873">
        <v>-460234</v>
      </c>
      <c r="AB90" s="874"/>
      <c r="AC90" s="873">
        <v>389</v>
      </c>
      <c r="AD90" s="873">
        <v>47</v>
      </c>
      <c r="AE90" s="873">
        <v>34</v>
      </c>
      <c r="AF90" s="873">
        <v>0</v>
      </c>
      <c r="AG90" s="873">
        <v>393</v>
      </c>
      <c r="AH90" s="873">
        <v>225</v>
      </c>
      <c r="AI90" s="873">
        <v>6</v>
      </c>
      <c r="AJ90" s="873">
        <v>44</v>
      </c>
      <c r="AK90" s="873">
        <v>17</v>
      </c>
      <c r="AL90" s="873">
        <v>0</v>
      </c>
      <c r="AM90" s="873">
        <v>0</v>
      </c>
      <c r="AN90" s="873">
        <v>0</v>
      </c>
      <c r="AO90" s="873">
        <v>1701</v>
      </c>
      <c r="AP90" s="873">
        <v>2494</v>
      </c>
      <c r="AQ90" s="873">
        <v>1798</v>
      </c>
      <c r="AR90" s="873">
        <v>696</v>
      </c>
      <c r="AS90" s="873">
        <v>1695</v>
      </c>
      <c r="AT90" s="843">
        <v>5950</v>
      </c>
      <c r="AU90" s="663"/>
      <c r="AV90" s="663"/>
      <c r="AX90" s="666"/>
      <c r="AY90" s="666"/>
      <c r="AZ90" s="666"/>
      <c r="BA90" s="666"/>
      <c r="BB90" s="666"/>
      <c r="BD90" s="666"/>
      <c r="BE90" s="666"/>
      <c r="BG90" s="666"/>
      <c r="BI90" s="666"/>
      <c r="BJ90" s="666"/>
      <c r="BK90" s="666"/>
    </row>
    <row r="91" spans="1:63" ht="12.75" x14ac:dyDescent="0.2">
      <c r="A91" s="288">
        <v>84</v>
      </c>
      <c r="B91" s="290" t="s">
        <v>58</v>
      </c>
      <c r="C91" s="279" t="s">
        <v>59</v>
      </c>
      <c r="D91" s="955">
        <v>109195</v>
      </c>
      <c r="E91" s="843">
        <v>54133271</v>
      </c>
      <c r="F91" s="873">
        <v>25557840</v>
      </c>
      <c r="G91" s="873">
        <v>-2020922</v>
      </c>
      <c r="H91" s="873">
        <v>539084</v>
      </c>
      <c r="I91" s="873">
        <v>-1481838</v>
      </c>
      <c r="J91" s="873">
        <v>-1112739</v>
      </c>
      <c r="K91" s="873">
        <v>-35529</v>
      </c>
      <c r="L91" s="873">
        <v>-14747</v>
      </c>
      <c r="M91" s="873">
        <v>0</v>
      </c>
      <c r="N91" s="873">
        <v>-439233</v>
      </c>
      <c r="O91" s="873">
        <v>-26548</v>
      </c>
      <c r="P91" s="873">
        <v>-2347</v>
      </c>
      <c r="Q91" s="873">
        <v>0</v>
      </c>
      <c r="R91" s="873">
        <v>-7708</v>
      </c>
      <c r="S91" s="873">
        <v>0</v>
      </c>
      <c r="T91" s="873">
        <v>0</v>
      </c>
      <c r="U91" s="873">
        <v>0</v>
      </c>
      <c r="V91" s="873">
        <v>0</v>
      </c>
      <c r="W91" s="873">
        <v>0</v>
      </c>
      <c r="X91" s="873">
        <v>0</v>
      </c>
      <c r="Y91" s="873">
        <v>-455321</v>
      </c>
      <c r="Z91" s="873">
        <v>21981830</v>
      </c>
      <c r="AA91" s="873">
        <v>-400000</v>
      </c>
      <c r="AB91" s="874"/>
      <c r="AC91" s="873">
        <v>146</v>
      </c>
      <c r="AD91" s="873">
        <v>13</v>
      </c>
      <c r="AE91" s="873">
        <v>12</v>
      </c>
      <c r="AF91" s="873">
        <v>0</v>
      </c>
      <c r="AG91" s="873">
        <v>81</v>
      </c>
      <c r="AH91" s="873">
        <v>59</v>
      </c>
      <c r="AI91" s="873">
        <v>2</v>
      </c>
      <c r="AJ91" s="873">
        <v>0</v>
      </c>
      <c r="AK91" s="873">
        <v>7</v>
      </c>
      <c r="AL91" s="873">
        <v>0</v>
      </c>
      <c r="AM91" s="873">
        <v>0</v>
      </c>
      <c r="AN91" s="873">
        <v>0</v>
      </c>
      <c r="AO91" s="873">
        <v>880</v>
      </c>
      <c r="AP91" s="873">
        <v>1086</v>
      </c>
      <c r="AQ91" s="873">
        <v>670</v>
      </c>
      <c r="AR91" s="873">
        <v>416</v>
      </c>
      <c r="AS91" s="873">
        <v>740</v>
      </c>
      <c r="AT91" s="843">
        <v>2733</v>
      </c>
      <c r="AU91" s="663"/>
      <c r="AV91" s="663"/>
      <c r="AX91" s="666"/>
      <c r="AY91" s="666"/>
      <c r="AZ91" s="666"/>
      <c r="BA91" s="666"/>
      <c r="BB91" s="666"/>
      <c r="BD91" s="666"/>
      <c r="BE91" s="666"/>
      <c r="BG91" s="666"/>
      <c r="BI91" s="666"/>
      <c r="BJ91" s="666"/>
      <c r="BK91" s="666"/>
    </row>
    <row r="92" spans="1:63" ht="12.75" x14ac:dyDescent="0.2">
      <c r="A92" s="288">
        <v>85</v>
      </c>
      <c r="B92" s="290" t="s">
        <v>60</v>
      </c>
      <c r="C92" s="279" t="s">
        <v>61</v>
      </c>
      <c r="D92" s="955">
        <v>153391</v>
      </c>
      <c r="E92" s="843">
        <v>75825760</v>
      </c>
      <c r="F92" s="873">
        <v>35226475</v>
      </c>
      <c r="G92" s="873">
        <v>-2531226</v>
      </c>
      <c r="H92" s="873">
        <v>782771</v>
      </c>
      <c r="I92" s="873">
        <v>-1748455</v>
      </c>
      <c r="J92" s="873">
        <v>-2315000</v>
      </c>
      <c r="K92" s="873">
        <v>-64376</v>
      </c>
      <c r="L92" s="873">
        <v>-31000</v>
      </c>
      <c r="M92" s="873">
        <v>-20000</v>
      </c>
      <c r="N92" s="873">
        <v>-698686</v>
      </c>
      <c r="O92" s="873">
        <v>-123818</v>
      </c>
      <c r="P92" s="873">
        <v>-2500</v>
      </c>
      <c r="Q92" s="873">
        <v>-8500</v>
      </c>
      <c r="R92" s="873">
        <v>-31000</v>
      </c>
      <c r="S92" s="873">
        <v>0</v>
      </c>
      <c r="T92" s="873">
        <v>0</v>
      </c>
      <c r="U92" s="873">
        <v>0</v>
      </c>
      <c r="V92" s="873">
        <v>0</v>
      </c>
      <c r="W92" s="873">
        <v>-10000</v>
      </c>
      <c r="X92" s="873">
        <v>-15557</v>
      </c>
      <c r="Y92" s="873">
        <v>-738000</v>
      </c>
      <c r="Z92" s="873">
        <v>29419583</v>
      </c>
      <c r="AA92" s="873">
        <v>-250000</v>
      </c>
      <c r="AB92" s="874"/>
      <c r="AC92" s="873">
        <v>241</v>
      </c>
      <c r="AD92" s="873">
        <v>12</v>
      </c>
      <c r="AE92" s="873">
        <v>24</v>
      </c>
      <c r="AF92" s="873">
        <v>2</v>
      </c>
      <c r="AG92" s="873">
        <v>219</v>
      </c>
      <c r="AH92" s="873">
        <v>119</v>
      </c>
      <c r="AI92" s="873">
        <v>14</v>
      </c>
      <c r="AJ92" s="873">
        <v>12</v>
      </c>
      <c r="AK92" s="873">
        <v>24</v>
      </c>
      <c r="AL92" s="873">
        <v>0</v>
      </c>
      <c r="AM92" s="873">
        <v>0</v>
      </c>
      <c r="AN92" s="873">
        <v>0</v>
      </c>
      <c r="AO92" s="873">
        <v>1389</v>
      </c>
      <c r="AP92" s="873">
        <v>1371</v>
      </c>
      <c r="AQ92" s="873">
        <v>873</v>
      </c>
      <c r="AR92" s="873">
        <v>498</v>
      </c>
      <c r="AS92" s="873">
        <v>884</v>
      </c>
      <c r="AT92" s="843">
        <v>3682</v>
      </c>
      <c r="AU92" s="663"/>
      <c r="AV92" s="663"/>
      <c r="AX92" s="666"/>
      <c r="AY92" s="666"/>
      <c r="AZ92" s="666"/>
      <c r="BA92" s="666"/>
      <c r="BB92" s="666"/>
      <c r="BD92" s="666"/>
      <c r="BE92" s="666"/>
      <c r="BG92" s="666"/>
      <c r="BI92" s="666"/>
      <c r="BJ92" s="666"/>
      <c r="BK92" s="666"/>
    </row>
    <row r="93" spans="1:63" ht="12.75" x14ac:dyDescent="0.2">
      <c r="A93" s="288">
        <v>86</v>
      </c>
      <c r="B93" s="290" t="s">
        <v>62</v>
      </c>
      <c r="C93" s="279" t="s">
        <v>63</v>
      </c>
      <c r="D93" s="955">
        <v>193935</v>
      </c>
      <c r="E93" s="843">
        <v>112842694</v>
      </c>
      <c r="F93" s="873">
        <v>53774831</v>
      </c>
      <c r="G93" s="873">
        <v>-2568508</v>
      </c>
      <c r="H93" s="873">
        <v>1243606</v>
      </c>
      <c r="I93" s="873">
        <v>-1324902</v>
      </c>
      <c r="J93" s="873">
        <v>-4057035</v>
      </c>
      <c r="K93" s="873">
        <v>-100680</v>
      </c>
      <c r="L93" s="873">
        <v>-54267</v>
      </c>
      <c r="M93" s="873">
        <v>-19156</v>
      </c>
      <c r="N93" s="873">
        <v>-1118798</v>
      </c>
      <c r="O93" s="873">
        <v>-175872</v>
      </c>
      <c r="P93" s="873">
        <v>-41063</v>
      </c>
      <c r="Q93" s="873">
        <v>-266</v>
      </c>
      <c r="R93" s="873">
        <v>-22148</v>
      </c>
      <c r="S93" s="873">
        <v>-1435</v>
      </c>
      <c r="T93" s="873">
        <v>0</v>
      </c>
      <c r="U93" s="873">
        <v>0</v>
      </c>
      <c r="V93" s="873">
        <v>0</v>
      </c>
      <c r="W93" s="873">
        <v>-50000</v>
      </c>
      <c r="X93" s="873">
        <v>-20000</v>
      </c>
      <c r="Y93" s="873">
        <v>-577959</v>
      </c>
      <c r="Z93" s="873">
        <v>45732250</v>
      </c>
      <c r="AA93" s="873">
        <v>-327343</v>
      </c>
      <c r="AB93" s="874"/>
      <c r="AC93" s="873">
        <v>269</v>
      </c>
      <c r="AD93" s="873">
        <v>18</v>
      </c>
      <c r="AE93" s="873">
        <v>37</v>
      </c>
      <c r="AF93" s="873">
        <v>10</v>
      </c>
      <c r="AG93" s="873">
        <v>477</v>
      </c>
      <c r="AH93" s="873">
        <v>137</v>
      </c>
      <c r="AI93" s="873">
        <v>10</v>
      </c>
      <c r="AJ93" s="873">
        <v>1</v>
      </c>
      <c r="AK93" s="873">
        <v>22</v>
      </c>
      <c r="AL93" s="873">
        <v>0</v>
      </c>
      <c r="AM93" s="873">
        <v>0</v>
      </c>
      <c r="AN93" s="873">
        <v>461</v>
      </c>
      <c r="AO93" s="873">
        <v>1738</v>
      </c>
      <c r="AP93" s="873">
        <v>1328</v>
      </c>
      <c r="AQ93" s="873">
        <v>636</v>
      </c>
      <c r="AR93" s="873">
        <v>692</v>
      </c>
      <c r="AS93" s="873">
        <v>1166</v>
      </c>
      <c r="AT93" s="843">
        <v>4253</v>
      </c>
      <c r="AU93" s="663"/>
      <c r="AV93" s="663"/>
      <c r="AX93" s="666"/>
      <c r="AY93" s="666"/>
      <c r="AZ93" s="666"/>
      <c r="BA93" s="666"/>
      <c r="BB93" s="666"/>
      <c r="BD93" s="666"/>
      <c r="BE93" s="666"/>
      <c r="BG93" s="666"/>
      <c r="BI93" s="666"/>
      <c r="BJ93" s="666"/>
      <c r="BK93" s="666"/>
    </row>
    <row r="94" spans="1:63" ht="12.75" x14ac:dyDescent="0.2">
      <c r="A94" s="288">
        <v>87</v>
      </c>
      <c r="B94" s="290" t="s">
        <v>64</v>
      </c>
      <c r="C94" s="279" t="s">
        <v>65</v>
      </c>
      <c r="D94" s="955">
        <v>268877</v>
      </c>
      <c r="E94" s="843">
        <v>88455905</v>
      </c>
      <c r="F94" s="873">
        <v>42347074</v>
      </c>
      <c r="G94" s="873">
        <v>-4662400</v>
      </c>
      <c r="H94" s="873">
        <v>845147</v>
      </c>
      <c r="I94" s="873">
        <v>-3817253</v>
      </c>
      <c r="J94" s="873">
        <v>-2152733</v>
      </c>
      <c r="K94" s="873">
        <v>-79702</v>
      </c>
      <c r="L94" s="873">
        <v>-116162</v>
      </c>
      <c r="M94" s="873">
        <v>0</v>
      </c>
      <c r="N94" s="873">
        <v>-667291</v>
      </c>
      <c r="O94" s="873">
        <v>-66892</v>
      </c>
      <c r="P94" s="873">
        <v>-8184</v>
      </c>
      <c r="Q94" s="873">
        <v>-9654</v>
      </c>
      <c r="R94" s="873">
        <v>-26496</v>
      </c>
      <c r="S94" s="873">
        <v>0</v>
      </c>
      <c r="T94" s="873">
        <v>0</v>
      </c>
      <c r="U94" s="873">
        <v>0</v>
      </c>
      <c r="V94" s="873">
        <v>0</v>
      </c>
      <c r="W94" s="873">
        <v>0</v>
      </c>
      <c r="X94" s="873">
        <v>0</v>
      </c>
      <c r="Y94" s="873">
        <v>-908969</v>
      </c>
      <c r="Z94" s="873">
        <v>34069698</v>
      </c>
      <c r="AA94" s="873">
        <v>-463725</v>
      </c>
      <c r="AB94" s="874"/>
      <c r="AC94" s="873">
        <v>352</v>
      </c>
      <c r="AD94" s="873">
        <v>32</v>
      </c>
      <c r="AE94" s="873">
        <v>90</v>
      </c>
      <c r="AF94" s="873">
        <v>0</v>
      </c>
      <c r="AG94" s="873">
        <v>336</v>
      </c>
      <c r="AH94" s="873">
        <v>126</v>
      </c>
      <c r="AI94" s="873">
        <v>5</v>
      </c>
      <c r="AJ94" s="873">
        <v>17</v>
      </c>
      <c r="AK94" s="873">
        <v>28</v>
      </c>
      <c r="AL94" s="873">
        <v>0</v>
      </c>
      <c r="AM94" s="873">
        <v>0</v>
      </c>
      <c r="AN94" s="873">
        <v>0</v>
      </c>
      <c r="AO94" s="873">
        <v>1796</v>
      </c>
      <c r="AP94" s="873">
        <v>3504</v>
      </c>
      <c r="AQ94" s="873">
        <v>2901</v>
      </c>
      <c r="AR94" s="873">
        <v>603</v>
      </c>
      <c r="AS94" s="873">
        <v>1806</v>
      </c>
      <c r="AT94" s="843">
        <v>7169</v>
      </c>
      <c r="AU94" s="663"/>
      <c r="AV94" s="663"/>
      <c r="AX94" s="666"/>
      <c r="AY94" s="666"/>
      <c r="AZ94" s="666"/>
      <c r="BA94" s="666"/>
      <c r="BB94" s="666"/>
      <c r="BD94" s="666"/>
      <c r="BE94" s="666"/>
      <c r="BG94" s="666"/>
      <c r="BI94" s="666"/>
      <c r="BJ94" s="666"/>
      <c r="BK94" s="666"/>
    </row>
    <row r="95" spans="1:63" ht="12.75" x14ac:dyDescent="0.2">
      <c r="A95" s="288">
        <v>88</v>
      </c>
      <c r="B95" s="290" t="s">
        <v>66</v>
      </c>
      <c r="C95" s="279" t="s">
        <v>67</v>
      </c>
      <c r="D95" s="955">
        <v>100187</v>
      </c>
      <c r="E95" s="843">
        <v>57784145</v>
      </c>
      <c r="F95" s="873">
        <v>27428359</v>
      </c>
      <c r="G95" s="873">
        <v>-1865570</v>
      </c>
      <c r="H95" s="873">
        <v>599629</v>
      </c>
      <c r="I95" s="873">
        <v>-1265941</v>
      </c>
      <c r="J95" s="873">
        <v>-1581167</v>
      </c>
      <c r="K95" s="873">
        <v>-21879</v>
      </c>
      <c r="L95" s="873">
        <v>-38620</v>
      </c>
      <c r="M95" s="873">
        <v>-350000</v>
      </c>
      <c r="N95" s="873">
        <v>-534472</v>
      </c>
      <c r="O95" s="873">
        <v>-91456</v>
      </c>
      <c r="P95" s="873">
        <v>-62528</v>
      </c>
      <c r="Q95" s="873">
        <v>-5469</v>
      </c>
      <c r="R95" s="873">
        <v>-24021</v>
      </c>
      <c r="S95" s="873">
        <v>-53748</v>
      </c>
      <c r="T95" s="873">
        <v>0</v>
      </c>
      <c r="U95" s="873">
        <v>0</v>
      </c>
      <c r="V95" s="873">
        <v>0</v>
      </c>
      <c r="W95" s="873">
        <v>-5127</v>
      </c>
      <c r="X95" s="873">
        <v>0</v>
      </c>
      <c r="Y95" s="873">
        <v>-337490</v>
      </c>
      <c r="Z95" s="873">
        <v>23096838</v>
      </c>
      <c r="AA95" s="873">
        <v>-230000</v>
      </c>
      <c r="AB95" s="874"/>
      <c r="AC95" s="873">
        <v>138</v>
      </c>
      <c r="AD95" s="873">
        <v>9</v>
      </c>
      <c r="AE95" s="873">
        <v>25</v>
      </c>
      <c r="AF95" s="873">
        <v>1</v>
      </c>
      <c r="AG95" s="873">
        <v>216</v>
      </c>
      <c r="AH95" s="873">
        <v>94</v>
      </c>
      <c r="AI95" s="873">
        <v>32</v>
      </c>
      <c r="AJ95" s="873">
        <v>9</v>
      </c>
      <c r="AK95" s="873">
        <v>25</v>
      </c>
      <c r="AL95" s="873">
        <v>20</v>
      </c>
      <c r="AM95" s="873">
        <v>0</v>
      </c>
      <c r="AN95" s="873">
        <v>0</v>
      </c>
      <c r="AO95" s="873">
        <v>791</v>
      </c>
      <c r="AP95" s="873">
        <v>1011</v>
      </c>
      <c r="AQ95" s="873">
        <v>727</v>
      </c>
      <c r="AR95" s="873">
        <v>284</v>
      </c>
      <c r="AS95" s="873">
        <v>591</v>
      </c>
      <c r="AT95" s="843">
        <v>2389</v>
      </c>
      <c r="AU95" s="663"/>
      <c r="AV95" s="663"/>
      <c r="AX95" s="666"/>
      <c r="AY95" s="666"/>
      <c r="AZ95" s="666"/>
      <c r="BA95" s="666"/>
      <c r="BB95" s="666"/>
      <c r="BD95" s="666"/>
      <c r="BE95" s="666"/>
      <c r="BG95" s="666"/>
      <c r="BI95" s="666"/>
      <c r="BJ95" s="666"/>
      <c r="BK95" s="666"/>
    </row>
    <row r="96" spans="1:63" ht="12.75" x14ac:dyDescent="0.2">
      <c r="A96" s="288">
        <v>89</v>
      </c>
      <c r="B96" s="290" t="s">
        <v>68</v>
      </c>
      <c r="C96" s="279" t="s">
        <v>69</v>
      </c>
      <c r="D96" s="955">
        <v>445553</v>
      </c>
      <c r="E96" s="843">
        <v>253797258</v>
      </c>
      <c r="F96" s="873">
        <v>122480104</v>
      </c>
      <c r="G96" s="873">
        <v>-7596169</v>
      </c>
      <c r="H96" s="873">
        <v>2724014</v>
      </c>
      <c r="I96" s="873">
        <v>-4872155</v>
      </c>
      <c r="J96" s="873">
        <v>-3079650</v>
      </c>
      <c r="K96" s="873">
        <v>-45126</v>
      </c>
      <c r="L96" s="873">
        <v>-120119</v>
      </c>
      <c r="M96" s="873">
        <v>0</v>
      </c>
      <c r="N96" s="873">
        <v>-2511704</v>
      </c>
      <c r="O96" s="873">
        <v>-122743</v>
      </c>
      <c r="P96" s="873">
        <v>-441998</v>
      </c>
      <c r="Q96" s="873">
        <v>-5677</v>
      </c>
      <c r="R96" s="873">
        <v>-45233</v>
      </c>
      <c r="S96" s="873">
        <v>-160648</v>
      </c>
      <c r="T96" s="873">
        <v>-151024</v>
      </c>
      <c r="U96" s="873">
        <v>0</v>
      </c>
      <c r="V96" s="873">
        <v>-151024</v>
      </c>
      <c r="W96" s="873">
        <v>0</v>
      </c>
      <c r="X96" s="873">
        <v>-14075</v>
      </c>
      <c r="Y96" s="873">
        <v>-1963198</v>
      </c>
      <c r="Z96" s="873">
        <v>108560628</v>
      </c>
      <c r="AA96" s="873">
        <v>-6472194</v>
      </c>
      <c r="AB96" s="874"/>
      <c r="AC96" s="873">
        <v>489</v>
      </c>
      <c r="AD96" s="873">
        <v>7</v>
      </c>
      <c r="AE96" s="873">
        <v>99</v>
      </c>
      <c r="AF96" s="873">
        <v>0</v>
      </c>
      <c r="AG96" s="873">
        <v>930</v>
      </c>
      <c r="AH96" s="873">
        <v>252</v>
      </c>
      <c r="AI96" s="873">
        <v>144</v>
      </c>
      <c r="AJ96" s="873">
        <v>5</v>
      </c>
      <c r="AK96" s="873">
        <v>65</v>
      </c>
      <c r="AL96" s="873">
        <v>125</v>
      </c>
      <c r="AM96" s="873">
        <v>8</v>
      </c>
      <c r="AN96" s="873">
        <v>0</v>
      </c>
      <c r="AO96" s="873">
        <v>3367</v>
      </c>
      <c r="AP96" s="873">
        <v>4392</v>
      </c>
      <c r="AQ96" s="873">
        <v>3151</v>
      </c>
      <c r="AR96" s="873">
        <v>1241</v>
      </c>
      <c r="AS96" s="873">
        <v>2958</v>
      </c>
      <c r="AT96" s="843">
        <v>10829</v>
      </c>
      <c r="AU96" s="663"/>
      <c r="AV96" s="663"/>
      <c r="AX96" s="666"/>
      <c r="AY96" s="666"/>
      <c r="AZ96" s="666"/>
      <c r="BA96" s="666"/>
      <c r="BB96" s="666"/>
      <c r="BD96" s="666"/>
      <c r="BE96" s="666"/>
      <c r="BG96" s="666"/>
      <c r="BI96" s="666"/>
      <c r="BJ96" s="666"/>
      <c r="BK96" s="666"/>
    </row>
    <row r="97" spans="1:63" ht="12.75" x14ac:dyDescent="0.2">
      <c r="A97" s="288">
        <v>90</v>
      </c>
      <c r="B97" s="290" t="s">
        <v>74</v>
      </c>
      <c r="C97" s="279" t="s">
        <v>75</v>
      </c>
      <c r="D97" s="955">
        <v>179064</v>
      </c>
      <c r="E97" s="843">
        <v>133029183</v>
      </c>
      <c r="F97" s="873">
        <v>63888900</v>
      </c>
      <c r="G97" s="873">
        <v>-2520052</v>
      </c>
      <c r="H97" s="873">
        <v>1290804</v>
      </c>
      <c r="I97" s="873">
        <v>-1229248</v>
      </c>
      <c r="J97" s="873">
        <v>-1921755</v>
      </c>
      <c r="K97" s="873">
        <v>-55431</v>
      </c>
      <c r="L97" s="873">
        <v>-13802</v>
      </c>
      <c r="M97" s="873">
        <v>-726617</v>
      </c>
      <c r="N97" s="873">
        <v>-2292372</v>
      </c>
      <c r="O97" s="873">
        <v>-113319</v>
      </c>
      <c r="P97" s="873">
        <v>-126335</v>
      </c>
      <c r="Q97" s="873">
        <v>-10214</v>
      </c>
      <c r="R97" s="873">
        <v>-12967</v>
      </c>
      <c r="S97" s="873">
        <v>-2088</v>
      </c>
      <c r="T97" s="873">
        <v>0</v>
      </c>
      <c r="U97" s="873">
        <v>0</v>
      </c>
      <c r="V97" s="873">
        <v>0</v>
      </c>
      <c r="W97" s="873">
        <v>-3034</v>
      </c>
      <c r="X97" s="873">
        <v>0</v>
      </c>
      <c r="Y97" s="873">
        <v>-444462</v>
      </c>
      <c r="Z97" s="873">
        <v>56744766</v>
      </c>
      <c r="AA97" s="873">
        <v>-1779953</v>
      </c>
      <c r="AB97" s="874"/>
      <c r="AC97" s="873">
        <v>158</v>
      </c>
      <c r="AD97" s="873">
        <v>13</v>
      </c>
      <c r="AE97" s="873">
        <v>11</v>
      </c>
      <c r="AF97" s="873">
        <v>16</v>
      </c>
      <c r="AG97" s="873">
        <v>400</v>
      </c>
      <c r="AH97" s="873">
        <v>103</v>
      </c>
      <c r="AI97" s="873">
        <v>39</v>
      </c>
      <c r="AJ97" s="873">
        <v>12</v>
      </c>
      <c r="AK97" s="873">
        <v>11</v>
      </c>
      <c r="AL97" s="873">
        <v>1</v>
      </c>
      <c r="AM97" s="873">
        <v>0</v>
      </c>
      <c r="AN97" s="873">
        <v>0</v>
      </c>
      <c r="AO97" s="873">
        <v>1545</v>
      </c>
      <c r="AP97" s="873">
        <v>1384</v>
      </c>
      <c r="AQ97" s="873">
        <v>916</v>
      </c>
      <c r="AR97" s="873">
        <v>468</v>
      </c>
      <c r="AS97" s="873">
        <v>1103</v>
      </c>
      <c r="AT97" s="843">
        <v>4048</v>
      </c>
      <c r="AU97" s="663"/>
      <c r="AV97" s="663"/>
      <c r="AX97" s="666"/>
      <c r="AY97" s="666"/>
      <c r="AZ97" s="666"/>
      <c r="BA97" s="666"/>
      <c r="BB97" s="666"/>
      <c r="BD97" s="666"/>
      <c r="BE97" s="666"/>
      <c r="BG97" s="666"/>
      <c r="BI97" s="666"/>
      <c r="BJ97" s="666"/>
      <c r="BK97" s="666"/>
    </row>
    <row r="98" spans="1:63" ht="12.75" x14ac:dyDescent="0.2">
      <c r="A98" s="288">
        <v>91</v>
      </c>
      <c r="B98" s="290" t="s">
        <v>76</v>
      </c>
      <c r="C98" s="279" t="s">
        <v>77</v>
      </c>
      <c r="D98" s="955">
        <v>125728</v>
      </c>
      <c r="E98" s="843">
        <v>82868580</v>
      </c>
      <c r="F98" s="873">
        <v>39333516</v>
      </c>
      <c r="G98" s="873">
        <v>-2016839</v>
      </c>
      <c r="H98" s="873">
        <v>914462.45</v>
      </c>
      <c r="I98" s="873">
        <v>-1102376.5</v>
      </c>
      <c r="J98" s="873">
        <v>-2594489.4</v>
      </c>
      <c r="K98" s="873">
        <v>-77765.820000000007</v>
      </c>
      <c r="L98" s="873">
        <v>0</v>
      </c>
      <c r="M98" s="873">
        <v>0</v>
      </c>
      <c r="N98" s="873">
        <v>-333494.89</v>
      </c>
      <c r="O98" s="873">
        <v>-42531.13</v>
      </c>
      <c r="P98" s="873">
        <v>0</v>
      </c>
      <c r="Q98" s="873">
        <v>0</v>
      </c>
      <c r="R98" s="873">
        <v>0</v>
      </c>
      <c r="S98" s="873">
        <v>0</v>
      </c>
      <c r="T98" s="873">
        <v>0</v>
      </c>
      <c r="U98" s="873">
        <v>0</v>
      </c>
      <c r="V98" s="873">
        <v>0</v>
      </c>
      <c r="W98" s="873">
        <v>0</v>
      </c>
      <c r="X98" s="873">
        <v>0</v>
      </c>
      <c r="Y98" s="873">
        <v>-352030.98</v>
      </c>
      <c r="Z98" s="873">
        <v>34821201.200000003</v>
      </c>
      <c r="AA98" s="873">
        <v>-96700</v>
      </c>
      <c r="AB98" s="874"/>
      <c r="AC98" s="873">
        <v>164</v>
      </c>
      <c r="AD98" s="873">
        <v>9</v>
      </c>
      <c r="AE98" s="873">
        <v>0</v>
      </c>
      <c r="AF98" s="873">
        <v>0</v>
      </c>
      <c r="AG98" s="873">
        <v>111</v>
      </c>
      <c r="AH98" s="873">
        <v>53</v>
      </c>
      <c r="AI98" s="873">
        <v>0</v>
      </c>
      <c r="AJ98" s="873">
        <v>0</v>
      </c>
      <c r="AK98" s="873">
        <v>0</v>
      </c>
      <c r="AL98" s="873">
        <v>0</v>
      </c>
      <c r="AM98" s="873">
        <v>0</v>
      </c>
      <c r="AN98" s="873">
        <v>0</v>
      </c>
      <c r="AO98" s="873">
        <v>1131</v>
      </c>
      <c r="AP98" s="873">
        <v>996</v>
      </c>
      <c r="AQ98" s="873">
        <v>540</v>
      </c>
      <c r="AR98" s="873">
        <v>456</v>
      </c>
      <c r="AS98" s="873">
        <v>750</v>
      </c>
      <c r="AT98" s="843">
        <v>2912</v>
      </c>
      <c r="AU98" s="663"/>
      <c r="AV98" s="663"/>
      <c r="AX98" s="666"/>
      <c r="AY98" s="666"/>
      <c r="AZ98" s="666"/>
      <c r="BA98" s="666"/>
      <c r="BB98" s="666"/>
      <c r="BD98" s="666"/>
      <c r="BE98" s="666"/>
      <c r="BG98" s="666"/>
      <c r="BI98" s="666"/>
      <c r="BJ98" s="666"/>
      <c r="BK98" s="666"/>
    </row>
    <row r="99" spans="1:63" ht="12.75" x14ac:dyDescent="0.2">
      <c r="A99" s="288">
        <v>92</v>
      </c>
      <c r="B99" s="290" t="s">
        <v>78</v>
      </c>
      <c r="C99" s="279" t="s">
        <v>79</v>
      </c>
      <c r="D99" s="955">
        <v>150579</v>
      </c>
      <c r="E99" s="843">
        <v>134078567</v>
      </c>
      <c r="F99" s="873">
        <v>63626032</v>
      </c>
      <c r="G99" s="873">
        <v>-1680000</v>
      </c>
      <c r="H99" s="873">
        <v>1572000</v>
      </c>
      <c r="I99" s="873">
        <v>-108000</v>
      </c>
      <c r="J99" s="873">
        <v>-2138000</v>
      </c>
      <c r="K99" s="873">
        <v>0</v>
      </c>
      <c r="L99" s="873">
        <v>0</v>
      </c>
      <c r="M99" s="873">
        <v>-40000</v>
      </c>
      <c r="N99" s="873">
        <v>-1350000</v>
      </c>
      <c r="O99" s="873">
        <v>-54000</v>
      </c>
      <c r="P99" s="873">
        <v>-135000</v>
      </c>
      <c r="Q99" s="873">
        <v>0</v>
      </c>
      <c r="R99" s="873">
        <v>0</v>
      </c>
      <c r="S99" s="873">
        <v>0</v>
      </c>
      <c r="T99" s="873">
        <v>0</v>
      </c>
      <c r="U99" s="873">
        <v>0</v>
      </c>
      <c r="V99" s="873">
        <v>0</v>
      </c>
      <c r="W99" s="873">
        <v>0</v>
      </c>
      <c r="X99" s="873">
        <v>0</v>
      </c>
      <c r="Y99" s="873">
        <v>-550000</v>
      </c>
      <c r="Z99" s="873">
        <v>59251032</v>
      </c>
      <c r="AA99" s="873">
        <v>-2000000</v>
      </c>
      <c r="AB99" s="874"/>
      <c r="AC99" s="873">
        <v>152</v>
      </c>
      <c r="AD99" s="873">
        <v>0</v>
      </c>
      <c r="AE99" s="873">
        <v>0</v>
      </c>
      <c r="AF99" s="873">
        <v>1</v>
      </c>
      <c r="AG99" s="873">
        <v>84</v>
      </c>
      <c r="AH99" s="873">
        <v>59</v>
      </c>
      <c r="AI99" s="873">
        <v>1</v>
      </c>
      <c r="AJ99" s="873">
        <v>0</v>
      </c>
      <c r="AK99" s="873">
        <v>0</v>
      </c>
      <c r="AL99" s="873">
        <v>0</v>
      </c>
      <c r="AM99" s="873">
        <v>0</v>
      </c>
      <c r="AN99" s="873">
        <v>0</v>
      </c>
      <c r="AO99" s="873">
        <v>1362</v>
      </c>
      <c r="AP99" s="873">
        <v>903</v>
      </c>
      <c r="AQ99" s="873">
        <v>538</v>
      </c>
      <c r="AR99" s="873">
        <v>365</v>
      </c>
      <c r="AS99" s="873">
        <v>760</v>
      </c>
      <c r="AT99" s="843">
        <v>3030</v>
      </c>
      <c r="AU99" s="663"/>
      <c r="AV99" s="663"/>
      <c r="AX99" s="666"/>
      <c r="AY99" s="666"/>
      <c r="AZ99" s="666"/>
      <c r="BA99" s="666"/>
      <c r="BB99" s="666"/>
      <c r="BD99" s="666"/>
      <c r="BE99" s="666"/>
      <c r="BG99" s="666"/>
      <c r="BI99" s="666"/>
      <c r="BJ99" s="666"/>
      <c r="BK99" s="666"/>
    </row>
    <row r="100" spans="1:63" ht="12.75" x14ac:dyDescent="0.2">
      <c r="A100" s="288">
        <v>93</v>
      </c>
      <c r="B100" s="290" t="s">
        <v>80</v>
      </c>
      <c r="C100" s="279" t="s">
        <v>81</v>
      </c>
      <c r="D100" s="955">
        <v>127788</v>
      </c>
      <c r="E100" s="843">
        <v>53285286</v>
      </c>
      <c r="F100" s="873">
        <v>25625281</v>
      </c>
      <c r="G100" s="873">
        <v>-2164191</v>
      </c>
      <c r="H100" s="873">
        <v>543493</v>
      </c>
      <c r="I100" s="873">
        <v>-1620698</v>
      </c>
      <c r="J100" s="873">
        <v>-1276363</v>
      </c>
      <c r="K100" s="873">
        <v>-75932</v>
      </c>
      <c r="L100" s="873">
        <v>-70795</v>
      </c>
      <c r="M100" s="873">
        <v>0</v>
      </c>
      <c r="N100" s="873">
        <v>-369199</v>
      </c>
      <c r="O100" s="873">
        <v>-48587</v>
      </c>
      <c r="P100" s="873">
        <v>-39003</v>
      </c>
      <c r="Q100" s="873">
        <v>-2107</v>
      </c>
      <c r="R100" s="873">
        <v>-43347</v>
      </c>
      <c r="S100" s="873">
        <v>-3521</v>
      </c>
      <c r="T100" s="873">
        <v>0</v>
      </c>
      <c r="U100" s="873">
        <v>0</v>
      </c>
      <c r="V100" s="873">
        <v>0</v>
      </c>
      <c r="W100" s="873">
        <v>0</v>
      </c>
      <c r="X100" s="873">
        <v>0</v>
      </c>
      <c r="Y100" s="873">
        <v>-327323</v>
      </c>
      <c r="Z100" s="873">
        <v>21748406</v>
      </c>
      <c r="AA100" s="873">
        <v>-84385</v>
      </c>
      <c r="AB100" s="874"/>
      <c r="AC100" s="873">
        <v>245</v>
      </c>
      <c r="AD100" s="873">
        <v>10</v>
      </c>
      <c r="AE100" s="873">
        <v>56</v>
      </c>
      <c r="AF100" s="873">
        <v>0</v>
      </c>
      <c r="AG100" s="873">
        <v>215</v>
      </c>
      <c r="AH100" s="873">
        <v>154</v>
      </c>
      <c r="AI100" s="873">
        <v>26</v>
      </c>
      <c r="AJ100" s="873">
        <v>5</v>
      </c>
      <c r="AK100" s="873">
        <v>45</v>
      </c>
      <c r="AL100" s="873">
        <v>5</v>
      </c>
      <c r="AM100" s="873">
        <v>0</v>
      </c>
      <c r="AN100" s="873">
        <v>0</v>
      </c>
      <c r="AO100" s="873">
        <v>974</v>
      </c>
      <c r="AP100" s="873">
        <v>1354</v>
      </c>
      <c r="AQ100" s="873">
        <v>1065</v>
      </c>
      <c r="AR100" s="873">
        <v>289</v>
      </c>
      <c r="AS100" s="873">
        <v>973</v>
      </c>
      <c r="AT100" s="843">
        <v>3297</v>
      </c>
      <c r="AU100" s="663"/>
      <c r="AV100" s="663"/>
      <c r="AX100" s="666"/>
      <c r="AY100" s="666"/>
      <c r="AZ100" s="666"/>
      <c r="BA100" s="666"/>
      <c r="BB100" s="666"/>
      <c r="BD100" s="666"/>
      <c r="BE100" s="666"/>
      <c r="BG100" s="666"/>
      <c r="BI100" s="666"/>
      <c r="BJ100" s="666"/>
      <c r="BK100" s="666"/>
    </row>
    <row r="101" spans="1:63" ht="12.75" x14ac:dyDescent="0.2">
      <c r="A101" s="288">
        <v>94</v>
      </c>
      <c r="B101" s="290" t="s">
        <v>82</v>
      </c>
      <c r="C101" s="279" t="s">
        <v>83</v>
      </c>
      <c r="D101" s="955">
        <v>178973</v>
      </c>
      <c r="E101" s="843">
        <v>130563422</v>
      </c>
      <c r="F101" s="873">
        <v>63763554</v>
      </c>
      <c r="G101" s="873">
        <v>-1830075</v>
      </c>
      <c r="H101" s="873">
        <v>1537719</v>
      </c>
      <c r="I101" s="873">
        <v>-292356</v>
      </c>
      <c r="J101" s="873">
        <v>-3414495</v>
      </c>
      <c r="K101" s="873">
        <v>-52928</v>
      </c>
      <c r="L101" s="873">
        <v>0</v>
      </c>
      <c r="M101" s="873">
        <v>0</v>
      </c>
      <c r="N101" s="873">
        <v>-3635479</v>
      </c>
      <c r="O101" s="873">
        <v>-106039</v>
      </c>
      <c r="P101" s="873">
        <v>-324091</v>
      </c>
      <c r="Q101" s="873">
        <v>0</v>
      </c>
      <c r="R101" s="873">
        <v>0</v>
      </c>
      <c r="S101" s="873">
        <v>0</v>
      </c>
      <c r="T101" s="873">
        <v>0</v>
      </c>
      <c r="U101" s="873">
        <v>0</v>
      </c>
      <c r="V101" s="873">
        <v>0</v>
      </c>
      <c r="W101" s="873">
        <v>-95642</v>
      </c>
      <c r="X101" s="873">
        <v>-4020</v>
      </c>
      <c r="Y101" s="873">
        <v>-951838</v>
      </c>
      <c r="Z101" s="873">
        <v>54886666</v>
      </c>
      <c r="AA101" s="873">
        <v>-600000</v>
      </c>
      <c r="AB101" s="874"/>
      <c r="AC101" s="873">
        <v>208</v>
      </c>
      <c r="AD101" s="873">
        <v>16</v>
      </c>
      <c r="AE101" s="873">
        <v>0</v>
      </c>
      <c r="AF101" s="873">
        <v>2</v>
      </c>
      <c r="AG101" s="873">
        <v>364</v>
      </c>
      <c r="AH101" s="873">
        <v>91</v>
      </c>
      <c r="AI101" s="873">
        <v>12</v>
      </c>
      <c r="AJ101" s="873">
        <v>0</v>
      </c>
      <c r="AK101" s="873">
        <v>0</v>
      </c>
      <c r="AL101" s="873">
        <v>0</v>
      </c>
      <c r="AM101" s="873">
        <v>0</v>
      </c>
      <c r="AN101" s="873">
        <v>0</v>
      </c>
      <c r="AO101" s="873">
        <v>1590</v>
      </c>
      <c r="AP101" s="873">
        <v>938</v>
      </c>
      <c r="AQ101" s="873">
        <v>481</v>
      </c>
      <c r="AR101" s="873">
        <v>457</v>
      </c>
      <c r="AS101" s="873">
        <v>1079</v>
      </c>
      <c r="AT101" s="843">
        <v>3566</v>
      </c>
      <c r="AU101" s="663"/>
      <c r="AV101" s="663"/>
      <c r="AX101" s="666"/>
      <c r="AY101" s="666"/>
      <c r="AZ101" s="666"/>
      <c r="BA101" s="666"/>
      <c r="BB101" s="666"/>
      <c r="BD101" s="666"/>
      <c r="BE101" s="666"/>
      <c r="BG101" s="666"/>
      <c r="BI101" s="666"/>
      <c r="BJ101" s="666"/>
      <c r="BK101" s="666"/>
    </row>
    <row r="102" spans="1:63" ht="12.75" x14ac:dyDescent="0.2">
      <c r="A102" s="288">
        <v>95</v>
      </c>
      <c r="B102" s="290" t="s">
        <v>84</v>
      </c>
      <c r="C102" s="279" t="s">
        <v>85</v>
      </c>
      <c r="D102" s="955">
        <v>343642</v>
      </c>
      <c r="E102" s="843">
        <v>256328517</v>
      </c>
      <c r="F102" s="873">
        <v>123065430</v>
      </c>
      <c r="G102" s="873">
        <v>-3898564</v>
      </c>
      <c r="H102" s="873">
        <v>2748436</v>
      </c>
      <c r="I102" s="873">
        <v>-1150128</v>
      </c>
      <c r="J102" s="873">
        <v>-5138373</v>
      </c>
      <c r="K102" s="873">
        <v>-97259</v>
      </c>
      <c r="L102" s="873">
        <v>0</v>
      </c>
      <c r="M102" s="873">
        <v>0</v>
      </c>
      <c r="N102" s="873">
        <v>-2522329</v>
      </c>
      <c r="O102" s="873">
        <v>-288387</v>
      </c>
      <c r="P102" s="873">
        <v>-198244</v>
      </c>
      <c r="Q102" s="873">
        <v>0</v>
      </c>
      <c r="R102" s="873">
        <v>0</v>
      </c>
      <c r="S102" s="873">
        <v>0</v>
      </c>
      <c r="T102" s="873">
        <v>0</v>
      </c>
      <c r="U102" s="873">
        <v>0</v>
      </c>
      <c r="V102" s="873">
        <v>0</v>
      </c>
      <c r="W102" s="873">
        <v>0</v>
      </c>
      <c r="X102" s="873">
        <v>0</v>
      </c>
      <c r="Y102" s="873">
        <v>-3090000</v>
      </c>
      <c r="Z102" s="873">
        <v>110300686</v>
      </c>
      <c r="AA102" s="873">
        <v>-2672411</v>
      </c>
      <c r="AB102" s="874"/>
      <c r="AC102" s="873">
        <v>296</v>
      </c>
      <c r="AD102" s="873">
        <v>18</v>
      </c>
      <c r="AE102" s="873">
        <v>0</v>
      </c>
      <c r="AF102" s="873">
        <v>0</v>
      </c>
      <c r="AG102" s="873">
        <v>373</v>
      </c>
      <c r="AH102" s="873">
        <v>177</v>
      </c>
      <c r="AI102" s="873">
        <v>0</v>
      </c>
      <c r="AJ102" s="873">
        <v>0</v>
      </c>
      <c r="AK102" s="873">
        <v>0</v>
      </c>
      <c r="AL102" s="873">
        <v>0</v>
      </c>
      <c r="AM102" s="873">
        <v>0</v>
      </c>
      <c r="AN102" s="873">
        <v>0</v>
      </c>
      <c r="AO102" s="873">
        <v>2373</v>
      </c>
      <c r="AP102" s="873">
        <v>1996</v>
      </c>
      <c r="AQ102" s="873">
        <v>818</v>
      </c>
      <c r="AR102" s="873">
        <v>1178</v>
      </c>
      <c r="AS102" s="873">
        <v>2699</v>
      </c>
      <c r="AT102" s="843">
        <v>7033</v>
      </c>
      <c r="AU102" s="663"/>
      <c r="AV102" s="663"/>
      <c r="AX102" s="666"/>
      <c r="AY102" s="666"/>
      <c r="AZ102" s="666"/>
      <c r="BA102" s="666"/>
      <c r="BB102" s="666"/>
      <c r="BD102" s="666"/>
      <c r="BE102" s="666"/>
      <c r="BG102" s="666"/>
      <c r="BI102" s="666"/>
      <c r="BJ102" s="666"/>
      <c r="BK102" s="666"/>
    </row>
    <row r="103" spans="1:63" ht="12.75" x14ac:dyDescent="0.2">
      <c r="A103" s="288">
        <v>96</v>
      </c>
      <c r="B103" s="290" t="s">
        <v>86</v>
      </c>
      <c r="C103" s="279" t="s">
        <v>87</v>
      </c>
      <c r="D103" s="955">
        <v>172128</v>
      </c>
      <c r="E103" s="843">
        <v>86628034</v>
      </c>
      <c r="F103" s="873">
        <v>41552448</v>
      </c>
      <c r="G103" s="873">
        <v>-2457925</v>
      </c>
      <c r="H103" s="873">
        <v>880732</v>
      </c>
      <c r="I103" s="873">
        <v>-1577193</v>
      </c>
      <c r="J103" s="873">
        <v>-2219044</v>
      </c>
      <c r="K103" s="873">
        <v>-26464</v>
      </c>
      <c r="L103" s="873">
        <v>-9219</v>
      </c>
      <c r="M103" s="873">
        <v>0</v>
      </c>
      <c r="N103" s="873">
        <v>-1139661</v>
      </c>
      <c r="O103" s="873">
        <v>-14260</v>
      </c>
      <c r="P103" s="873">
        <v>-60514</v>
      </c>
      <c r="Q103" s="873">
        <v>0</v>
      </c>
      <c r="R103" s="873">
        <v>-5532</v>
      </c>
      <c r="S103" s="873">
        <v>-12134</v>
      </c>
      <c r="T103" s="873">
        <v>0</v>
      </c>
      <c r="U103" s="873">
        <v>0</v>
      </c>
      <c r="V103" s="873">
        <v>0</v>
      </c>
      <c r="W103" s="873">
        <v>-112601</v>
      </c>
      <c r="X103" s="873">
        <v>-23206</v>
      </c>
      <c r="Y103" s="873">
        <v>-468671</v>
      </c>
      <c r="Z103" s="873">
        <v>35883949</v>
      </c>
      <c r="AA103" s="873">
        <v>-700000</v>
      </c>
      <c r="AB103" s="874"/>
      <c r="AC103" s="873">
        <v>145</v>
      </c>
      <c r="AD103" s="873">
        <v>5</v>
      </c>
      <c r="AE103" s="873">
        <v>4</v>
      </c>
      <c r="AF103" s="873">
        <v>0</v>
      </c>
      <c r="AG103" s="873">
        <v>479</v>
      </c>
      <c r="AH103" s="873">
        <v>15</v>
      </c>
      <c r="AI103" s="873">
        <v>30</v>
      </c>
      <c r="AJ103" s="873">
        <v>0</v>
      </c>
      <c r="AK103" s="873">
        <v>5</v>
      </c>
      <c r="AL103" s="873">
        <v>0</v>
      </c>
      <c r="AM103" s="873">
        <v>0</v>
      </c>
      <c r="AN103" s="873">
        <v>0</v>
      </c>
      <c r="AO103" s="873">
        <v>1466</v>
      </c>
      <c r="AP103" s="873">
        <v>1314</v>
      </c>
      <c r="AQ103" s="873">
        <v>703</v>
      </c>
      <c r="AR103" s="873">
        <v>611</v>
      </c>
      <c r="AS103" s="873">
        <v>1161</v>
      </c>
      <c r="AT103" s="843">
        <v>3996</v>
      </c>
      <c r="AU103" s="663"/>
      <c r="AV103" s="663"/>
      <c r="AX103" s="666"/>
      <c r="AY103" s="666"/>
      <c r="AZ103" s="666"/>
      <c r="BA103" s="666"/>
      <c r="BB103" s="666"/>
      <c r="BD103" s="666"/>
      <c r="BE103" s="666"/>
      <c r="BG103" s="666"/>
      <c r="BI103" s="666"/>
      <c r="BJ103" s="666"/>
      <c r="BK103" s="666"/>
    </row>
    <row r="104" spans="1:63" ht="12.75" x14ac:dyDescent="0.2">
      <c r="A104" s="288">
        <v>97</v>
      </c>
      <c r="B104" s="290" t="s">
        <v>88</v>
      </c>
      <c r="C104" s="279" t="s">
        <v>89</v>
      </c>
      <c r="D104" s="955">
        <v>85351</v>
      </c>
      <c r="E104" s="843">
        <v>59468925</v>
      </c>
      <c r="F104" s="873">
        <v>28145656</v>
      </c>
      <c r="G104" s="873">
        <v>-1048057</v>
      </c>
      <c r="H104" s="873">
        <v>681431</v>
      </c>
      <c r="I104" s="873">
        <v>-366626</v>
      </c>
      <c r="J104" s="873">
        <v>-2770804</v>
      </c>
      <c r="K104" s="873">
        <v>-49892</v>
      </c>
      <c r="L104" s="873">
        <v>0</v>
      </c>
      <c r="M104" s="873">
        <v>0</v>
      </c>
      <c r="N104" s="873">
        <v>-289763</v>
      </c>
      <c r="O104" s="873">
        <v>-87096</v>
      </c>
      <c r="P104" s="873">
        <v>-585</v>
      </c>
      <c r="Q104" s="873">
        <v>-8746</v>
      </c>
      <c r="R104" s="873">
        <v>0</v>
      </c>
      <c r="S104" s="873">
        <v>0</v>
      </c>
      <c r="T104" s="873">
        <v>0</v>
      </c>
      <c r="U104" s="873">
        <v>0</v>
      </c>
      <c r="V104" s="873">
        <v>0</v>
      </c>
      <c r="W104" s="873">
        <v>0</v>
      </c>
      <c r="X104" s="873">
        <v>-10291</v>
      </c>
      <c r="Y104" s="873">
        <v>-483996</v>
      </c>
      <c r="Z104" s="873">
        <v>23552950</v>
      </c>
      <c r="AA104" s="873">
        <v>-129786</v>
      </c>
      <c r="AB104" s="874"/>
      <c r="AC104" s="873">
        <v>86</v>
      </c>
      <c r="AD104" s="873">
        <v>4</v>
      </c>
      <c r="AE104" s="873">
        <v>0</v>
      </c>
      <c r="AF104" s="873">
        <v>0</v>
      </c>
      <c r="AG104" s="873">
        <v>60</v>
      </c>
      <c r="AH104" s="873">
        <v>34</v>
      </c>
      <c r="AI104" s="873">
        <v>1</v>
      </c>
      <c r="AJ104" s="873">
        <v>4</v>
      </c>
      <c r="AK104" s="873">
        <v>0</v>
      </c>
      <c r="AL104" s="873">
        <v>0</v>
      </c>
      <c r="AM104" s="873">
        <v>0</v>
      </c>
      <c r="AN104" s="873">
        <v>0</v>
      </c>
      <c r="AO104" s="873">
        <v>724</v>
      </c>
      <c r="AP104" s="873">
        <v>500</v>
      </c>
      <c r="AQ104" s="873">
        <v>242</v>
      </c>
      <c r="AR104" s="873">
        <v>258</v>
      </c>
      <c r="AS104" s="873">
        <v>514</v>
      </c>
      <c r="AT104" s="843">
        <v>1728</v>
      </c>
      <c r="AU104" s="663"/>
      <c r="AV104" s="663"/>
      <c r="AX104" s="666"/>
      <c r="AY104" s="666"/>
      <c r="AZ104" s="666"/>
      <c r="BA104" s="666"/>
      <c r="BB104" s="666"/>
      <c r="BD104" s="666"/>
      <c r="BE104" s="666"/>
      <c r="BG104" s="666"/>
      <c r="BI104" s="666"/>
      <c r="BJ104" s="666"/>
      <c r="BK104" s="666"/>
    </row>
    <row r="105" spans="1:63" ht="12.75" x14ac:dyDescent="0.2">
      <c r="A105" s="288">
        <v>98</v>
      </c>
      <c r="B105" s="290" t="s">
        <v>90</v>
      </c>
      <c r="C105" s="279" t="s">
        <v>91</v>
      </c>
      <c r="D105" s="955">
        <v>136407</v>
      </c>
      <c r="E105" s="843">
        <v>64263323</v>
      </c>
      <c r="F105" s="873">
        <v>30805642</v>
      </c>
      <c r="G105" s="873">
        <v>-2495343</v>
      </c>
      <c r="H105" s="873">
        <v>641300</v>
      </c>
      <c r="I105" s="873">
        <v>-1854043</v>
      </c>
      <c r="J105" s="873">
        <v>-1723392</v>
      </c>
      <c r="K105" s="873">
        <v>-85959</v>
      </c>
      <c r="L105" s="873">
        <v>-1590</v>
      </c>
      <c r="M105" s="873">
        <v>0</v>
      </c>
      <c r="N105" s="873">
        <v>-352556</v>
      </c>
      <c r="O105" s="873">
        <v>-17825</v>
      </c>
      <c r="P105" s="873">
        <v>-69778</v>
      </c>
      <c r="Q105" s="873">
        <v>0</v>
      </c>
      <c r="R105" s="873">
        <v>-1220</v>
      </c>
      <c r="S105" s="873">
        <v>0</v>
      </c>
      <c r="T105" s="873">
        <v>0</v>
      </c>
      <c r="U105" s="873">
        <v>0</v>
      </c>
      <c r="V105" s="873">
        <v>0</v>
      </c>
      <c r="W105" s="873">
        <v>0</v>
      </c>
      <c r="X105" s="873">
        <v>-3780</v>
      </c>
      <c r="Y105" s="873">
        <v>-182449</v>
      </c>
      <c r="Z105" s="873">
        <v>26463050</v>
      </c>
      <c r="AA105" s="873">
        <v>-130000</v>
      </c>
      <c r="AB105" s="874"/>
      <c r="AC105" s="873">
        <v>125</v>
      </c>
      <c r="AD105" s="873">
        <v>16</v>
      </c>
      <c r="AE105" s="873">
        <v>2</v>
      </c>
      <c r="AF105" s="873">
        <v>0</v>
      </c>
      <c r="AG105" s="873">
        <v>210</v>
      </c>
      <c r="AH105" s="873">
        <v>16</v>
      </c>
      <c r="AI105" s="873">
        <v>25</v>
      </c>
      <c r="AJ105" s="873">
        <v>0</v>
      </c>
      <c r="AK105" s="873">
        <v>1</v>
      </c>
      <c r="AL105" s="873">
        <v>0</v>
      </c>
      <c r="AM105" s="873">
        <v>0</v>
      </c>
      <c r="AN105" s="873">
        <v>0</v>
      </c>
      <c r="AO105" s="873">
        <v>1095</v>
      </c>
      <c r="AP105" s="873">
        <v>1467</v>
      </c>
      <c r="AQ105" s="873">
        <v>1096</v>
      </c>
      <c r="AR105" s="873">
        <v>371</v>
      </c>
      <c r="AS105" s="873">
        <v>875</v>
      </c>
      <c r="AT105" s="843">
        <v>3447</v>
      </c>
      <c r="AU105" s="663"/>
      <c r="AV105" s="663"/>
      <c r="AX105" s="666"/>
      <c r="AY105" s="666"/>
      <c r="AZ105" s="666"/>
      <c r="BA105" s="666"/>
      <c r="BB105" s="666"/>
      <c r="BD105" s="666"/>
      <c r="BE105" s="666"/>
      <c r="BG105" s="666"/>
      <c r="BI105" s="666"/>
      <c r="BJ105" s="666"/>
      <c r="BK105" s="666"/>
    </row>
    <row r="106" spans="1:63" ht="12.75" x14ac:dyDescent="0.2">
      <c r="A106" s="288">
        <v>99</v>
      </c>
      <c r="B106" s="290" t="s">
        <v>92</v>
      </c>
      <c r="C106" s="279" t="s">
        <v>93</v>
      </c>
      <c r="D106" s="955">
        <v>219686</v>
      </c>
      <c r="E106" s="843">
        <v>185586961</v>
      </c>
      <c r="F106" s="873">
        <v>89270163</v>
      </c>
      <c r="G106" s="873">
        <v>-2108507</v>
      </c>
      <c r="H106" s="873">
        <v>2200969</v>
      </c>
      <c r="I106" s="873">
        <v>92462</v>
      </c>
      <c r="J106" s="873">
        <v>-5369685</v>
      </c>
      <c r="K106" s="873">
        <v>-34185</v>
      </c>
      <c r="L106" s="873">
        <v>0</v>
      </c>
      <c r="M106" s="873">
        <v>0</v>
      </c>
      <c r="N106" s="873">
        <v>-2688429</v>
      </c>
      <c r="O106" s="873">
        <v>-165457</v>
      </c>
      <c r="P106" s="873">
        <v>-368391</v>
      </c>
      <c r="Q106" s="873">
        <v>-2995</v>
      </c>
      <c r="R106" s="873">
        <v>0</v>
      </c>
      <c r="S106" s="873">
        <v>0</v>
      </c>
      <c r="T106" s="873">
        <v>0</v>
      </c>
      <c r="U106" s="873">
        <v>0</v>
      </c>
      <c r="V106" s="873">
        <v>0</v>
      </c>
      <c r="W106" s="873">
        <v>0</v>
      </c>
      <c r="X106" s="873">
        <v>-7333</v>
      </c>
      <c r="Y106" s="873">
        <v>-1038506</v>
      </c>
      <c r="Z106" s="873">
        <v>79687644</v>
      </c>
      <c r="AA106" s="873">
        <v>-500000</v>
      </c>
      <c r="AB106" s="874"/>
      <c r="AC106" s="873">
        <v>299</v>
      </c>
      <c r="AD106" s="873">
        <v>15</v>
      </c>
      <c r="AE106" s="873">
        <v>0</v>
      </c>
      <c r="AF106" s="873">
        <v>1</v>
      </c>
      <c r="AG106" s="873">
        <v>581</v>
      </c>
      <c r="AH106" s="873">
        <v>84</v>
      </c>
      <c r="AI106" s="873">
        <v>13</v>
      </c>
      <c r="AJ106" s="873">
        <v>6</v>
      </c>
      <c r="AK106" s="873">
        <v>0</v>
      </c>
      <c r="AL106" s="873">
        <v>0</v>
      </c>
      <c r="AM106" s="873">
        <v>0</v>
      </c>
      <c r="AN106" s="873">
        <v>0</v>
      </c>
      <c r="AO106" s="873">
        <v>2316</v>
      </c>
      <c r="AP106" s="873">
        <v>1034</v>
      </c>
      <c r="AQ106" s="873">
        <v>565</v>
      </c>
      <c r="AR106" s="873">
        <v>469</v>
      </c>
      <c r="AS106" s="873">
        <v>1372</v>
      </c>
      <c r="AT106" s="843">
        <v>4747</v>
      </c>
      <c r="AU106" s="663"/>
      <c r="AV106" s="663"/>
      <c r="AX106" s="666"/>
      <c r="AY106" s="666"/>
      <c r="AZ106" s="666"/>
      <c r="BA106" s="666"/>
      <c r="BB106" s="666"/>
      <c r="BD106" s="666"/>
      <c r="BE106" s="666"/>
      <c r="BG106" s="666"/>
      <c r="BI106" s="666"/>
      <c r="BJ106" s="666"/>
      <c r="BK106" s="666"/>
    </row>
    <row r="107" spans="1:63" ht="12.75" x14ac:dyDescent="0.2">
      <c r="A107" s="288">
        <v>100</v>
      </c>
      <c r="B107" s="290" t="s">
        <v>94</v>
      </c>
      <c r="C107" s="279" t="s">
        <v>95</v>
      </c>
      <c r="D107" s="955">
        <v>142304</v>
      </c>
      <c r="E107" s="843">
        <v>102678957</v>
      </c>
      <c r="F107" s="873">
        <v>49334607</v>
      </c>
      <c r="G107" s="873">
        <v>-1667101</v>
      </c>
      <c r="H107" s="873">
        <v>1248023</v>
      </c>
      <c r="I107" s="873">
        <v>-419078</v>
      </c>
      <c r="J107" s="873">
        <v>-2672177</v>
      </c>
      <c r="K107" s="873">
        <v>0</v>
      </c>
      <c r="L107" s="873">
        <v>0</v>
      </c>
      <c r="M107" s="873">
        <v>-43223</v>
      </c>
      <c r="N107" s="873">
        <v>-1103504</v>
      </c>
      <c r="O107" s="873">
        <v>-152364</v>
      </c>
      <c r="P107" s="873">
        <v>-453546</v>
      </c>
      <c r="Q107" s="873">
        <v>0</v>
      </c>
      <c r="R107" s="873">
        <v>0</v>
      </c>
      <c r="S107" s="873">
        <v>0</v>
      </c>
      <c r="T107" s="873">
        <v>-281568</v>
      </c>
      <c r="U107" s="873">
        <v>-281568</v>
      </c>
      <c r="V107" s="873">
        <v>0</v>
      </c>
      <c r="W107" s="873">
        <v>-10000</v>
      </c>
      <c r="X107" s="873">
        <v>-20376</v>
      </c>
      <c r="Y107" s="873">
        <v>-501810</v>
      </c>
      <c r="Z107" s="873">
        <v>43596961</v>
      </c>
      <c r="AA107" s="873">
        <v>-511409</v>
      </c>
      <c r="AB107" s="874"/>
      <c r="AC107" s="873">
        <v>124</v>
      </c>
      <c r="AD107" s="873">
        <v>0</v>
      </c>
      <c r="AE107" s="873">
        <v>0</v>
      </c>
      <c r="AF107" s="873">
        <v>2</v>
      </c>
      <c r="AG107" s="873">
        <v>299</v>
      </c>
      <c r="AH107" s="873">
        <v>102</v>
      </c>
      <c r="AI107" s="873">
        <v>43</v>
      </c>
      <c r="AJ107" s="873">
        <v>0</v>
      </c>
      <c r="AK107" s="873">
        <v>0</v>
      </c>
      <c r="AL107" s="873">
        <v>0</v>
      </c>
      <c r="AM107" s="873">
        <v>8</v>
      </c>
      <c r="AN107" s="873">
        <v>0</v>
      </c>
      <c r="AO107" s="873">
        <v>1295</v>
      </c>
      <c r="AP107" s="873">
        <v>998</v>
      </c>
      <c r="AQ107" s="873">
        <v>574</v>
      </c>
      <c r="AR107" s="873">
        <v>424</v>
      </c>
      <c r="AS107" s="873">
        <v>765</v>
      </c>
      <c r="AT107" s="843">
        <v>3099</v>
      </c>
      <c r="AU107" s="663"/>
      <c r="AV107" s="663"/>
      <c r="AX107" s="666"/>
      <c r="AY107" s="666"/>
      <c r="AZ107" s="666"/>
      <c r="BA107" s="666"/>
      <c r="BB107" s="666"/>
      <c r="BD107" s="666"/>
      <c r="BE107" s="666"/>
      <c r="BG107" s="666"/>
      <c r="BI107" s="666"/>
      <c r="BJ107" s="666"/>
      <c r="BK107" s="666"/>
    </row>
    <row r="108" spans="1:63" ht="12.75" x14ac:dyDescent="0.2">
      <c r="A108" s="288">
        <v>101</v>
      </c>
      <c r="B108" s="290" t="s">
        <v>96</v>
      </c>
      <c r="C108" s="279" t="s">
        <v>97</v>
      </c>
      <c r="D108" s="955">
        <v>127876</v>
      </c>
      <c r="E108" s="843">
        <v>66174223</v>
      </c>
      <c r="F108" s="873">
        <v>31158507</v>
      </c>
      <c r="G108" s="873">
        <v>-2271948</v>
      </c>
      <c r="H108" s="873">
        <v>683449</v>
      </c>
      <c r="I108" s="873">
        <v>-1588499</v>
      </c>
      <c r="J108" s="873">
        <v>-1907143</v>
      </c>
      <c r="K108" s="873">
        <v>-29639</v>
      </c>
      <c r="L108" s="873">
        <v>-33379</v>
      </c>
      <c r="M108" s="873">
        <v>-50000</v>
      </c>
      <c r="N108" s="873">
        <v>-772251</v>
      </c>
      <c r="O108" s="873">
        <v>-29183</v>
      </c>
      <c r="P108" s="873">
        <v>-74420</v>
      </c>
      <c r="Q108" s="873">
        <v>0</v>
      </c>
      <c r="R108" s="873">
        <v>-34753</v>
      </c>
      <c r="S108" s="873">
        <v>-24492</v>
      </c>
      <c r="T108" s="873">
        <v>0</v>
      </c>
      <c r="U108" s="873">
        <v>0</v>
      </c>
      <c r="V108" s="873">
        <v>0</v>
      </c>
      <c r="W108" s="873">
        <v>0</v>
      </c>
      <c r="X108" s="873">
        <v>0</v>
      </c>
      <c r="Y108" s="873">
        <v>-458755</v>
      </c>
      <c r="Z108" s="873">
        <v>25665993</v>
      </c>
      <c r="AA108" s="873">
        <v>-800000</v>
      </c>
      <c r="AB108" s="874"/>
      <c r="AC108" s="873">
        <v>179</v>
      </c>
      <c r="AD108" s="873">
        <v>11</v>
      </c>
      <c r="AE108" s="873">
        <v>32</v>
      </c>
      <c r="AF108" s="873">
        <v>0</v>
      </c>
      <c r="AG108" s="873">
        <v>318</v>
      </c>
      <c r="AH108" s="873">
        <v>38</v>
      </c>
      <c r="AI108" s="873">
        <v>29</v>
      </c>
      <c r="AJ108" s="873">
        <v>0</v>
      </c>
      <c r="AK108" s="873">
        <v>34</v>
      </c>
      <c r="AL108" s="873">
        <v>6</v>
      </c>
      <c r="AM108" s="873">
        <v>0</v>
      </c>
      <c r="AN108" s="873">
        <v>0</v>
      </c>
      <c r="AO108" s="873">
        <v>1044</v>
      </c>
      <c r="AP108" s="873">
        <v>1225</v>
      </c>
      <c r="AQ108" s="873">
        <v>845</v>
      </c>
      <c r="AR108" s="873">
        <v>380</v>
      </c>
      <c r="AS108" s="873">
        <v>757</v>
      </c>
      <c r="AT108" s="843">
        <v>3048</v>
      </c>
      <c r="AU108" s="663"/>
      <c r="AV108" s="663"/>
      <c r="AX108" s="666"/>
      <c r="AY108" s="666"/>
      <c r="AZ108" s="666"/>
      <c r="BA108" s="666"/>
      <c r="BB108" s="666"/>
      <c r="BD108" s="666"/>
      <c r="BE108" s="666"/>
      <c r="BG108" s="666"/>
      <c r="BI108" s="666"/>
      <c r="BJ108" s="666"/>
      <c r="BK108" s="666"/>
    </row>
    <row r="109" spans="1:63" ht="12.75" x14ac:dyDescent="0.2">
      <c r="A109" s="288">
        <v>102</v>
      </c>
      <c r="B109" s="290" t="s">
        <v>98</v>
      </c>
      <c r="C109" s="279" t="s">
        <v>99</v>
      </c>
      <c r="D109" s="955">
        <v>90578</v>
      </c>
      <c r="E109" s="843">
        <v>52912705</v>
      </c>
      <c r="F109" s="873">
        <v>25392338</v>
      </c>
      <c r="G109" s="873">
        <v>-1343037</v>
      </c>
      <c r="H109" s="873">
        <v>576460</v>
      </c>
      <c r="I109" s="873">
        <v>-766577</v>
      </c>
      <c r="J109" s="873">
        <v>-1068994</v>
      </c>
      <c r="K109" s="873">
        <v>-10844</v>
      </c>
      <c r="L109" s="873">
        <v>-17335</v>
      </c>
      <c r="M109" s="873">
        <v>-46000</v>
      </c>
      <c r="N109" s="873">
        <v>-606497</v>
      </c>
      <c r="O109" s="873">
        <v>-15488</v>
      </c>
      <c r="P109" s="873">
        <v>-631</v>
      </c>
      <c r="Q109" s="873">
        <v>-574</v>
      </c>
      <c r="R109" s="873">
        <v>-4184</v>
      </c>
      <c r="S109" s="873">
        <v>0</v>
      </c>
      <c r="T109" s="873">
        <v>0</v>
      </c>
      <c r="U109" s="873">
        <v>0</v>
      </c>
      <c r="V109" s="873">
        <v>0</v>
      </c>
      <c r="W109" s="873">
        <v>0</v>
      </c>
      <c r="X109" s="873">
        <v>-4020</v>
      </c>
      <c r="Y109" s="873">
        <v>-350167</v>
      </c>
      <c r="Z109" s="873">
        <v>22501027</v>
      </c>
      <c r="AA109" s="873">
        <v>-456373</v>
      </c>
      <c r="AB109" s="874"/>
      <c r="AC109" s="873">
        <v>130</v>
      </c>
      <c r="AD109" s="873">
        <v>4</v>
      </c>
      <c r="AE109" s="873">
        <v>13</v>
      </c>
      <c r="AF109" s="873">
        <v>0</v>
      </c>
      <c r="AG109" s="873">
        <v>180</v>
      </c>
      <c r="AH109" s="873">
        <v>44</v>
      </c>
      <c r="AI109" s="873">
        <v>1</v>
      </c>
      <c r="AJ109" s="873">
        <v>3</v>
      </c>
      <c r="AK109" s="873">
        <v>6</v>
      </c>
      <c r="AL109" s="873">
        <v>0</v>
      </c>
      <c r="AM109" s="873">
        <v>0</v>
      </c>
      <c r="AN109" s="873">
        <v>0</v>
      </c>
      <c r="AO109" s="873">
        <v>836</v>
      </c>
      <c r="AP109" s="873">
        <v>760</v>
      </c>
      <c r="AQ109" s="873">
        <v>512</v>
      </c>
      <c r="AR109" s="873">
        <v>248</v>
      </c>
      <c r="AS109" s="873">
        <v>542</v>
      </c>
      <c r="AT109" s="843">
        <v>2174</v>
      </c>
      <c r="AU109" s="663"/>
      <c r="AV109" s="663"/>
      <c r="AX109" s="666"/>
      <c r="AY109" s="666"/>
      <c r="AZ109" s="666"/>
      <c r="BA109" s="666"/>
      <c r="BB109" s="666"/>
      <c r="BD109" s="666"/>
      <c r="BE109" s="666"/>
      <c r="BG109" s="666"/>
      <c r="BI109" s="666"/>
      <c r="BJ109" s="666"/>
      <c r="BK109" s="666"/>
    </row>
    <row r="110" spans="1:63" ht="12.75" x14ac:dyDescent="0.2">
      <c r="A110" s="288">
        <v>103</v>
      </c>
      <c r="B110" s="290" t="s">
        <v>100</v>
      </c>
      <c r="C110" s="279" t="s">
        <v>101</v>
      </c>
      <c r="D110" s="955">
        <v>118856</v>
      </c>
      <c r="E110" s="843">
        <v>34857504</v>
      </c>
      <c r="F110" s="873">
        <v>16731039</v>
      </c>
      <c r="G110" s="873">
        <v>-2244013</v>
      </c>
      <c r="H110" s="873">
        <v>314595</v>
      </c>
      <c r="I110" s="873">
        <v>-1929418</v>
      </c>
      <c r="J110" s="873">
        <v>-1287978</v>
      </c>
      <c r="K110" s="873">
        <v>-4003</v>
      </c>
      <c r="L110" s="873">
        <v>-42803</v>
      </c>
      <c r="M110" s="873">
        <v>-22000</v>
      </c>
      <c r="N110" s="873">
        <v>-232148</v>
      </c>
      <c r="O110" s="873">
        <v>-56097</v>
      </c>
      <c r="P110" s="873">
        <v>-61677</v>
      </c>
      <c r="Q110" s="873">
        <v>-685</v>
      </c>
      <c r="R110" s="873">
        <v>-43930</v>
      </c>
      <c r="S110" s="873">
        <v>0</v>
      </c>
      <c r="T110" s="873">
        <v>0</v>
      </c>
      <c r="U110" s="873">
        <v>0</v>
      </c>
      <c r="V110" s="873">
        <v>0</v>
      </c>
      <c r="W110" s="873">
        <v>0</v>
      </c>
      <c r="X110" s="873">
        <v>-7437</v>
      </c>
      <c r="Y110" s="873">
        <v>-243927</v>
      </c>
      <c r="Z110" s="873">
        <v>12704221</v>
      </c>
      <c r="AA110" s="873">
        <v>-94821</v>
      </c>
      <c r="AB110" s="874"/>
      <c r="AC110" s="873">
        <v>198</v>
      </c>
      <c r="AD110" s="873">
        <v>5</v>
      </c>
      <c r="AE110" s="873">
        <v>46</v>
      </c>
      <c r="AF110" s="873">
        <v>0</v>
      </c>
      <c r="AG110" s="873">
        <v>277</v>
      </c>
      <c r="AH110" s="873">
        <v>137</v>
      </c>
      <c r="AI110" s="873">
        <v>43</v>
      </c>
      <c r="AJ110" s="873">
        <v>4</v>
      </c>
      <c r="AK110" s="873">
        <v>49</v>
      </c>
      <c r="AL110" s="873">
        <v>0</v>
      </c>
      <c r="AM110" s="873">
        <v>0</v>
      </c>
      <c r="AN110" s="873">
        <v>0</v>
      </c>
      <c r="AO110" s="873">
        <v>873</v>
      </c>
      <c r="AP110" s="873">
        <v>1444</v>
      </c>
      <c r="AQ110" s="873">
        <v>1184</v>
      </c>
      <c r="AR110" s="873">
        <v>260</v>
      </c>
      <c r="AS110" s="873">
        <v>798</v>
      </c>
      <c r="AT110" s="843">
        <v>3142</v>
      </c>
      <c r="AU110" s="663"/>
      <c r="AV110" s="663"/>
      <c r="AX110" s="666"/>
      <c r="AY110" s="666"/>
      <c r="AZ110" s="666"/>
      <c r="BA110" s="666"/>
      <c r="BB110" s="666"/>
      <c r="BD110" s="666"/>
      <c r="BE110" s="666"/>
      <c r="BG110" s="666"/>
      <c r="BI110" s="666"/>
      <c r="BJ110" s="666"/>
      <c r="BK110" s="666"/>
    </row>
    <row r="111" spans="1:63" ht="12.75" x14ac:dyDescent="0.2">
      <c r="A111" s="288">
        <v>104</v>
      </c>
      <c r="B111" s="290" t="s">
        <v>102</v>
      </c>
      <c r="C111" s="279" t="s">
        <v>103</v>
      </c>
      <c r="D111" s="955">
        <v>112252</v>
      </c>
      <c r="E111" s="843">
        <v>62844180</v>
      </c>
      <c r="F111" s="873">
        <v>29292029</v>
      </c>
      <c r="G111" s="873">
        <v>-2064904</v>
      </c>
      <c r="H111" s="873">
        <v>654358</v>
      </c>
      <c r="I111" s="873">
        <v>-1410546</v>
      </c>
      <c r="J111" s="873">
        <v>-1201322</v>
      </c>
      <c r="K111" s="873">
        <v>0</v>
      </c>
      <c r="L111" s="873">
        <v>-5415</v>
      </c>
      <c r="M111" s="873">
        <v>0</v>
      </c>
      <c r="N111" s="873">
        <v>-329331</v>
      </c>
      <c r="O111" s="873">
        <v>-59704</v>
      </c>
      <c r="P111" s="873">
        <v>-22953</v>
      </c>
      <c r="Q111" s="873">
        <v>0</v>
      </c>
      <c r="R111" s="873">
        <v>-5275</v>
      </c>
      <c r="S111" s="873">
        <v>-576</v>
      </c>
      <c r="T111" s="873">
        <v>0</v>
      </c>
      <c r="U111" s="873">
        <v>0</v>
      </c>
      <c r="V111" s="873">
        <v>0</v>
      </c>
      <c r="W111" s="873">
        <v>-13951</v>
      </c>
      <c r="X111" s="873">
        <v>-16151</v>
      </c>
      <c r="Y111" s="873">
        <v>-478766</v>
      </c>
      <c r="Z111" s="873">
        <v>25048860</v>
      </c>
      <c r="AA111" s="873">
        <v>-221003</v>
      </c>
      <c r="AB111" s="874"/>
      <c r="AC111" s="873">
        <v>126</v>
      </c>
      <c r="AD111" s="873">
        <v>4</v>
      </c>
      <c r="AE111" s="873">
        <v>5</v>
      </c>
      <c r="AF111" s="873">
        <v>0</v>
      </c>
      <c r="AG111" s="873">
        <v>348</v>
      </c>
      <c r="AH111" s="873">
        <v>42</v>
      </c>
      <c r="AI111" s="873">
        <v>10</v>
      </c>
      <c r="AJ111" s="873">
        <v>4</v>
      </c>
      <c r="AK111" s="873">
        <v>6</v>
      </c>
      <c r="AL111" s="873">
        <v>0</v>
      </c>
      <c r="AM111" s="873">
        <v>0</v>
      </c>
      <c r="AN111" s="873">
        <v>0</v>
      </c>
      <c r="AO111" s="873">
        <v>944</v>
      </c>
      <c r="AP111" s="873">
        <v>1073</v>
      </c>
      <c r="AQ111" s="873">
        <v>717</v>
      </c>
      <c r="AR111" s="873">
        <v>356</v>
      </c>
      <c r="AS111" s="873">
        <v>738</v>
      </c>
      <c r="AT111" s="843">
        <v>2739</v>
      </c>
      <c r="AU111" s="663"/>
      <c r="AV111" s="663"/>
      <c r="AX111" s="666"/>
      <c r="AY111" s="666"/>
      <c r="AZ111" s="666"/>
      <c r="BA111" s="666"/>
      <c r="BB111" s="666"/>
      <c r="BD111" s="666"/>
      <c r="BE111" s="666"/>
      <c r="BG111" s="666"/>
      <c r="BI111" s="666"/>
      <c r="BJ111" s="666"/>
      <c r="BK111" s="666"/>
    </row>
    <row r="112" spans="1:63" ht="12.75" x14ac:dyDescent="0.2">
      <c r="A112" s="288">
        <v>105</v>
      </c>
      <c r="B112" s="290" t="s">
        <v>104</v>
      </c>
      <c r="C112" s="279" t="s">
        <v>105</v>
      </c>
      <c r="D112" s="955">
        <v>293350</v>
      </c>
      <c r="E112" s="843">
        <v>219934499</v>
      </c>
      <c r="F112" s="873">
        <v>105917362</v>
      </c>
      <c r="G112" s="873">
        <v>-3843691</v>
      </c>
      <c r="H112" s="873">
        <v>2545434</v>
      </c>
      <c r="I112" s="873">
        <v>-1298257</v>
      </c>
      <c r="J112" s="873">
        <v>-3718301</v>
      </c>
      <c r="K112" s="873">
        <v>-96470</v>
      </c>
      <c r="L112" s="873">
        <v>-11191</v>
      </c>
      <c r="M112" s="873">
        <v>-50000</v>
      </c>
      <c r="N112" s="873">
        <v>-4586676</v>
      </c>
      <c r="O112" s="873">
        <v>-93633</v>
      </c>
      <c r="P112" s="873">
        <v>-34049</v>
      </c>
      <c r="Q112" s="873">
        <v>0</v>
      </c>
      <c r="R112" s="873">
        <v>0</v>
      </c>
      <c r="S112" s="873">
        <v>0</v>
      </c>
      <c r="T112" s="873">
        <v>0</v>
      </c>
      <c r="U112" s="873">
        <v>0</v>
      </c>
      <c r="V112" s="873">
        <v>0</v>
      </c>
      <c r="W112" s="873">
        <v>0</v>
      </c>
      <c r="X112" s="873">
        <v>0</v>
      </c>
      <c r="Y112" s="873">
        <v>-768606</v>
      </c>
      <c r="Z112" s="873">
        <v>95260179</v>
      </c>
      <c r="AA112" s="873">
        <v>-900000</v>
      </c>
      <c r="AB112" s="874"/>
      <c r="AC112" s="873">
        <v>266</v>
      </c>
      <c r="AD112" s="873">
        <v>14</v>
      </c>
      <c r="AE112" s="873">
        <v>8</v>
      </c>
      <c r="AF112" s="873">
        <v>0</v>
      </c>
      <c r="AG112" s="873">
        <v>786</v>
      </c>
      <c r="AH112" s="873">
        <v>69</v>
      </c>
      <c r="AI112" s="873">
        <v>30</v>
      </c>
      <c r="AJ112" s="873">
        <v>0</v>
      </c>
      <c r="AK112" s="873">
        <v>0</v>
      </c>
      <c r="AL112" s="873">
        <v>0</v>
      </c>
      <c r="AM112" s="873">
        <v>0</v>
      </c>
      <c r="AN112" s="873">
        <v>0</v>
      </c>
      <c r="AO112" s="873">
        <v>2696</v>
      </c>
      <c r="AP112" s="873">
        <v>2197</v>
      </c>
      <c r="AQ112" s="873">
        <v>1615</v>
      </c>
      <c r="AR112" s="873">
        <v>582</v>
      </c>
      <c r="AS112" s="873">
        <v>1695</v>
      </c>
      <c r="AT112" s="843">
        <v>6612</v>
      </c>
      <c r="AU112" s="663"/>
      <c r="AV112" s="663"/>
      <c r="AX112" s="666"/>
      <c r="AY112" s="666"/>
      <c r="AZ112" s="666"/>
      <c r="BA112" s="666"/>
      <c r="BB112" s="666"/>
      <c r="BD112" s="666"/>
      <c r="BE112" s="666"/>
      <c r="BG112" s="666"/>
      <c r="BI112" s="666"/>
      <c r="BJ112" s="666"/>
      <c r="BK112" s="666"/>
    </row>
    <row r="113" spans="1:63" ht="12.75" x14ac:dyDescent="0.2">
      <c r="A113" s="288">
        <v>106</v>
      </c>
      <c r="B113" s="290" t="s">
        <v>106</v>
      </c>
      <c r="C113" s="279" t="s">
        <v>107</v>
      </c>
      <c r="D113" s="955">
        <v>101234</v>
      </c>
      <c r="E113" s="843">
        <v>52999363</v>
      </c>
      <c r="F113" s="873">
        <v>25253358</v>
      </c>
      <c r="G113" s="873">
        <v>-1643870</v>
      </c>
      <c r="H113" s="873">
        <v>554082.16</v>
      </c>
      <c r="I113" s="873">
        <v>-1089787.8999999999</v>
      </c>
      <c r="J113" s="873">
        <v>-1089293.3</v>
      </c>
      <c r="K113" s="873">
        <v>-49398.6</v>
      </c>
      <c r="L113" s="873">
        <v>-474.52</v>
      </c>
      <c r="M113" s="873">
        <v>-8466.7199999999993</v>
      </c>
      <c r="N113" s="873">
        <v>-291230.05</v>
      </c>
      <c r="O113" s="873">
        <v>-83608.87</v>
      </c>
      <c r="P113" s="873">
        <v>-45184.800000000003</v>
      </c>
      <c r="Q113" s="873">
        <v>-5940.65</v>
      </c>
      <c r="R113" s="873">
        <v>-5082.51</v>
      </c>
      <c r="S113" s="873">
        <v>0</v>
      </c>
      <c r="T113" s="873">
        <v>0</v>
      </c>
      <c r="U113" s="873">
        <v>0</v>
      </c>
      <c r="V113" s="873">
        <v>0</v>
      </c>
      <c r="W113" s="873">
        <v>0</v>
      </c>
      <c r="X113" s="873">
        <v>-34491</v>
      </c>
      <c r="Y113" s="873">
        <v>-409493</v>
      </c>
      <c r="Z113" s="873">
        <v>22140906</v>
      </c>
      <c r="AA113" s="873">
        <v>-337287</v>
      </c>
      <c r="AB113" s="874"/>
      <c r="AC113" s="873">
        <v>96</v>
      </c>
      <c r="AD113" s="873">
        <v>4</v>
      </c>
      <c r="AE113" s="873">
        <v>1</v>
      </c>
      <c r="AF113" s="873">
        <v>1</v>
      </c>
      <c r="AG113" s="873">
        <v>150</v>
      </c>
      <c r="AH113" s="873">
        <v>72</v>
      </c>
      <c r="AI113" s="873">
        <v>13</v>
      </c>
      <c r="AJ113" s="873">
        <v>2</v>
      </c>
      <c r="AK113" s="873">
        <v>2</v>
      </c>
      <c r="AL113" s="873">
        <v>0</v>
      </c>
      <c r="AM113" s="873">
        <v>0</v>
      </c>
      <c r="AN113" s="873">
        <v>0</v>
      </c>
      <c r="AO113" s="873">
        <v>765</v>
      </c>
      <c r="AP113" s="873">
        <v>964</v>
      </c>
      <c r="AQ113" s="873">
        <v>688</v>
      </c>
      <c r="AR113" s="873">
        <v>276</v>
      </c>
      <c r="AS113" s="873">
        <v>730</v>
      </c>
      <c r="AT113" s="843">
        <v>2470</v>
      </c>
      <c r="AU113" s="663"/>
      <c r="AV113" s="663"/>
      <c r="AX113" s="666"/>
      <c r="AY113" s="666"/>
      <c r="AZ113" s="666"/>
      <c r="BA113" s="666"/>
      <c r="BB113" s="666"/>
      <c r="BD113" s="666"/>
      <c r="BE113" s="666"/>
      <c r="BG113" s="666"/>
      <c r="BI113" s="666"/>
      <c r="BJ113" s="666"/>
      <c r="BK113" s="666"/>
    </row>
    <row r="114" spans="1:63" ht="12.75" x14ac:dyDescent="0.2">
      <c r="A114" s="288">
        <v>107</v>
      </c>
      <c r="B114" s="290" t="s">
        <v>108</v>
      </c>
      <c r="C114" s="279" t="s">
        <v>109</v>
      </c>
      <c r="D114" s="955">
        <v>179492</v>
      </c>
      <c r="E114" s="843">
        <v>127024276</v>
      </c>
      <c r="F114" s="873">
        <v>60832350</v>
      </c>
      <c r="G114" s="873">
        <v>-1561382</v>
      </c>
      <c r="H114" s="873">
        <v>1494723</v>
      </c>
      <c r="I114" s="873">
        <v>-66659</v>
      </c>
      <c r="J114" s="873">
        <v>-3355301</v>
      </c>
      <c r="K114" s="873">
        <v>-39953</v>
      </c>
      <c r="L114" s="873">
        <v>0</v>
      </c>
      <c r="M114" s="873">
        <v>0</v>
      </c>
      <c r="N114" s="873">
        <v>-1610360</v>
      </c>
      <c r="O114" s="873">
        <v>-2391</v>
      </c>
      <c r="P114" s="873">
        <v>-53919</v>
      </c>
      <c r="Q114" s="873">
        <v>0</v>
      </c>
      <c r="R114" s="873">
        <v>0</v>
      </c>
      <c r="S114" s="873">
        <v>0</v>
      </c>
      <c r="T114" s="873">
        <v>0</v>
      </c>
      <c r="U114" s="873">
        <v>0</v>
      </c>
      <c r="V114" s="873">
        <v>0</v>
      </c>
      <c r="W114" s="873">
        <v>0</v>
      </c>
      <c r="X114" s="873">
        <v>-1186</v>
      </c>
      <c r="Y114" s="873">
        <v>-773839</v>
      </c>
      <c r="Z114" s="873">
        <v>54928742</v>
      </c>
      <c r="AA114" s="873">
        <v>-446287</v>
      </c>
      <c r="AB114" s="874"/>
      <c r="AC114" s="873">
        <v>216</v>
      </c>
      <c r="AD114" s="873">
        <v>16</v>
      </c>
      <c r="AE114" s="873">
        <v>0</v>
      </c>
      <c r="AF114" s="873">
        <v>7</v>
      </c>
      <c r="AG114" s="873">
        <v>379</v>
      </c>
      <c r="AH114" s="873">
        <v>1</v>
      </c>
      <c r="AI114" s="873">
        <v>10</v>
      </c>
      <c r="AJ114" s="873">
        <v>0</v>
      </c>
      <c r="AK114" s="873">
        <v>0</v>
      </c>
      <c r="AL114" s="873">
        <v>0</v>
      </c>
      <c r="AM114" s="873">
        <v>0</v>
      </c>
      <c r="AN114" s="873">
        <v>0</v>
      </c>
      <c r="AO114" s="873">
        <v>1718</v>
      </c>
      <c r="AP114" s="873">
        <v>1096</v>
      </c>
      <c r="AQ114" s="873">
        <v>824</v>
      </c>
      <c r="AR114" s="873">
        <v>272</v>
      </c>
      <c r="AS114" s="873">
        <v>1152</v>
      </c>
      <c r="AT114" s="843">
        <v>4016</v>
      </c>
      <c r="AU114" s="663"/>
      <c r="AV114" s="663"/>
      <c r="AX114" s="666"/>
      <c r="AY114" s="666"/>
      <c r="AZ114" s="666"/>
      <c r="BA114" s="666"/>
      <c r="BB114" s="666"/>
      <c r="BD114" s="666"/>
      <c r="BE114" s="666"/>
      <c r="BG114" s="666"/>
      <c r="BI114" s="666"/>
      <c r="BJ114" s="666"/>
      <c r="BK114" s="666"/>
    </row>
    <row r="115" spans="1:63" ht="12.75" x14ac:dyDescent="0.2">
      <c r="A115" s="288">
        <v>108</v>
      </c>
      <c r="B115" s="290" t="s">
        <v>110</v>
      </c>
      <c r="C115" s="279" t="s">
        <v>111</v>
      </c>
      <c r="D115" s="955">
        <v>79768</v>
      </c>
      <c r="E115" s="843">
        <v>40834926</v>
      </c>
      <c r="F115" s="873">
        <v>19331836</v>
      </c>
      <c r="G115" s="873">
        <v>-1244344</v>
      </c>
      <c r="H115" s="873">
        <v>421443</v>
      </c>
      <c r="I115" s="873">
        <v>-822901</v>
      </c>
      <c r="J115" s="873">
        <v>-1095988</v>
      </c>
      <c r="K115" s="873">
        <v>-11931</v>
      </c>
      <c r="L115" s="873">
        <v>0</v>
      </c>
      <c r="M115" s="873">
        <v>-15000</v>
      </c>
      <c r="N115" s="873">
        <v>-259070</v>
      </c>
      <c r="O115" s="873">
        <v>-88303</v>
      </c>
      <c r="P115" s="873">
        <v>-67521</v>
      </c>
      <c r="Q115" s="873">
        <v>0</v>
      </c>
      <c r="R115" s="873">
        <v>0</v>
      </c>
      <c r="S115" s="873">
        <v>0</v>
      </c>
      <c r="T115" s="873">
        <v>-79395</v>
      </c>
      <c r="U115" s="873">
        <v>-79395</v>
      </c>
      <c r="V115" s="873">
        <v>0</v>
      </c>
      <c r="W115" s="873">
        <v>-37500</v>
      </c>
      <c r="X115" s="873">
        <v>-20000</v>
      </c>
      <c r="Y115" s="873">
        <v>-263509</v>
      </c>
      <c r="Z115" s="873">
        <v>15835718</v>
      </c>
      <c r="AA115" s="873">
        <v>-809300</v>
      </c>
      <c r="AB115" s="874"/>
      <c r="AC115" s="873">
        <v>96</v>
      </c>
      <c r="AD115" s="873">
        <v>2</v>
      </c>
      <c r="AE115" s="873">
        <v>0</v>
      </c>
      <c r="AF115" s="873">
        <v>0</v>
      </c>
      <c r="AG115" s="873">
        <v>96</v>
      </c>
      <c r="AH115" s="873">
        <v>46</v>
      </c>
      <c r="AI115" s="873">
        <v>14</v>
      </c>
      <c r="AJ115" s="873">
        <v>0</v>
      </c>
      <c r="AK115" s="873">
        <v>0</v>
      </c>
      <c r="AL115" s="873">
        <v>0</v>
      </c>
      <c r="AM115" s="873">
        <v>5</v>
      </c>
      <c r="AN115" s="873">
        <v>87</v>
      </c>
      <c r="AO115" s="873">
        <v>594</v>
      </c>
      <c r="AP115" s="873">
        <v>616</v>
      </c>
      <c r="AQ115" s="873">
        <v>389</v>
      </c>
      <c r="AR115" s="873">
        <v>227</v>
      </c>
      <c r="AS115" s="873">
        <v>694</v>
      </c>
      <c r="AT115" s="843">
        <v>1901</v>
      </c>
      <c r="AU115" s="663"/>
      <c r="AV115" s="663"/>
      <c r="AX115" s="666"/>
      <c r="AY115" s="666"/>
      <c r="AZ115" s="666"/>
      <c r="BA115" s="666"/>
      <c r="BB115" s="666"/>
      <c r="BD115" s="666"/>
      <c r="BE115" s="666"/>
      <c r="BG115" s="666"/>
      <c r="BI115" s="666"/>
      <c r="BJ115" s="666"/>
      <c r="BK115" s="666"/>
    </row>
    <row r="116" spans="1:63" ht="12.75" x14ac:dyDescent="0.2">
      <c r="A116" s="288">
        <v>109</v>
      </c>
      <c r="B116" s="290" t="s">
        <v>112</v>
      </c>
      <c r="C116" s="279" t="s">
        <v>113</v>
      </c>
      <c r="D116" s="955">
        <v>96778</v>
      </c>
      <c r="E116" s="843">
        <v>62333475</v>
      </c>
      <c r="F116" s="873">
        <v>29662860</v>
      </c>
      <c r="G116" s="873">
        <v>-1600484</v>
      </c>
      <c r="H116" s="873">
        <v>684315</v>
      </c>
      <c r="I116" s="873">
        <v>-916169</v>
      </c>
      <c r="J116" s="873">
        <v>-2456719</v>
      </c>
      <c r="K116" s="873">
        <v>-38957</v>
      </c>
      <c r="L116" s="873">
        <v>-9388</v>
      </c>
      <c r="M116" s="873">
        <v>-50000</v>
      </c>
      <c r="N116" s="873">
        <v>-699099</v>
      </c>
      <c r="O116" s="873">
        <v>-102894</v>
      </c>
      <c r="P116" s="873">
        <v>-26253</v>
      </c>
      <c r="Q116" s="873">
        <v>-224</v>
      </c>
      <c r="R116" s="873">
        <v>-1382</v>
      </c>
      <c r="S116" s="873">
        <v>-2920</v>
      </c>
      <c r="T116" s="873">
        <v>0</v>
      </c>
      <c r="U116" s="873">
        <v>0</v>
      </c>
      <c r="V116" s="873">
        <v>0</v>
      </c>
      <c r="W116" s="873">
        <v>0</v>
      </c>
      <c r="X116" s="873">
        <v>-33462</v>
      </c>
      <c r="Y116" s="873">
        <v>-530690</v>
      </c>
      <c r="Z116" s="873">
        <v>24794703</v>
      </c>
      <c r="AA116" s="873">
        <v>-771642</v>
      </c>
      <c r="AB116" s="874"/>
      <c r="AC116" s="873">
        <v>127</v>
      </c>
      <c r="AD116" s="873">
        <v>14</v>
      </c>
      <c r="AE116" s="873">
        <v>7</v>
      </c>
      <c r="AF116" s="873">
        <v>0</v>
      </c>
      <c r="AG116" s="873">
        <v>259</v>
      </c>
      <c r="AH116" s="873">
        <v>31</v>
      </c>
      <c r="AI116" s="873">
        <v>5</v>
      </c>
      <c r="AJ116" s="873">
        <v>1</v>
      </c>
      <c r="AK116" s="873">
        <v>2</v>
      </c>
      <c r="AL116" s="873">
        <v>0</v>
      </c>
      <c r="AM116" s="873">
        <v>0</v>
      </c>
      <c r="AN116" s="873">
        <v>0</v>
      </c>
      <c r="AO116" s="873">
        <v>834</v>
      </c>
      <c r="AP116" s="873">
        <v>790</v>
      </c>
      <c r="AQ116" s="873">
        <v>474</v>
      </c>
      <c r="AR116" s="873">
        <v>316</v>
      </c>
      <c r="AS116" s="873">
        <v>639</v>
      </c>
      <c r="AT116" s="843">
        <v>2262</v>
      </c>
      <c r="AU116" s="663"/>
      <c r="AV116" s="663"/>
      <c r="AX116" s="666"/>
      <c r="AY116" s="666"/>
      <c r="AZ116" s="666"/>
      <c r="BA116" s="666"/>
      <c r="BB116" s="666"/>
      <c r="BD116" s="666"/>
      <c r="BE116" s="666"/>
      <c r="BG116" s="666"/>
      <c r="BI116" s="666"/>
      <c r="BJ116" s="666"/>
      <c r="BK116" s="666"/>
    </row>
    <row r="117" spans="1:63" ht="12.75" x14ac:dyDescent="0.2">
      <c r="A117" s="288">
        <v>110</v>
      </c>
      <c r="B117" s="290" t="s">
        <v>114</v>
      </c>
      <c r="C117" s="279" t="s">
        <v>115</v>
      </c>
      <c r="D117" s="955">
        <v>184873</v>
      </c>
      <c r="E117" s="843">
        <v>77376448</v>
      </c>
      <c r="F117" s="873">
        <v>37079611</v>
      </c>
      <c r="G117" s="873">
        <v>-2721374</v>
      </c>
      <c r="H117" s="873">
        <v>791384</v>
      </c>
      <c r="I117" s="873">
        <v>-1929990</v>
      </c>
      <c r="J117" s="873">
        <v>-1691014</v>
      </c>
      <c r="K117" s="873">
        <v>-19720</v>
      </c>
      <c r="L117" s="873">
        <v>-1474</v>
      </c>
      <c r="M117" s="873">
        <v>-89000</v>
      </c>
      <c r="N117" s="873">
        <v>-753268</v>
      </c>
      <c r="O117" s="873">
        <v>-113451</v>
      </c>
      <c r="P117" s="873">
        <v>-37293</v>
      </c>
      <c r="Q117" s="873">
        <v>0</v>
      </c>
      <c r="R117" s="873">
        <v>-801</v>
      </c>
      <c r="S117" s="873">
        <v>0</v>
      </c>
      <c r="T117" s="873">
        <v>-332394</v>
      </c>
      <c r="U117" s="873">
        <v>-332394</v>
      </c>
      <c r="V117" s="873">
        <v>0</v>
      </c>
      <c r="W117" s="873">
        <v>0</v>
      </c>
      <c r="X117" s="873">
        <v>0</v>
      </c>
      <c r="Y117" s="873">
        <v>-141000</v>
      </c>
      <c r="Z117" s="873">
        <v>31379556</v>
      </c>
      <c r="AA117" s="873">
        <v>-2400287</v>
      </c>
      <c r="AB117" s="874"/>
      <c r="AC117" s="873">
        <v>179</v>
      </c>
      <c r="AD117" s="873">
        <v>1</v>
      </c>
      <c r="AE117" s="873">
        <v>3</v>
      </c>
      <c r="AF117" s="873">
        <v>0</v>
      </c>
      <c r="AG117" s="873">
        <v>279</v>
      </c>
      <c r="AH117" s="873">
        <v>115</v>
      </c>
      <c r="AI117" s="873">
        <v>20</v>
      </c>
      <c r="AJ117" s="873">
        <v>0</v>
      </c>
      <c r="AK117" s="873">
        <v>1</v>
      </c>
      <c r="AL117" s="873">
        <v>0</v>
      </c>
      <c r="AM117" s="873">
        <v>16</v>
      </c>
      <c r="AN117" s="873">
        <v>0</v>
      </c>
      <c r="AO117" s="873">
        <v>1226</v>
      </c>
      <c r="AP117" s="873">
        <v>1739</v>
      </c>
      <c r="AQ117" s="873">
        <v>1348</v>
      </c>
      <c r="AR117" s="873">
        <v>391</v>
      </c>
      <c r="AS117" s="873">
        <v>1756</v>
      </c>
      <c r="AT117" s="843">
        <v>4767</v>
      </c>
      <c r="AU117" s="663"/>
      <c r="AV117" s="663"/>
      <c r="AX117" s="666"/>
      <c r="AY117" s="666"/>
      <c r="AZ117" s="666"/>
      <c r="BA117" s="666"/>
      <c r="BB117" s="666"/>
      <c r="BD117" s="666"/>
      <c r="BE117" s="666"/>
      <c r="BG117" s="666"/>
      <c r="BI117" s="666"/>
      <c r="BJ117" s="666"/>
      <c r="BK117" s="666"/>
    </row>
    <row r="118" spans="1:63" ht="12.75" x14ac:dyDescent="0.2">
      <c r="A118" s="288">
        <v>111</v>
      </c>
      <c r="B118" s="290" t="s">
        <v>116</v>
      </c>
      <c r="C118" s="279" t="s">
        <v>117</v>
      </c>
      <c r="D118" s="955">
        <v>276508</v>
      </c>
      <c r="E118" s="843">
        <v>173910943</v>
      </c>
      <c r="F118" s="873">
        <v>86860675</v>
      </c>
      <c r="G118" s="873">
        <v>-3314429</v>
      </c>
      <c r="H118" s="873">
        <v>1174624</v>
      </c>
      <c r="I118" s="873">
        <v>-2139805</v>
      </c>
      <c r="J118" s="873">
        <v>-7590931</v>
      </c>
      <c r="K118" s="873">
        <v>-130187</v>
      </c>
      <c r="L118" s="873">
        <v>0</v>
      </c>
      <c r="M118" s="873">
        <v>-115422</v>
      </c>
      <c r="N118" s="873">
        <v>-2965779</v>
      </c>
      <c r="O118" s="873">
        <v>-531475</v>
      </c>
      <c r="P118" s="873">
        <v>-67179</v>
      </c>
      <c r="Q118" s="873">
        <v>0</v>
      </c>
      <c r="R118" s="873">
        <v>0</v>
      </c>
      <c r="S118" s="873">
        <v>0</v>
      </c>
      <c r="T118" s="873">
        <v>-500000</v>
      </c>
      <c r="U118" s="873">
        <v>0</v>
      </c>
      <c r="V118" s="873">
        <v>0</v>
      </c>
      <c r="W118" s="873">
        <v>-65000</v>
      </c>
      <c r="X118" s="873">
        <v>-352899</v>
      </c>
      <c r="Y118" s="873">
        <v>-1110000</v>
      </c>
      <c r="Z118" s="873">
        <v>71291998</v>
      </c>
      <c r="AA118" s="873">
        <v>-1180000</v>
      </c>
      <c r="AB118" s="874"/>
      <c r="AC118" s="873">
        <v>309</v>
      </c>
      <c r="AD118" s="873">
        <v>12</v>
      </c>
      <c r="AE118" s="873">
        <v>0</v>
      </c>
      <c r="AF118" s="873">
        <v>5</v>
      </c>
      <c r="AG118" s="873">
        <v>783</v>
      </c>
      <c r="AH118" s="873">
        <v>150</v>
      </c>
      <c r="AI118" s="873">
        <v>8</v>
      </c>
      <c r="AJ118" s="873">
        <v>0</v>
      </c>
      <c r="AK118" s="873">
        <v>0</v>
      </c>
      <c r="AL118" s="873">
        <v>0</v>
      </c>
      <c r="AM118" s="873">
        <v>0</v>
      </c>
      <c r="AN118" s="873">
        <v>0</v>
      </c>
      <c r="AO118" s="873">
        <v>1864</v>
      </c>
      <c r="AP118" s="873">
        <v>1561</v>
      </c>
      <c r="AQ118" s="873">
        <v>870</v>
      </c>
      <c r="AR118" s="873">
        <v>691</v>
      </c>
      <c r="AS118" s="873">
        <v>1693</v>
      </c>
      <c r="AT118" s="843">
        <v>5065</v>
      </c>
      <c r="AU118" s="663"/>
      <c r="AV118" s="663"/>
      <c r="AX118" s="666"/>
      <c r="AY118" s="666"/>
      <c r="AZ118" s="666"/>
      <c r="BA118" s="666"/>
      <c r="BB118" s="666"/>
      <c r="BD118" s="666"/>
      <c r="BE118" s="666"/>
      <c r="BG118" s="666"/>
      <c r="BI118" s="666"/>
      <c r="BJ118" s="666"/>
      <c r="BK118" s="666"/>
    </row>
    <row r="119" spans="1:63" ht="12.75" x14ac:dyDescent="0.2">
      <c r="A119" s="288">
        <v>112</v>
      </c>
      <c r="B119" s="290" t="s">
        <v>118</v>
      </c>
      <c r="C119" s="279" t="s">
        <v>119</v>
      </c>
      <c r="D119" s="955">
        <v>232751</v>
      </c>
      <c r="E119" s="843">
        <v>194643544</v>
      </c>
      <c r="F119" s="873">
        <v>92140066</v>
      </c>
      <c r="G119" s="873">
        <v>-1782510</v>
      </c>
      <c r="H119" s="873">
        <v>2332138</v>
      </c>
      <c r="I119" s="873">
        <v>549628</v>
      </c>
      <c r="J119" s="873">
        <v>-7742474</v>
      </c>
      <c r="K119" s="873">
        <v>-71850</v>
      </c>
      <c r="L119" s="873">
        <v>-20589</v>
      </c>
      <c r="M119" s="873">
        <v>0</v>
      </c>
      <c r="N119" s="873">
        <v>-1257847</v>
      </c>
      <c r="O119" s="873">
        <v>-145429</v>
      </c>
      <c r="P119" s="873">
        <v>-4930</v>
      </c>
      <c r="Q119" s="873">
        <v>0</v>
      </c>
      <c r="R119" s="873">
        <v>-20589</v>
      </c>
      <c r="S119" s="873">
        <v>-16800</v>
      </c>
      <c r="T119" s="873">
        <v>0</v>
      </c>
      <c r="U119" s="873">
        <v>0</v>
      </c>
      <c r="V119" s="873">
        <v>0</v>
      </c>
      <c r="W119" s="873">
        <v>0</v>
      </c>
      <c r="X119" s="873">
        <v>-45312</v>
      </c>
      <c r="Y119" s="873">
        <v>-482130</v>
      </c>
      <c r="Z119" s="873">
        <v>81816120</v>
      </c>
      <c r="AA119" s="873">
        <v>-1000000</v>
      </c>
      <c r="AB119" s="874"/>
      <c r="AC119" s="873">
        <v>296</v>
      </c>
      <c r="AD119" s="873">
        <v>20</v>
      </c>
      <c r="AE119" s="873">
        <v>17</v>
      </c>
      <c r="AF119" s="873">
        <v>0</v>
      </c>
      <c r="AG119" s="873">
        <v>229</v>
      </c>
      <c r="AH119" s="873">
        <v>126</v>
      </c>
      <c r="AI119" s="873">
        <v>6</v>
      </c>
      <c r="AJ119" s="873">
        <v>0</v>
      </c>
      <c r="AK119" s="873">
        <v>17</v>
      </c>
      <c r="AL119" s="873">
        <v>3</v>
      </c>
      <c r="AM119" s="873">
        <v>0</v>
      </c>
      <c r="AN119" s="873">
        <v>0</v>
      </c>
      <c r="AO119" s="873">
        <v>2191</v>
      </c>
      <c r="AP119" s="873">
        <v>963</v>
      </c>
      <c r="AQ119" s="873">
        <v>590</v>
      </c>
      <c r="AR119" s="873">
        <v>373</v>
      </c>
      <c r="AS119" s="873">
        <v>1183</v>
      </c>
      <c r="AT119" s="843">
        <v>4394</v>
      </c>
      <c r="AU119" s="663"/>
      <c r="AV119" s="663"/>
      <c r="AX119" s="666"/>
      <c r="AY119" s="666"/>
      <c r="AZ119" s="666"/>
      <c r="BA119" s="666"/>
      <c r="BB119" s="666"/>
      <c r="BD119" s="666"/>
      <c r="BE119" s="666"/>
      <c r="BG119" s="666"/>
      <c r="BI119" s="666"/>
      <c r="BJ119" s="666"/>
      <c r="BK119" s="666"/>
    </row>
    <row r="120" spans="1:63" ht="12.75" x14ac:dyDescent="0.2">
      <c r="A120" s="288">
        <v>113</v>
      </c>
      <c r="B120" s="290" t="s">
        <v>120</v>
      </c>
      <c r="C120" s="279" t="s">
        <v>121</v>
      </c>
      <c r="D120" s="955">
        <v>499664</v>
      </c>
      <c r="E120" s="843">
        <v>236071251</v>
      </c>
      <c r="F120" s="873">
        <v>114568392</v>
      </c>
      <c r="G120" s="873">
        <v>-5490808</v>
      </c>
      <c r="H120" s="873">
        <v>2298149</v>
      </c>
      <c r="I120" s="873">
        <v>-3192659</v>
      </c>
      <c r="J120" s="873">
        <v>-12560178</v>
      </c>
      <c r="K120" s="873">
        <v>0</v>
      </c>
      <c r="L120" s="873">
        <v>0</v>
      </c>
      <c r="M120" s="873">
        <v>0</v>
      </c>
      <c r="N120" s="873">
        <v>-1564795</v>
      </c>
      <c r="O120" s="873">
        <v>-200000</v>
      </c>
      <c r="P120" s="873">
        <v>-20000</v>
      </c>
      <c r="Q120" s="873">
        <v>0</v>
      </c>
      <c r="R120" s="873">
        <v>0</v>
      </c>
      <c r="S120" s="873">
        <v>0</v>
      </c>
      <c r="T120" s="873">
        <v>0</v>
      </c>
      <c r="U120" s="873">
        <v>0</v>
      </c>
      <c r="V120" s="873">
        <v>0</v>
      </c>
      <c r="W120" s="873">
        <v>0</v>
      </c>
      <c r="X120" s="873">
        <v>0</v>
      </c>
      <c r="Y120" s="873">
        <v>-1693853</v>
      </c>
      <c r="Z120" s="873">
        <v>95336907</v>
      </c>
      <c r="AA120" s="873">
        <v>-3200000</v>
      </c>
      <c r="AB120" s="874"/>
      <c r="AC120" s="873">
        <v>570</v>
      </c>
      <c r="AD120" s="873">
        <v>0</v>
      </c>
      <c r="AE120" s="873">
        <v>0</v>
      </c>
      <c r="AF120" s="873">
        <v>0</v>
      </c>
      <c r="AG120" s="873">
        <v>549</v>
      </c>
      <c r="AH120" s="873">
        <v>28</v>
      </c>
      <c r="AI120" s="873">
        <v>3</v>
      </c>
      <c r="AJ120" s="873">
        <v>0</v>
      </c>
      <c r="AK120" s="873">
        <v>0</v>
      </c>
      <c r="AL120" s="873">
        <v>0</v>
      </c>
      <c r="AM120" s="873">
        <v>0</v>
      </c>
      <c r="AN120" s="873">
        <v>0</v>
      </c>
      <c r="AO120" s="873">
        <v>3236</v>
      </c>
      <c r="AP120" s="873">
        <v>2927</v>
      </c>
      <c r="AQ120" s="873">
        <v>1435</v>
      </c>
      <c r="AR120" s="873">
        <v>1492</v>
      </c>
      <c r="AS120" s="873">
        <v>3815</v>
      </c>
      <c r="AT120" s="843">
        <v>9919</v>
      </c>
      <c r="AU120" s="663"/>
      <c r="AV120" s="663"/>
      <c r="AX120" s="666"/>
      <c r="AY120" s="666"/>
      <c r="AZ120" s="666"/>
      <c r="BA120" s="666"/>
      <c r="BB120" s="666"/>
      <c r="BD120" s="666"/>
      <c r="BE120" s="666"/>
      <c r="BG120" s="666"/>
      <c r="BI120" s="666"/>
      <c r="BJ120" s="666"/>
      <c r="BK120" s="666"/>
    </row>
    <row r="121" spans="1:63" ht="12.75" x14ac:dyDescent="0.2">
      <c r="A121" s="288">
        <v>114</v>
      </c>
      <c r="B121" s="290" t="s">
        <v>122</v>
      </c>
      <c r="C121" s="279" t="s">
        <v>123</v>
      </c>
      <c r="D121" s="955">
        <v>165255</v>
      </c>
      <c r="E121" s="843">
        <v>135570912</v>
      </c>
      <c r="F121" s="873">
        <v>60936104</v>
      </c>
      <c r="G121" s="873">
        <v>-1884451</v>
      </c>
      <c r="H121" s="873">
        <v>1301005</v>
      </c>
      <c r="I121" s="873">
        <v>-583446</v>
      </c>
      <c r="J121" s="873">
        <v>-2372890</v>
      </c>
      <c r="K121" s="873">
        <v>-90874</v>
      </c>
      <c r="L121" s="873">
        <v>-1572</v>
      </c>
      <c r="M121" s="873">
        <v>-203822</v>
      </c>
      <c r="N121" s="873">
        <v>-2345242</v>
      </c>
      <c r="O121" s="873">
        <v>-76870</v>
      </c>
      <c r="P121" s="873">
        <v>-270013</v>
      </c>
      <c r="Q121" s="873">
        <v>-13803</v>
      </c>
      <c r="R121" s="873">
        <v>0</v>
      </c>
      <c r="S121" s="873">
        <v>0</v>
      </c>
      <c r="T121" s="873">
        <v>-177000</v>
      </c>
      <c r="U121" s="873">
        <v>-143748</v>
      </c>
      <c r="V121" s="873">
        <v>-33252</v>
      </c>
      <c r="W121" s="873">
        <v>0</v>
      </c>
      <c r="X121" s="873">
        <v>0</v>
      </c>
      <c r="Y121" s="873">
        <v>-399237</v>
      </c>
      <c r="Z121" s="873">
        <v>54401335</v>
      </c>
      <c r="AA121" s="873">
        <v>-1190057</v>
      </c>
      <c r="AB121" s="874"/>
      <c r="AC121" s="873">
        <v>133</v>
      </c>
      <c r="AD121" s="873">
        <v>6</v>
      </c>
      <c r="AE121" s="873">
        <v>2</v>
      </c>
      <c r="AF121" s="873">
        <v>2</v>
      </c>
      <c r="AG121" s="873">
        <v>733</v>
      </c>
      <c r="AH121" s="873">
        <v>57</v>
      </c>
      <c r="AI121" s="873">
        <v>23</v>
      </c>
      <c r="AJ121" s="873">
        <v>4</v>
      </c>
      <c r="AK121" s="873">
        <v>0</v>
      </c>
      <c r="AL121" s="873">
        <v>0</v>
      </c>
      <c r="AM121" s="873">
        <v>15</v>
      </c>
      <c r="AN121" s="873">
        <v>0</v>
      </c>
      <c r="AO121" s="873">
        <v>1695</v>
      </c>
      <c r="AP121" s="873">
        <v>1021</v>
      </c>
      <c r="AQ121" s="873">
        <v>756</v>
      </c>
      <c r="AR121" s="873">
        <v>265</v>
      </c>
      <c r="AS121" s="873">
        <v>843</v>
      </c>
      <c r="AT121" s="843">
        <v>3547</v>
      </c>
      <c r="AU121" s="663"/>
      <c r="AV121" s="663"/>
      <c r="AX121" s="666"/>
      <c r="AY121" s="666"/>
      <c r="AZ121" s="666"/>
      <c r="BA121" s="666"/>
      <c r="BB121" s="666"/>
      <c r="BD121" s="666"/>
      <c r="BE121" s="666"/>
      <c r="BG121" s="666"/>
      <c r="BI121" s="666"/>
      <c r="BJ121" s="666"/>
      <c r="BK121" s="666"/>
    </row>
    <row r="122" spans="1:63" ht="12.75" x14ac:dyDescent="0.2">
      <c r="A122" s="288">
        <v>115</v>
      </c>
      <c r="B122" s="290" t="s">
        <v>124</v>
      </c>
      <c r="C122" s="279" t="s">
        <v>125</v>
      </c>
      <c r="D122" s="955">
        <v>156084</v>
      </c>
      <c r="E122" s="843">
        <v>67433704</v>
      </c>
      <c r="F122" s="873">
        <v>31870533</v>
      </c>
      <c r="G122" s="873">
        <v>-2623334</v>
      </c>
      <c r="H122" s="873">
        <v>651877</v>
      </c>
      <c r="I122" s="873">
        <v>-1971457</v>
      </c>
      <c r="J122" s="873">
        <v>-808496</v>
      </c>
      <c r="K122" s="873">
        <v>-99877</v>
      </c>
      <c r="L122" s="873">
        <v>-66464</v>
      </c>
      <c r="M122" s="873">
        <v>-2000</v>
      </c>
      <c r="N122" s="873">
        <v>-414137</v>
      </c>
      <c r="O122" s="873">
        <v>-72195</v>
      </c>
      <c r="P122" s="873">
        <v>-25459</v>
      </c>
      <c r="Q122" s="873">
        <v>-1396</v>
      </c>
      <c r="R122" s="873">
        <v>-13541</v>
      </c>
      <c r="S122" s="873">
        <v>-370</v>
      </c>
      <c r="T122" s="873">
        <v>0</v>
      </c>
      <c r="U122" s="873">
        <v>0</v>
      </c>
      <c r="V122" s="873">
        <v>0</v>
      </c>
      <c r="W122" s="873">
        <v>-20000</v>
      </c>
      <c r="X122" s="873">
        <v>-20000</v>
      </c>
      <c r="Y122" s="873">
        <v>-500000</v>
      </c>
      <c r="Z122" s="873">
        <v>27855141</v>
      </c>
      <c r="AA122" s="873">
        <v>-330996</v>
      </c>
      <c r="AB122" s="874"/>
      <c r="AC122" s="873">
        <v>238</v>
      </c>
      <c r="AD122" s="873">
        <v>26</v>
      </c>
      <c r="AE122" s="873">
        <v>63</v>
      </c>
      <c r="AF122" s="873">
        <v>0</v>
      </c>
      <c r="AG122" s="873">
        <v>280</v>
      </c>
      <c r="AH122" s="873">
        <v>143</v>
      </c>
      <c r="AI122" s="873">
        <v>10</v>
      </c>
      <c r="AJ122" s="873">
        <v>20</v>
      </c>
      <c r="AK122" s="873">
        <v>24</v>
      </c>
      <c r="AL122" s="873">
        <v>1</v>
      </c>
      <c r="AM122" s="873">
        <v>0</v>
      </c>
      <c r="AN122" s="873">
        <v>0</v>
      </c>
      <c r="AO122" s="873">
        <v>1244</v>
      </c>
      <c r="AP122" s="873">
        <v>1540</v>
      </c>
      <c r="AQ122" s="873">
        <v>1110</v>
      </c>
      <c r="AR122" s="873">
        <v>430</v>
      </c>
      <c r="AS122" s="873">
        <v>1191</v>
      </c>
      <c r="AT122" s="843">
        <v>4004</v>
      </c>
      <c r="AU122" s="663"/>
      <c r="AV122" s="663"/>
      <c r="AX122" s="666"/>
      <c r="AY122" s="666"/>
      <c r="AZ122" s="666"/>
      <c r="BA122" s="666"/>
      <c r="BB122" s="666"/>
      <c r="BD122" s="666"/>
      <c r="BE122" s="666"/>
      <c r="BG122" s="666"/>
      <c r="BI122" s="666"/>
      <c r="BJ122" s="666"/>
      <c r="BK122" s="666"/>
    </row>
    <row r="123" spans="1:63" ht="12.75" x14ac:dyDescent="0.2">
      <c r="A123" s="288">
        <v>116</v>
      </c>
      <c r="B123" s="290" t="s">
        <v>126</v>
      </c>
      <c r="C123" s="279" t="s">
        <v>127</v>
      </c>
      <c r="D123" s="955">
        <v>556007</v>
      </c>
      <c r="E123" s="843">
        <v>439175424</v>
      </c>
      <c r="F123" s="873">
        <v>215165029</v>
      </c>
      <c r="G123" s="873">
        <v>-2260607</v>
      </c>
      <c r="H123" s="873">
        <v>5162703</v>
      </c>
      <c r="I123" s="873">
        <v>2902096</v>
      </c>
      <c r="J123" s="873">
        <v>-8779068</v>
      </c>
      <c r="K123" s="873">
        <v>0</v>
      </c>
      <c r="L123" s="873">
        <v>0</v>
      </c>
      <c r="M123" s="873">
        <v>0</v>
      </c>
      <c r="N123" s="873">
        <v>-3797306</v>
      </c>
      <c r="O123" s="873">
        <v>-48987</v>
      </c>
      <c r="P123" s="873">
        <v>-81845</v>
      </c>
      <c r="Q123" s="873">
        <v>0</v>
      </c>
      <c r="R123" s="873">
        <v>0</v>
      </c>
      <c r="S123" s="873">
        <v>0</v>
      </c>
      <c r="T123" s="873">
        <v>0</v>
      </c>
      <c r="U123" s="873">
        <v>0</v>
      </c>
      <c r="V123" s="873">
        <v>0</v>
      </c>
      <c r="W123" s="873">
        <v>-379730</v>
      </c>
      <c r="X123" s="873">
        <v>-30402</v>
      </c>
      <c r="Y123" s="873">
        <v>-1472930</v>
      </c>
      <c r="Z123" s="873">
        <v>203476857</v>
      </c>
      <c r="AA123" s="873">
        <v>-9764011</v>
      </c>
      <c r="AB123" s="874"/>
      <c r="AC123" s="873">
        <v>312</v>
      </c>
      <c r="AD123" s="873">
        <v>0</v>
      </c>
      <c r="AE123" s="873">
        <v>0</v>
      </c>
      <c r="AF123" s="873">
        <v>0</v>
      </c>
      <c r="AG123" s="873">
        <v>910</v>
      </c>
      <c r="AH123" s="873">
        <v>17</v>
      </c>
      <c r="AI123" s="873">
        <v>21</v>
      </c>
      <c r="AJ123" s="873">
        <v>0</v>
      </c>
      <c r="AK123" s="873">
        <v>0</v>
      </c>
      <c r="AL123" s="873">
        <v>0</v>
      </c>
      <c r="AM123" s="873">
        <v>0</v>
      </c>
      <c r="AN123" s="873">
        <v>0</v>
      </c>
      <c r="AO123" s="873">
        <v>3828</v>
      </c>
      <c r="AP123" s="873">
        <v>1192</v>
      </c>
      <c r="AQ123" s="873">
        <v>573</v>
      </c>
      <c r="AR123" s="873">
        <v>619</v>
      </c>
      <c r="AS123" s="873">
        <v>4241</v>
      </c>
      <c r="AT123" s="843">
        <v>9308</v>
      </c>
      <c r="AU123" s="663"/>
      <c r="AV123" s="663"/>
      <c r="AX123" s="666"/>
      <c r="AY123" s="666"/>
      <c r="AZ123" s="666"/>
      <c r="BA123" s="666"/>
      <c r="BB123" s="666"/>
      <c r="BD123" s="666"/>
      <c r="BE123" s="666"/>
      <c r="BG123" s="666"/>
      <c r="BI123" s="666"/>
      <c r="BJ123" s="666"/>
      <c r="BK123" s="666"/>
    </row>
    <row r="124" spans="1:63" ht="12.75" x14ac:dyDescent="0.2">
      <c r="A124" s="288">
        <v>117</v>
      </c>
      <c r="B124" s="290" t="s">
        <v>128</v>
      </c>
      <c r="C124" s="279" t="s">
        <v>129</v>
      </c>
      <c r="D124" s="955">
        <v>126674</v>
      </c>
      <c r="E124" s="843">
        <v>90602322</v>
      </c>
      <c r="F124" s="873">
        <v>43145564</v>
      </c>
      <c r="G124" s="873">
        <v>-1738509</v>
      </c>
      <c r="H124" s="873">
        <v>1013520</v>
      </c>
      <c r="I124" s="873">
        <v>-724989</v>
      </c>
      <c r="J124" s="873">
        <v>-1647000</v>
      </c>
      <c r="K124" s="873">
        <v>-42822</v>
      </c>
      <c r="L124" s="873">
        <v>-35066</v>
      </c>
      <c r="M124" s="873">
        <v>-500000</v>
      </c>
      <c r="N124" s="873">
        <v>-444319</v>
      </c>
      <c r="O124" s="873">
        <v>-23634</v>
      </c>
      <c r="P124" s="873">
        <v>-32188</v>
      </c>
      <c r="Q124" s="873">
        <v>-10706</v>
      </c>
      <c r="R124" s="873">
        <v>-35066</v>
      </c>
      <c r="S124" s="873">
        <v>0</v>
      </c>
      <c r="T124" s="873">
        <v>0</v>
      </c>
      <c r="U124" s="873">
        <v>0</v>
      </c>
      <c r="V124" s="873">
        <v>0</v>
      </c>
      <c r="W124" s="873">
        <v>-37000</v>
      </c>
      <c r="X124" s="873">
        <v>0</v>
      </c>
      <c r="Y124" s="873">
        <v>-347186</v>
      </c>
      <c r="Z124" s="873">
        <v>38761979</v>
      </c>
      <c r="AA124" s="873">
        <v>-385000</v>
      </c>
      <c r="AB124" s="874"/>
      <c r="AC124" s="873">
        <v>171</v>
      </c>
      <c r="AD124" s="873">
        <v>14</v>
      </c>
      <c r="AE124" s="873">
        <v>28</v>
      </c>
      <c r="AF124" s="873">
        <v>0</v>
      </c>
      <c r="AG124" s="873">
        <v>175</v>
      </c>
      <c r="AH124" s="873">
        <v>76</v>
      </c>
      <c r="AI124" s="873">
        <v>26</v>
      </c>
      <c r="AJ124" s="873">
        <v>14</v>
      </c>
      <c r="AK124" s="873">
        <v>28</v>
      </c>
      <c r="AL124" s="873">
        <v>0</v>
      </c>
      <c r="AM124" s="873">
        <v>0</v>
      </c>
      <c r="AN124" s="873">
        <v>0</v>
      </c>
      <c r="AO124" s="873">
        <v>1013</v>
      </c>
      <c r="AP124" s="873">
        <v>992</v>
      </c>
      <c r="AQ124" s="873">
        <v>694</v>
      </c>
      <c r="AR124" s="873">
        <v>298</v>
      </c>
      <c r="AS124" s="873">
        <v>891</v>
      </c>
      <c r="AT124" s="843">
        <v>2898</v>
      </c>
      <c r="AU124" s="663"/>
      <c r="AV124" s="663"/>
      <c r="AX124" s="666"/>
      <c r="AY124" s="666"/>
      <c r="AZ124" s="666"/>
      <c r="BA124" s="666"/>
      <c r="BB124" s="666"/>
      <c r="BD124" s="666"/>
      <c r="BE124" s="666"/>
      <c r="BG124" s="666"/>
      <c r="BI124" s="666"/>
      <c r="BJ124" s="666"/>
      <c r="BK124" s="666"/>
    </row>
    <row r="125" spans="1:63" ht="12.75" x14ac:dyDescent="0.2">
      <c r="A125" s="288">
        <v>118</v>
      </c>
      <c r="B125" s="290" t="s">
        <v>130</v>
      </c>
      <c r="C125" s="279" t="s">
        <v>131</v>
      </c>
      <c r="D125" s="955">
        <v>305922</v>
      </c>
      <c r="E125" s="843">
        <v>165743282</v>
      </c>
      <c r="F125" s="873">
        <v>79677049</v>
      </c>
      <c r="G125" s="873">
        <v>-4179584</v>
      </c>
      <c r="H125" s="873">
        <v>1577534</v>
      </c>
      <c r="I125" s="873">
        <v>-2602050</v>
      </c>
      <c r="J125" s="873">
        <v>-5180963</v>
      </c>
      <c r="K125" s="873">
        <v>-25399</v>
      </c>
      <c r="L125" s="873">
        <v>0</v>
      </c>
      <c r="M125" s="873">
        <v>-25000</v>
      </c>
      <c r="N125" s="873">
        <v>-1500000</v>
      </c>
      <c r="O125" s="873">
        <v>-432440</v>
      </c>
      <c r="P125" s="873">
        <v>-182914</v>
      </c>
      <c r="Q125" s="873">
        <v>0</v>
      </c>
      <c r="R125" s="873">
        <v>0</v>
      </c>
      <c r="S125" s="873">
        <v>0</v>
      </c>
      <c r="T125" s="873">
        <v>0</v>
      </c>
      <c r="U125" s="873">
        <v>0</v>
      </c>
      <c r="V125" s="873">
        <v>0</v>
      </c>
      <c r="W125" s="873">
        <v>-100572</v>
      </c>
      <c r="X125" s="873">
        <v>0</v>
      </c>
      <c r="Y125" s="873">
        <v>-3053569</v>
      </c>
      <c r="Z125" s="873">
        <v>66574142</v>
      </c>
      <c r="AA125" s="873">
        <v>-116629</v>
      </c>
      <c r="AB125" s="874"/>
      <c r="AC125" s="873">
        <v>322</v>
      </c>
      <c r="AD125" s="873">
        <v>8</v>
      </c>
      <c r="AE125" s="873">
        <v>0</v>
      </c>
      <c r="AF125" s="873">
        <v>2</v>
      </c>
      <c r="AG125" s="873">
        <v>520</v>
      </c>
      <c r="AH125" s="873">
        <v>122</v>
      </c>
      <c r="AI125" s="873">
        <v>36</v>
      </c>
      <c r="AJ125" s="873">
        <v>0</v>
      </c>
      <c r="AK125" s="873">
        <v>0</v>
      </c>
      <c r="AL125" s="873">
        <v>0</v>
      </c>
      <c r="AM125" s="873">
        <v>0</v>
      </c>
      <c r="AN125" s="873">
        <v>0</v>
      </c>
      <c r="AO125" s="873">
        <v>1995</v>
      </c>
      <c r="AP125" s="873">
        <v>2182</v>
      </c>
      <c r="AQ125" s="873">
        <v>1014</v>
      </c>
      <c r="AR125" s="873">
        <v>1168</v>
      </c>
      <c r="AS125" s="873">
        <v>2670</v>
      </c>
      <c r="AT125" s="843">
        <v>6873</v>
      </c>
      <c r="AU125" s="663"/>
      <c r="AV125" s="663"/>
      <c r="AX125" s="666"/>
      <c r="AY125" s="666"/>
      <c r="AZ125" s="666"/>
      <c r="BA125" s="666"/>
      <c r="BB125" s="666"/>
      <c r="BD125" s="666"/>
      <c r="BE125" s="666"/>
      <c r="BG125" s="666"/>
      <c r="BI125" s="666"/>
      <c r="BJ125" s="666"/>
      <c r="BK125" s="666"/>
    </row>
    <row r="126" spans="1:63" ht="12.75" x14ac:dyDescent="0.2">
      <c r="A126" s="288">
        <v>119</v>
      </c>
      <c r="B126" s="290" t="s">
        <v>132</v>
      </c>
      <c r="C126" s="279" t="s">
        <v>133</v>
      </c>
      <c r="D126" s="955">
        <v>121903</v>
      </c>
      <c r="E126" s="843">
        <v>110129886</v>
      </c>
      <c r="F126" s="873">
        <v>52579240</v>
      </c>
      <c r="G126" s="873">
        <v>-855888</v>
      </c>
      <c r="H126" s="873">
        <v>1332531</v>
      </c>
      <c r="I126" s="873">
        <v>476643</v>
      </c>
      <c r="J126" s="873">
        <v>-2466903</v>
      </c>
      <c r="K126" s="873">
        <v>-68921</v>
      </c>
      <c r="L126" s="873">
        <v>0</v>
      </c>
      <c r="M126" s="873">
        <v>-70879</v>
      </c>
      <c r="N126" s="873">
        <v>-1730946</v>
      </c>
      <c r="O126" s="873">
        <v>-33290</v>
      </c>
      <c r="P126" s="873">
        <v>-6960</v>
      </c>
      <c r="Q126" s="873">
        <v>0</v>
      </c>
      <c r="R126" s="873">
        <v>0</v>
      </c>
      <c r="S126" s="873">
        <v>0</v>
      </c>
      <c r="T126" s="873">
        <v>-27265</v>
      </c>
      <c r="U126" s="873">
        <v>0</v>
      </c>
      <c r="V126" s="873">
        <v>0</v>
      </c>
      <c r="W126" s="873">
        <v>0</v>
      </c>
      <c r="X126" s="873">
        <v>-12448</v>
      </c>
      <c r="Y126" s="873">
        <v>-166539</v>
      </c>
      <c r="Z126" s="873">
        <v>48471732</v>
      </c>
      <c r="AA126" s="873">
        <v>-2700000</v>
      </c>
      <c r="AB126" s="874"/>
      <c r="AC126" s="873">
        <v>144</v>
      </c>
      <c r="AD126" s="873">
        <v>7</v>
      </c>
      <c r="AE126" s="873">
        <v>0</v>
      </c>
      <c r="AF126" s="873">
        <v>1</v>
      </c>
      <c r="AG126" s="873">
        <v>143</v>
      </c>
      <c r="AH126" s="873">
        <v>25</v>
      </c>
      <c r="AI126" s="873">
        <v>2</v>
      </c>
      <c r="AJ126" s="873">
        <v>0</v>
      </c>
      <c r="AK126" s="873">
        <v>0</v>
      </c>
      <c r="AL126" s="873">
        <v>0</v>
      </c>
      <c r="AM126" s="873">
        <v>4</v>
      </c>
      <c r="AN126" s="873">
        <v>0</v>
      </c>
      <c r="AO126" s="873">
        <v>1169</v>
      </c>
      <c r="AP126" s="873">
        <v>444</v>
      </c>
      <c r="AQ126" s="873">
        <v>251</v>
      </c>
      <c r="AR126" s="873">
        <v>193</v>
      </c>
      <c r="AS126" s="873">
        <v>660</v>
      </c>
      <c r="AT126" s="843">
        <v>2352</v>
      </c>
      <c r="AU126" s="663"/>
      <c r="AV126" s="663"/>
      <c r="AX126" s="666"/>
      <c r="AY126" s="666"/>
      <c r="AZ126" s="666"/>
      <c r="BA126" s="666"/>
      <c r="BB126" s="666"/>
      <c r="BD126" s="666"/>
      <c r="BE126" s="666"/>
      <c r="BG126" s="666"/>
      <c r="BI126" s="666"/>
      <c r="BJ126" s="666"/>
      <c r="BK126" s="666"/>
    </row>
    <row r="127" spans="1:63" ht="12.75" x14ac:dyDescent="0.2">
      <c r="A127" s="288">
        <v>120</v>
      </c>
      <c r="B127" s="290" t="s">
        <v>134</v>
      </c>
      <c r="C127" s="279" t="s">
        <v>135</v>
      </c>
      <c r="D127" s="955">
        <v>287378</v>
      </c>
      <c r="E127" s="843">
        <v>151514221</v>
      </c>
      <c r="F127" s="873">
        <v>73087934</v>
      </c>
      <c r="G127" s="873">
        <v>-4819000</v>
      </c>
      <c r="H127" s="873">
        <v>1368171</v>
      </c>
      <c r="I127" s="873">
        <v>-3450829</v>
      </c>
      <c r="J127" s="873">
        <v>-3001003</v>
      </c>
      <c r="K127" s="873">
        <v>-121858</v>
      </c>
      <c r="L127" s="873">
        <v>-52344</v>
      </c>
      <c r="M127" s="873">
        <v>-6000</v>
      </c>
      <c r="N127" s="873">
        <v>-1700000</v>
      </c>
      <c r="O127" s="873">
        <v>-27442</v>
      </c>
      <c r="P127" s="873">
        <v>-154959</v>
      </c>
      <c r="Q127" s="873">
        <v>0</v>
      </c>
      <c r="R127" s="873">
        <v>-13130</v>
      </c>
      <c r="S127" s="873">
        <v>-28023</v>
      </c>
      <c r="T127" s="873">
        <v>0</v>
      </c>
      <c r="U127" s="873">
        <v>0</v>
      </c>
      <c r="V127" s="873">
        <v>0</v>
      </c>
      <c r="W127" s="873">
        <v>-47639</v>
      </c>
      <c r="X127" s="873">
        <v>-37849</v>
      </c>
      <c r="Y127" s="873">
        <v>-1347436</v>
      </c>
      <c r="Z127" s="873">
        <v>62849422</v>
      </c>
      <c r="AA127" s="873">
        <v>-1886000</v>
      </c>
      <c r="AB127" s="874"/>
      <c r="AC127" s="873">
        <v>275</v>
      </c>
      <c r="AD127" s="873">
        <v>27</v>
      </c>
      <c r="AE127" s="873">
        <v>44</v>
      </c>
      <c r="AF127" s="873">
        <v>0</v>
      </c>
      <c r="AG127" s="873">
        <v>742</v>
      </c>
      <c r="AH127" s="873">
        <v>27</v>
      </c>
      <c r="AI127" s="873">
        <v>85</v>
      </c>
      <c r="AJ127" s="873">
        <v>0</v>
      </c>
      <c r="AK127" s="873">
        <v>34</v>
      </c>
      <c r="AL127" s="873">
        <v>27</v>
      </c>
      <c r="AM127" s="873">
        <v>0</v>
      </c>
      <c r="AN127" s="873">
        <v>0</v>
      </c>
      <c r="AO127" s="873">
        <v>2962</v>
      </c>
      <c r="AP127" s="873">
        <v>2618</v>
      </c>
      <c r="AQ127" s="873">
        <v>1788</v>
      </c>
      <c r="AR127" s="873">
        <v>830</v>
      </c>
      <c r="AS127" s="873">
        <v>1451</v>
      </c>
      <c r="AT127" s="843">
        <v>7104</v>
      </c>
      <c r="AU127" s="663"/>
      <c r="AV127" s="663"/>
      <c r="AX127" s="666"/>
      <c r="AY127" s="666"/>
      <c r="AZ127" s="666"/>
      <c r="BA127" s="666"/>
      <c r="BB127" s="666"/>
      <c r="BD127" s="666"/>
      <c r="BE127" s="666"/>
      <c r="BG127" s="666"/>
      <c r="BI127" s="666"/>
      <c r="BJ127" s="666"/>
      <c r="BK127" s="666"/>
    </row>
    <row r="128" spans="1:63" ht="12.75" x14ac:dyDescent="0.2">
      <c r="A128" s="288">
        <v>121</v>
      </c>
      <c r="B128" s="290" t="s">
        <v>136</v>
      </c>
      <c r="C128" s="279" t="s">
        <v>137</v>
      </c>
      <c r="D128" s="955">
        <v>248795</v>
      </c>
      <c r="E128" s="843">
        <v>126327110</v>
      </c>
      <c r="F128" s="873">
        <v>60250891</v>
      </c>
      <c r="G128" s="873">
        <v>-3175000</v>
      </c>
      <c r="H128" s="873">
        <v>500000</v>
      </c>
      <c r="I128" s="873">
        <v>-2675000</v>
      </c>
      <c r="J128" s="873">
        <v>-4420000</v>
      </c>
      <c r="K128" s="873">
        <v>-180000</v>
      </c>
      <c r="L128" s="873">
        <v>0</v>
      </c>
      <c r="M128" s="873">
        <v>-100000</v>
      </c>
      <c r="N128" s="873">
        <v>-1750000</v>
      </c>
      <c r="O128" s="873">
        <v>-44000</v>
      </c>
      <c r="P128" s="873">
        <v>-16000</v>
      </c>
      <c r="Q128" s="873">
        <v>0</v>
      </c>
      <c r="R128" s="873">
        <v>0</v>
      </c>
      <c r="S128" s="873">
        <v>0</v>
      </c>
      <c r="T128" s="873">
        <v>0</v>
      </c>
      <c r="U128" s="873">
        <v>0</v>
      </c>
      <c r="V128" s="873">
        <v>0</v>
      </c>
      <c r="W128" s="873">
        <v>-50000</v>
      </c>
      <c r="X128" s="873">
        <v>-50000</v>
      </c>
      <c r="Y128" s="873">
        <v>-1250000</v>
      </c>
      <c r="Z128" s="873">
        <v>49715891</v>
      </c>
      <c r="AA128" s="873">
        <v>-1750000</v>
      </c>
      <c r="AB128" s="874"/>
      <c r="AC128" s="873">
        <v>228</v>
      </c>
      <c r="AD128" s="873">
        <v>14</v>
      </c>
      <c r="AE128" s="873">
        <v>0</v>
      </c>
      <c r="AF128" s="873">
        <v>0</v>
      </c>
      <c r="AG128" s="873">
        <v>374</v>
      </c>
      <c r="AH128" s="873">
        <v>41</v>
      </c>
      <c r="AI128" s="873">
        <v>3</v>
      </c>
      <c r="AJ128" s="873">
        <v>0</v>
      </c>
      <c r="AK128" s="873">
        <v>0</v>
      </c>
      <c r="AL128" s="873">
        <v>0</v>
      </c>
      <c r="AM128" s="873">
        <v>0</v>
      </c>
      <c r="AN128" s="873">
        <v>0</v>
      </c>
      <c r="AO128" s="873">
        <v>1523</v>
      </c>
      <c r="AP128" s="873">
        <v>1507</v>
      </c>
      <c r="AQ128" s="873">
        <v>681</v>
      </c>
      <c r="AR128" s="873">
        <v>826</v>
      </c>
      <c r="AS128" s="873">
        <v>2530</v>
      </c>
      <c r="AT128" s="843">
        <v>5453</v>
      </c>
      <c r="AU128" s="663"/>
      <c r="AV128" s="663"/>
      <c r="AX128" s="666"/>
      <c r="AY128" s="666"/>
      <c r="AZ128" s="666"/>
      <c r="BA128" s="666"/>
      <c r="BB128" s="666"/>
      <c r="BD128" s="666"/>
      <c r="BE128" s="666"/>
      <c r="BG128" s="666"/>
      <c r="BI128" s="666"/>
      <c r="BJ128" s="666"/>
      <c r="BK128" s="666"/>
    </row>
    <row r="129" spans="1:63" ht="12.75" x14ac:dyDescent="0.2">
      <c r="A129" s="288">
        <v>122</v>
      </c>
      <c r="B129" s="290" t="s">
        <v>138</v>
      </c>
      <c r="C129" s="279" t="s">
        <v>139</v>
      </c>
      <c r="D129" s="955">
        <v>98299</v>
      </c>
      <c r="E129" s="843">
        <v>71405955</v>
      </c>
      <c r="F129" s="873">
        <v>34532313</v>
      </c>
      <c r="G129" s="873">
        <v>-1061550</v>
      </c>
      <c r="H129" s="873">
        <v>820435</v>
      </c>
      <c r="I129" s="873">
        <v>-241115</v>
      </c>
      <c r="J129" s="873">
        <v>-1289278</v>
      </c>
      <c r="K129" s="873">
        <v>-36107</v>
      </c>
      <c r="L129" s="873">
        <v>-2872</v>
      </c>
      <c r="M129" s="873">
        <v>0</v>
      </c>
      <c r="N129" s="873">
        <v>-2110791</v>
      </c>
      <c r="O129" s="873">
        <v>-56952</v>
      </c>
      <c r="P129" s="873">
        <v>-22422</v>
      </c>
      <c r="Q129" s="873">
        <v>0</v>
      </c>
      <c r="R129" s="873">
        <v>-2872</v>
      </c>
      <c r="S129" s="873">
        <v>0</v>
      </c>
      <c r="T129" s="873">
        <v>0</v>
      </c>
      <c r="U129" s="873">
        <v>0</v>
      </c>
      <c r="V129" s="873">
        <v>0</v>
      </c>
      <c r="W129" s="873">
        <v>0</v>
      </c>
      <c r="X129" s="873">
        <v>-1100</v>
      </c>
      <c r="Y129" s="873">
        <v>-429209</v>
      </c>
      <c r="Z129" s="873">
        <v>30339595</v>
      </c>
      <c r="AA129" s="873">
        <v>-460000</v>
      </c>
      <c r="AB129" s="874"/>
      <c r="AC129" s="873">
        <v>104</v>
      </c>
      <c r="AD129" s="873">
        <v>3</v>
      </c>
      <c r="AE129" s="873">
        <v>1</v>
      </c>
      <c r="AF129" s="873">
        <v>0</v>
      </c>
      <c r="AG129" s="873">
        <v>138</v>
      </c>
      <c r="AH129" s="873">
        <v>81</v>
      </c>
      <c r="AI129" s="873">
        <v>9</v>
      </c>
      <c r="AJ129" s="873">
        <v>0</v>
      </c>
      <c r="AK129" s="873">
        <v>2</v>
      </c>
      <c r="AL129" s="873">
        <v>0</v>
      </c>
      <c r="AM129" s="873">
        <v>0</v>
      </c>
      <c r="AN129" s="873">
        <v>0</v>
      </c>
      <c r="AO129" s="873">
        <v>928</v>
      </c>
      <c r="AP129" s="873">
        <v>572</v>
      </c>
      <c r="AQ129" s="873">
        <v>303</v>
      </c>
      <c r="AR129" s="873">
        <v>269</v>
      </c>
      <c r="AS129" s="873">
        <v>622</v>
      </c>
      <c r="AT129" s="843">
        <v>2136</v>
      </c>
      <c r="AU129" s="663"/>
      <c r="AV129" s="663"/>
      <c r="AX129" s="666"/>
      <c r="AY129" s="666"/>
      <c r="AZ129" s="666"/>
      <c r="BA129" s="666"/>
      <c r="BB129" s="666"/>
      <c r="BD129" s="666"/>
      <c r="BE129" s="666"/>
      <c r="BG129" s="666"/>
      <c r="BI129" s="666"/>
      <c r="BJ129" s="666"/>
      <c r="BK129" s="666"/>
    </row>
    <row r="130" spans="1:63" ht="12.75" x14ac:dyDescent="0.2">
      <c r="A130" s="288">
        <v>123</v>
      </c>
      <c r="B130" s="290" t="s">
        <v>140</v>
      </c>
      <c r="C130" s="279" t="s">
        <v>141</v>
      </c>
      <c r="D130" s="955">
        <v>118845</v>
      </c>
      <c r="E130" s="843">
        <v>80603205</v>
      </c>
      <c r="F130" s="873">
        <v>46847934</v>
      </c>
      <c r="G130" s="873">
        <v>-1973427</v>
      </c>
      <c r="H130" s="873">
        <v>1146290</v>
      </c>
      <c r="I130" s="873">
        <v>-827137</v>
      </c>
      <c r="J130" s="873">
        <v>-1917496</v>
      </c>
      <c r="K130" s="873">
        <v>-47624</v>
      </c>
      <c r="L130" s="873">
        <v>0</v>
      </c>
      <c r="M130" s="873">
        <v>-52211</v>
      </c>
      <c r="N130" s="873">
        <v>-1604925</v>
      </c>
      <c r="O130" s="873">
        <v>-125712</v>
      </c>
      <c r="P130" s="873">
        <v>-41482</v>
      </c>
      <c r="Q130" s="873">
        <v>-3032</v>
      </c>
      <c r="R130" s="873">
        <v>0</v>
      </c>
      <c r="S130" s="873">
        <v>0</v>
      </c>
      <c r="T130" s="873">
        <v>-86028</v>
      </c>
      <c r="U130" s="873">
        <v>-86028</v>
      </c>
      <c r="V130" s="873">
        <v>0</v>
      </c>
      <c r="W130" s="873">
        <v>0</v>
      </c>
      <c r="X130" s="873">
        <v>0</v>
      </c>
      <c r="Y130" s="873">
        <v>-398899</v>
      </c>
      <c r="Z130" s="873">
        <v>41743388</v>
      </c>
      <c r="AA130" s="873">
        <v>-1915593</v>
      </c>
      <c r="AB130" s="874"/>
      <c r="AC130" s="873">
        <v>130</v>
      </c>
      <c r="AD130" s="873">
        <v>7</v>
      </c>
      <c r="AE130" s="873">
        <v>0</v>
      </c>
      <c r="AF130" s="873">
        <v>1</v>
      </c>
      <c r="AG130" s="873">
        <v>196</v>
      </c>
      <c r="AH130" s="873">
        <v>70</v>
      </c>
      <c r="AI130" s="873">
        <v>16</v>
      </c>
      <c r="AJ130" s="873">
        <v>3</v>
      </c>
      <c r="AK130" s="873">
        <v>0</v>
      </c>
      <c r="AL130" s="873">
        <v>0</v>
      </c>
      <c r="AM130" s="873">
        <v>6</v>
      </c>
      <c r="AN130" s="873">
        <v>0</v>
      </c>
      <c r="AO130" s="873">
        <v>947</v>
      </c>
      <c r="AP130" s="873">
        <v>1157</v>
      </c>
      <c r="AQ130" s="873">
        <v>891</v>
      </c>
      <c r="AR130" s="873">
        <v>266</v>
      </c>
      <c r="AS130" s="873">
        <v>642</v>
      </c>
      <c r="AT130" s="843">
        <v>2762</v>
      </c>
      <c r="AU130" s="663"/>
      <c r="AV130" s="663"/>
      <c r="AX130" s="666"/>
      <c r="AY130" s="666"/>
      <c r="AZ130" s="666"/>
      <c r="BA130" s="666"/>
      <c r="BB130" s="666"/>
      <c r="BD130" s="666"/>
      <c r="BE130" s="666"/>
      <c r="BG130" s="666"/>
      <c r="BI130" s="666"/>
      <c r="BJ130" s="666"/>
      <c r="BK130" s="666"/>
    </row>
    <row r="131" spans="1:63" ht="12.75" x14ac:dyDescent="0.2">
      <c r="A131" s="288">
        <v>124</v>
      </c>
      <c r="B131" s="290" t="s">
        <v>142</v>
      </c>
      <c r="C131" s="279" t="s">
        <v>143</v>
      </c>
      <c r="D131" s="955">
        <v>133943</v>
      </c>
      <c r="E131" s="843">
        <v>57697637</v>
      </c>
      <c r="F131" s="873">
        <v>27242702</v>
      </c>
      <c r="G131" s="873">
        <v>-2373041</v>
      </c>
      <c r="H131" s="873">
        <v>515369</v>
      </c>
      <c r="I131" s="873">
        <v>-1857672</v>
      </c>
      <c r="J131" s="873">
        <v>-2263957</v>
      </c>
      <c r="K131" s="873">
        <v>-42851</v>
      </c>
      <c r="L131" s="873">
        <v>0</v>
      </c>
      <c r="M131" s="873">
        <v>-10177</v>
      </c>
      <c r="N131" s="873">
        <v>-510157</v>
      </c>
      <c r="O131" s="873">
        <v>-124262</v>
      </c>
      <c r="P131" s="873">
        <v>-157035</v>
      </c>
      <c r="Q131" s="873">
        <v>-2348</v>
      </c>
      <c r="R131" s="873">
        <v>0</v>
      </c>
      <c r="S131" s="873">
        <v>0</v>
      </c>
      <c r="T131" s="873">
        <v>0</v>
      </c>
      <c r="U131" s="873">
        <v>0</v>
      </c>
      <c r="V131" s="873">
        <v>0</v>
      </c>
      <c r="W131" s="873">
        <v>0</v>
      </c>
      <c r="X131" s="873">
        <v>0</v>
      </c>
      <c r="Y131" s="873">
        <v>-340261</v>
      </c>
      <c r="Z131" s="873">
        <v>21933982</v>
      </c>
      <c r="AA131" s="873">
        <v>-300000</v>
      </c>
      <c r="AB131" s="874"/>
      <c r="AC131" s="873">
        <v>158</v>
      </c>
      <c r="AD131" s="873">
        <v>7</v>
      </c>
      <c r="AE131" s="873">
        <v>0</v>
      </c>
      <c r="AF131" s="873">
        <v>1</v>
      </c>
      <c r="AG131" s="873">
        <v>347</v>
      </c>
      <c r="AH131" s="873">
        <v>63</v>
      </c>
      <c r="AI131" s="873">
        <v>24</v>
      </c>
      <c r="AJ131" s="873">
        <v>5</v>
      </c>
      <c r="AK131" s="873">
        <v>0</v>
      </c>
      <c r="AL131" s="873">
        <v>0</v>
      </c>
      <c r="AM131" s="873">
        <v>0</v>
      </c>
      <c r="AN131" s="873">
        <v>0</v>
      </c>
      <c r="AO131" s="873">
        <v>1522</v>
      </c>
      <c r="AP131" s="873">
        <v>1597</v>
      </c>
      <c r="AQ131" s="873">
        <v>1269</v>
      </c>
      <c r="AR131" s="873">
        <v>328</v>
      </c>
      <c r="AS131" s="873">
        <v>203</v>
      </c>
      <c r="AT131" s="843">
        <v>3402</v>
      </c>
      <c r="AU131" s="663"/>
      <c r="AV131" s="663"/>
      <c r="AX131" s="666"/>
      <c r="AY131" s="666"/>
      <c r="AZ131" s="666"/>
      <c r="BA131" s="666"/>
      <c r="BB131" s="666"/>
      <c r="BD131" s="666"/>
      <c r="BE131" s="666"/>
      <c r="BG131" s="666"/>
      <c r="BI131" s="666"/>
      <c r="BJ131" s="666"/>
      <c r="BK131" s="666"/>
    </row>
    <row r="132" spans="1:63" ht="12.75" x14ac:dyDescent="0.2">
      <c r="A132" s="288">
        <v>125</v>
      </c>
      <c r="B132" s="290" t="s">
        <v>144</v>
      </c>
      <c r="C132" s="279" t="s">
        <v>145</v>
      </c>
      <c r="D132" s="955">
        <v>140006</v>
      </c>
      <c r="E132" s="843">
        <v>80810617</v>
      </c>
      <c r="F132" s="873">
        <v>37556334</v>
      </c>
      <c r="G132" s="873">
        <v>-2024120</v>
      </c>
      <c r="H132" s="873">
        <v>868657</v>
      </c>
      <c r="I132" s="873">
        <v>-1155463</v>
      </c>
      <c r="J132" s="873">
        <v>-1890270</v>
      </c>
      <c r="K132" s="873">
        <v>-3993</v>
      </c>
      <c r="L132" s="873">
        <v>-1972</v>
      </c>
      <c r="M132" s="873">
        <v>0</v>
      </c>
      <c r="N132" s="873">
        <v>-333327</v>
      </c>
      <c r="O132" s="873">
        <v>-98686</v>
      </c>
      <c r="P132" s="873">
        <v>-92347</v>
      </c>
      <c r="Q132" s="873">
        <v>0</v>
      </c>
      <c r="R132" s="873">
        <v>-1972</v>
      </c>
      <c r="S132" s="873">
        <v>0</v>
      </c>
      <c r="T132" s="873">
        <v>0</v>
      </c>
      <c r="U132" s="873">
        <v>0</v>
      </c>
      <c r="V132" s="873">
        <v>0</v>
      </c>
      <c r="W132" s="873">
        <v>0</v>
      </c>
      <c r="X132" s="873">
        <v>0</v>
      </c>
      <c r="Y132" s="873">
        <v>-552210</v>
      </c>
      <c r="Z132" s="873">
        <v>33426094</v>
      </c>
      <c r="AA132" s="873">
        <v>-250000</v>
      </c>
      <c r="AB132" s="874"/>
      <c r="AC132" s="873">
        <v>157</v>
      </c>
      <c r="AD132" s="873">
        <v>3</v>
      </c>
      <c r="AE132" s="873">
        <v>2</v>
      </c>
      <c r="AF132" s="873">
        <v>0</v>
      </c>
      <c r="AG132" s="873">
        <v>228</v>
      </c>
      <c r="AH132" s="873">
        <v>43</v>
      </c>
      <c r="AI132" s="873">
        <v>20</v>
      </c>
      <c r="AJ132" s="873">
        <v>0</v>
      </c>
      <c r="AK132" s="873">
        <v>2</v>
      </c>
      <c r="AL132" s="873">
        <v>0</v>
      </c>
      <c r="AM132" s="873">
        <v>0</v>
      </c>
      <c r="AN132" s="873">
        <v>0</v>
      </c>
      <c r="AO132" s="873">
        <v>1044</v>
      </c>
      <c r="AP132" s="873">
        <v>1356</v>
      </c>
      <c r="AQ132" s="873">
        <v>917</v>
      </c>
      <c r="AR132" s="873">
        <v>439</v>
      </c>
      <c r="AS132" s="873">
        <v>810</v>
      </c>
      <c r="AT132" s="843">
        <v>3247</v>
      </c>
      <c r="AU132" s="663"/>
      <c r="AV132" s="663"/>
      <c r="AX132" s="666"/>
      <c r="AY132" s="666"/>
      <c r="AZ132" s="666"/>
      <c r="BA132" s="666"/>
      <c r="BB132" s="666"/>
      <c r="BD132" s="666"/>
      <c r="BE132" s="666"/>
      <c r="BG132" s="666"/>
      <c r="BI132" s="666"/>
      <c r="BJ132" s="666"/>
      <c r="BK132" s="666"/>
    </row>
    <row r="133" spans="1:63" ht="12.75" x14ac:dyDescent="0.2">
      <c r="A133" s="288">
        <v>126</v>
      </c>
      <c r="B133" s="290" t="s">
        <v>146</v>
      </c>
      <c r="C133" s="279" t="s">
        <v>147</v>
      </c>
      <c r="D133" s="955">
        <v>270688</v>
      </c>
      <c r="E133" s="843">
        <v>182614407</v>
      </c>
      <c r="F133" s="873">
        <v>86927050</v>
      </c>
      <c r="G133" s="873">
        <v>-3695641</v>
      </c>
      <c r="H133" s="873">
        <v>1563755</v>
      </c>
      <c r="I133" s="873">
        <v>-2131886</v>
      </c>
      <c r="J133" s="873">
        <v>-4474582</v>
      </c>
      <c r="K133" s="873">
        <v>-342381</v>
      </c>
      <c r="L133" s="873">
        <v>0</v>
      </c>
      <c r="M133" s="873">
        <v>-44896</v>
      </c>
      <c r="N133" s="873">
        <v>-3097873</v>
      </c>
      <c r="O133" s="873">
        <v>-138258</v>
      </c>
      <c r="P133" s="873">
        <v>-6760</v>
      </c>
      <c r="Q133" s="873">
        <v>-76899</v>
      </c>
      <c r="R133" s="873">
        <v>0</v>
      </c>
      <c r="S133" s="873">
        <v>0</v>
      </c>
      <c r="T133" s="873">
        <v>0</v>
      </c>
      <c r="U133" s="873">
        <v>0</v>
      </c>
      <c r="V133" s="873">
        <v>0</v>
      </c>
      <c r="W133" s="873">
        <v>0</v>
      </c>
      <c r="X133" s="873">
        <v>0</v>
      </c>
      <c r="Y133" s="873">
        <v>-1485000</v>
      </c>
      <c r="Z133" s="873">
        <v>75071019</v>
      </c>
      <c r="AA133" s="873">
        <v>-646462</v>
      </c>
      <c r="AB133" s="874"/>
      <c r="AC133" s="873">
        <v>214</v>
      </c>
      <c r="AD133" s="873">
        <v>17</v>
      </c>
      <c r="AE133" s="873">
        <v>0</v>
      </c>
      <c r="AF133" s="873">
        <v>0</v>
      </c>
      <c r="AG133" s="873">
        <v>416</v>
      </c>
      <c r="AH133" s="873">
        <v>81</v>
      </c>
      <c r="AI133" s="873">
        <v>5</v>
      </c>
      <c r="AJ133" s="873">
        <v>4</v>
      </c>
      <c r="AK133" s="873">
        <v>0</v>
      </c>
      <c r="AL133" s="873">
        <v>0</v>
      </c>
      <c r="AM133" s="873">
        <v>0</v>
      </c>
      <c r="AN133" s="873">
        <v>0</v>
      </c>
      <c r="AO133" s="873">
        <v>1741</v>
      </c>
      <c r="AP133" s="873">
        <v>1647</v>
      </c>
      <c r="AQ133" s="873">
        <v>774</v>
      </c>
      <c r="AR133" s="873">
        <v>873</v>
      </c>
      <c r="AS133" s="873">
        <v>2295</v>
      </c>
      <c r="AT133" s="843">
        <v>5729</v>
      </c>
      <c r="AU133" s="663"/>
      <c r="AV133" s="663"/>
      <c r="AX133" s="666"/>
      <c r="AY133" s="666"/>
      <c r="AZ133" s="666"/>
      <c r="BA133" s="666"/>
      <c r="BB133" s="666"/>
      <c r="BD133" s="666"/>
      <c r="BE133" s="666"/>
      <c r="BG133" s="666"/>
      <c r="BI133" s="666"/>
      <c r="BJ133" s="666"/>
      <c r="BK133" s="666"/>
    </row>
    <row r="134" spans="1:63" ht="12.75" x14ac:dyDescent="0.2">
      <c r="A134" s="288">
        <v>127</v>
      </c>
      <c r="B134" s="290" t="s">
        <v>148</v>
      </c>
      <c r="C134" s="279" t="s">
        <v>149</v>
      </c>
      <c r="D134" s="955">
        <v>304935</v>
      </c>
      <c r="E134" s="843">
        <v>129442695</v>
      </c>
      <c r="F134" s="873">
        <v>61735186</v>
      </c>
      <c r="G134" s="873">
        <v>-5364162</v>
      </c>
      <c r="H134" s="873">
        <v>1107628</v>
      </c>
      <c r="I134" s="873">
        <v>-4256534</v>
      </c>
      <c r="J134" s="873">
        <v>-4287519</v>
      </c>
      <c r="K134" s="873">
        <v>-53987</v>
      </c>
      <c r="L134" s="873">
        <v>-97153</v>
      </c>
      <c r="M134" s="873">
        <v>-8243</v>
      </c>
      <c r="N134" s="873">
        <v>-1969549</v>
      </c>
      <c r="O134" s="873">
        <v>-344056</v>
      </c>
      <c r="P134" s="873">
        <v>-138222</v>
      </c>
      <c r="Q134" s="873">
        <v>-197</v>
      </c>
      <c r="R134" s="873">
        <v>-64384</v>
      </c>
      <c r="S134" s="873">
        <v>0</v>
      </c>
      <c r="T134" s="873">
        <v>-307561</v>
      </c>
      <c r="U134" s="873">
        <v>-302000</v>
      </c>
      <c r="V134" s="873">
        <v>0</v>
      </c>
      <c r="W134" s="873">
        <v>0</v>
      </c>
      <c r="X134" s="873">
        <v>0</v>
      </c>
      <c r="Y134" s="873">
        <v>-1359428</v>
      </c>
      <c r="Z134" s="873">
        <v>48848353</v>
      </c>
      <c r="AA134" s="873">
        <v>-675000</v>
      </c>
      <c r="AB134" s="874"/>
      <c r="AC134" s="873">
        <v>282</v>
      </c>
      <c r="AD134" s="873">
        <v>19</v>
      </c>
      <c r="AE134" s="873">
        <v>85</v>
      </c>
      <c r="AF134" s="873">
        <v>0</v>
      </c>
      <c r="AG134" s="873">
        <v>463</v>
      </c>
      <c r="AH134" s="873">
        <v>84</v>
      </c>
      <c r="AI134" s="873">
        <v>64</v>
      </c>
      <c r="AJ134" s="873">
        <v>1</v>
      </c>
      <c r="AK134" s="873">
        <v>82</v>
      </c>
      <c r="AL134" s="873">
        <v>0</v>
      </c>
      <c r="AM134" s="873">
        <v>40</v>
      </c>
      <c r="AN134" s="873">
        <v>1</v>
      </c>
      <c r="AO134" s="873">
        <v>2176</v>
      </c>
      <c r="AP134" s="873">
        <v>3332</v>
      </c>
      <c r="AQ134" s="873">
        <v>2494</v>
      </c>
      <c r="AR134" s="873">
        <v>838</v>
      </c>
      <c r="AS134" s="873">
        <v>2168</v>
      </c>
      <c r="AT134" s="843">
        <v>7845</v>
      </c>
      <c r="AU134" s="663"/>
      <c r="AV134" s="663"/>
      <c r="AX134" s="666"/>
      <c r="AY134" s="666"/>
      <c r="AZ134" s="666"/>
      <c r="BA134" s="666"/>
      <c r="BB134" s="666"/>
      <c r="BD134" s="666"/>
      <c r="BE134" s="666"/>
      <c r="BG134" s="666"/>
      <c r="BI134" s="666"/>
      <c r="BJ134" s="666"/>
      <c r="BK134" s="666"/>
    </row>
    <row r="135" spans="1:63" ht="12.75" x14ac:dyDescent="0.2">
      <c r="A135" s="288">
        <v>128</v>
      </c>
      <c r="B135" s="290" t="s">
        <v>150</v>
      </c>
      <c r="C135" s="279" t="s">
        <v>151</v>
      </c>
      <c r="D135" s="955">
        <v>152119</v>
      </c>
      <c r="E135" s="843">
        <v>114632895</v>
      </c>
      <c r="F135" s="873">
        <v>55317485</v>
      </c>
      <c r="G135" s="873">
        <v>-1618667</v>
      </c>
      <c r="H135" s="873">
        <v>1322158</v>
      </c>
      <c r="I135" s="873">
        <v>-296509</v>
      </c>
      <c r="J135" s="873">
        <v>-4947024</v>
      </c>
      <c r="K135" s="873">
        <v>-53816</v>
      </c>
      <c r="L135" s="873">
        <v>0</v>
      </c>
      <c r="M135" s="873">
        <v>0</v>
      </c>
      <c r="N135" s="873">
        <v>-448108</v>
      </c>
      <c r="O135" s="873">
        <v>-103299</v>
      </c>
      <c r="P135" s="873">
        <v>-37456</v>
      </c>
      <c r="Q135" s="873">
        <v>0</v>
      </c>
      <c r="R135" s="873">
        <v>0</v>
      </c>
      <c r="S135" s="873">
        <v>0</v>
      </c>
      <c r="T135" s="873">
        <v>0</v>
      </c>
      <c r="U135" s="873">
        <v>0</v>
      </c>
      <c r="V135" s="873">
        <v>0</v>
      </c>
      <c r="W135" s="873">
        <v>-137054</v>
      </c>
      <c r="X135" s="873">
        <v>-23057</v>
      </c>
      <c r="Y135" s="873">
        <v>-817642</v>
      </c>
      <c r="Z135" s="873">
        <v>48035179</v>
      </c>
      <c r="AA135" s="873">
        <v>-1219118</v>
      </c>
      <c r="AB135" s="874"/>
      <c r="AC135" s="873">
        <v>156</v>
      </c>
      <c r="AD135" s="873">
        <v>6</v>
      </c>
      <c r="AE135" s="873">
        <v>0</v>
      </c>
      <c r="AF135" s="873">
        <v>0</v>
      </c>
      <c r="AG135" s="873">
        <v>117</v>
      </c>
      <c r="AH135" s="873">
        <v>67</v>
      </c>
      <c r="AI135" s="873">
        <v>13</v>
      </c>
      <c r="AJ135" s="873">
        <v>0</v>
      </c>
      <c r="AK135" s="873">
        <v>0</v>
      </c>
      <c r="AL135" s="873">
        <v>0</v>
      </c>
      <c r="AM135" s="873">
        <v>0</v>
      </c>
      <c r="AN135" s="873">
        <v>0</v>
      </c>
      <c r="AO135" s="873">
        <v>1262</v>
      </c>
      <c r="AP135" s="873">
        <v>838</v>
      </c>
      <c r="AQ135" s="873">
        <v>406</v>
      </c>
      <c r="AR135" s="873">
        <v>432</v>
      </c>
      <c r="AS135" s="873">
        <v>1022</v>
      </c>
      <c r="AT135" s="843">
        <v>3080</v>
      </c>
      <c r="AU135" s="663"/>
      <c r="AV135" s="663"/>
      <c r="AX135" s="666"/>
      <c r="AY135" s="666"/>
      <c r="AZ135" s="666"/>
      <c r="BA135" s="666"/>
      <c r="BB135" s="666"/>
      <c r="BD135" s="666"/>
      <c r="BE135" s="666"/>
      <c r="BG135" s="666"/>
      <c r="BI135" s="666"/>
      <c r="BJ135" s="666"/>
      <c r="BK135" s="666"/>
    </row>
    <row r="136" spans="1:63" ht="12.75" x14ac:dyDescent="0.2">
      <c r="A136" s="288">
        <v>129</v>
      </c>
      <c r="B136" s="290" t="s">
        <v>152</v>
      </c>
      <c r="C136" s="279" t="s">
        <v>153</v>
      </c>
      <c r="D136" s="955">
        <v>135432</v>
      </c>
      <c r="E136" s="843">
        <v>60779846</v>
      </c>
      <c r="F136" s="873">
        <v>28862033</v>
      </c>
      <c r="G136" s="873">
        <v>-2586297</v>
      </c>
      <c r="H136" s="873">
        <v>606652</v>
      </c>
      <c r="I136" s="873">
        <v>-1979645</v>
      </c>
      <c r="J136" s="873">
        <v>-948752</v>
      </c>
      <c r="K136" s="873">
        <v>-71732</v>
      </c>
      <c r="L136" s="873">
        <v>-14895</v>
      </c>
      <c r="M136" s="873">
        <v>0</v>
      </c>
      <c r="N136" s="873">
        <v>-305012</v>
      </c>
      <c r="O136" s="873">
        <v>-28508</v>
      </c>
      <c r="P136" s="873">
        <v>-149626</v>
      </c>
      <c r="Q136" s="873">
        <v>-5875</v>
      </c>
      <c r="R136" s="873">
        <v>-8157</v>
      </c>
      <c r="S136" s="873">
        <v>0</v>
      </c>
      <c r="T136" s="873">
        <v>0</v>
      </c>
      <c r="U136" s="873">
        <v>0</v>
      </c>
      <c r="V136" s="873">
        <v>0</v>
      </c>
      <c r="W136" s="873">
        <v>-414</v>
      </c>
      <c r="X136" s="873">
        <v>-833</v>
      </c>
      <c r="Y136" s="873">
        <v>-431411</v>
      </c>
      <c r="Z136" s="873">
        <v>24917173</v>
      </c>
      <c r="AA136" s="873">
        <v>-93051</v>
      </c>
      <c r="AB136" s="874"/>
      <c r="AC136" s="873">
        <v>131</v>
      </c>
      <c r="AD136" s="873">
        <v>20</v>
      </c>
      <c r="AE136" s="873">
        <v>11</v>
      </c>
      <c r="AF136" s="873">
        <v>0</v>
      </c>
      <c r="AG136" s="873">
        <v>354</v>
      </c>
      <c r="AH136" s="873">
        <v>33</v>
      </c>
      <c r="AI136" s="873">
        <v>15</v>
      </c>
      <c r="AJ136" s="873">
        <v>3</v>
      </c>
      <c r="AK136" s="873">
        <v>4</v>
      </c>
      <c r="AL136" s="873">
        <v>0</v>
      </c>
      <c r="AM136" s="873">
        <v>0</v>
      </c>
      <c r="AN136" s="873">
        <v>0</v>
      </c>
      <c r="AO136" s="873">
        <v>952</v>
      </c>
      <c r="AP136" s="873">
        <v>1549</v>
      </c>
      <c r="AQ136" s="873">
        <v>1200</v>
      </c>
      <c r="AR136" s="873">
        <v>349</v>
      </c>
      <c r="AS136" s="873">
        <v>892</v>
      </c>
      <c r="AT136" s="843">
        <v>3452</v>
      </c>
      <c r="AU136" s="663"/>
      <c r="AV136" s="663"/>
      <c r="AX136" s="666"/>
      <c r="AY136" s="666"/>
      <c r="AZ136" s="666"/>
      <c r="BA136" s="666"/>
      <c r="BB136" s="666"/>
      <c r="BD136" s="666"/>
      <c r="BE136" s="666"/>
      <c r="BG136" s="666"/>
      <c r="BI136" s="666"/>
      <c r="BJ136" s="666"/>
      <c r="BK136" s="666"/>
    </row>
    <row r="137" spans="1:63" ht="12.75" x14ac:dyDescent="0.2">
      <c r="A137" s="288">
        <v>130</v>
      </c>
      <c r="B137" s="290" t="s">
        <v>154</v>
      </c>
      <c r="C137" s="279" t="s">
        <v>155</v>
      </c>
      <c r="D137" s="955">
        <v>597680</v>
      </c>
      <c r="E137" s="843">
        <v>798267285</v>
      </c>
      <c r="F137" s="873">
        <v>390765045</v>
      </c>
      <c r="G137" s="873">
        <v>-3131608</v>
      </c>
      <c r="H137" s="873">
        <v>7982479</v>
      </c>
      <c r="I137" s="873">
        <v>4850871</v>
      </c>
      <c r="J137" s="873">
        <v>-7584635</v>
      </c>
      <c r="K137" s="873">
        <v>-46215</v>
      </c>
      <c r="L137" s="873">
        <v>0</v>
      </c>
      <c r="M137" s="873">
        <v>-1607868</v>
      </c>
      <c r="N137" s="873">
        <v>-10534327</v>
      </c>
      <c r="O137" s="873">
        <v>-231344</v>
      </c>
      <c r="P137" s="873">
        <v>-19000</v>
      </c>
      <c r="Q137" s="873">
        <v>0</v>
      </c>
      <c r="R137" s="873">
        <v>0</v>
      </c>
      <c r="S137" s="873">
        <v>0</v>
      </c>
      <c r="T137" s="873">
        <v>0</v>
      </c>
      <c r="U137" s="873">
        <v>0</v>
      </c>
      <c r="V137" s="873">
        <v>0</v>
      </c>
      <c r="W137" s="873">
        <v>0</v>
      </c>
      <c r="X137" s="873">
        <v>-100000</v>
      </c>
      <c r="Y137" s="873">
        <v>-1200000</v>
      </c>
      <c r="Z137" s="873">
        <v>376239692</v>
      </c>
      <c r="AA137" s="873">
        <v>-2000000</v>
      </c>
      <c r="AB137" s="874"/>
      <c r="AC137" s="873">
        <v>271</v>
      </c>
      <c r="AD137" s="873">
        <v>12</v>
      </c>
      <c r="AE137" s="873">
        <v>0</v>
      </c>
      <c r="AF137" s="873">
        <v>0</v>
      </c>
      <c r="AG137" s="873">
        <v>355</v>
      </c>
      <c r="AH137" s="873">
        <v>165</v>
      </c>
      <c r="AI137" s="873">
        <v>24</v>
      </c>
      <c r="AJ137" s="873">
        <v>0</v>
      </c>
      <c r="AK137" s="873">
        <v>0</v>
      </c>
      <c r="AL137" s="873">
        <v>0</v>
      </c>
      <c r="AM137" s="873">
        <v>0</v>
      </c>
      <c r="AN137" s="873">
        <v>0</v>
      </c>
      <c r="AO137" s="873">
        <v>3102</v>
      </c>
      <c r="AP137" s="873">
        <v>1593</v>
      </c>
      <c r="AQ137" s="873">
        <v>692</v>
      </c>
      <c r="AR137" s="873">
        <v>901</v>
      </c>
      <c r="AS137" s="873">
        <v>3406</v>
      </c>
      <c r="AT137" s="843">
        <v>8251</v>
      </c>
      <c r="AU137" s="663"/>
      <c r="AV137" s="663"/>
      <c r="AX137" s="666"/>
      <c r="AY137" s="666"/>
      <c r="AZ137" s="666"/>
      <c r="BA137" s="666"/>
      <c r="BB137" s="666"/>
      <c r="BD137" s="666"/>
      <c r="BE137" s="666"/>
      <c r="BG137" s="666"/>
      <c r="BI137" s="666"/>
      <c r="BJ137" s="666"/>
      <c r="BK137" s="666"/>
    </row>
    <row r="138" spans="1:63" ht="12.75" x14ac:dyDescent="0.2">
      <c r="A138" s="288">
        <v>131</v>
      </c>
      <c r="B138" s="290" t="s">
        <v>156</v>
      </c>
      <c r="C138" s="279" t="s">
        <v>157</v>
      </c>
      <c r="D138" s="955">
        <v>124755</v>
      </c>
      <c r="E138" s="843">
        <v>71484465</v>
      </c>
      <c r="F138" s="873">
        <v>34154796</v>
      </c>
      <c r="G138" s="873">
        <v>-2263406</v>
      </c>
      <c r="H138" s="873">
        <v>768045</v>
      </c>
      <c r="I138" s="873">
        <v>-1495361</v>
      </c>
      <c r="J138" s="873">
        <v>-1736616</v>
      </c>
      <c r="K138" s="873">
        <v>-6153</v>
      </c>
      <c r="L138" s="873">
        <v>-12732</v>
      </c>
      <c r="M138" s="873">
        <v>-150000</v>
      </c>
      <c r="N138" s="873">
        <v>-375644</v>
      </c>
      <c r="O138" s="873">
        <v>-68613</v>
      </c>
      <c r="P138" s="873">
        <v>-83147</v>
      </c>
      <c r="Q138" s="873">
        <v>-1528</v>
      </c>
      <c r="R138" s="873">
        <v>0</v>
      </c>
      <c r="S138" s="873">
        <v>0</v>
      </c>
      <c r="T138" s="873">
        <v>0</v>
      </c>
      <c r="U138" s="873">
        <v>0</v>
      </c>
      <c r="V138" s="873">
        <v>0</v>
      </c>
      <c r="W138" s="873">
        <v>-9736</v>
      </c>
      <c r="X138" s="873">
        <v>0</v>
      </c>
      <c r="Y138" s="873">
        <v>-318320</v>
      </c>
      <c r="Z138" s="873">
        <v>29626946</v>
      </c>
      <c r="AA138" s="873">
        <v>-193000</v>
      </c>
      <c r="AB138" s="874"/>
      <c r="AC138" s="873">
        <v>120</v>
      </c>
      <c r="AD138" s="873">
        <v>2</v>
      </c>
      <c r="AE138" s="873">
        <v>8</v>
      </c>
      <c r="AF138" s="873">
        <v>0</v>
      </c>
      <c r="AG138" s="873">
        <v>194</v>
      </c>
      <c r="AH138" s="873">
        <v>74</v>
      </c>
      <c r="AI138" s="873">
        <v>22</v>
      </c>
      <c r="AJ138" s="873">
        <v>2</v>
      </c>
      <c r="AK138" s="873">
        <v>0</v>
      </c>
      <c r="AL138" s="873">
        <v>0</v>
      </c>
      <c r="AM138" s="873">
        <v>0</v>
      </c>
      <c r="AN138" s="873">
        <v>0</v>
      </c>
      <c r="AO138" s="873">
        <v>991</v>
      </c>
      <c r="AP138" s="873">
        <v>1241</v>
      </c>
      <c r="AQ138" s="873">
        <v>902</v>
      </c>
      <c r="AR138" s="873">
        <v>339</v>
      </c>
      <c r="AS138" s="873">
        <v>724</v>
      </c>
      <c r="AT138" s="843">
        <v>3028</v>
      </c>
      <c r="AU138" s="663"/>
      <c r="AV138" s="663"/>
      <c r="AX138" s="666"/>
      <c r="AY138" s="666"/>
      <c r="AZ138" s="666"/>
      <c r="BA138" s="666"/>
      <c r="BB138" s="666"/>
      <c r="BD138" s="666"/>
      <c r="BE138" s="666"/>
      <c r="BG138" s="666"/>
      <c r="BI138" s="666"/>
      <c r="BJ138" s="666"/>
      <c r="BK138" s="666"/>
    </row>
    <row r="139" spans="1:63" ht="12.75" x14ac:dyDescent="0.2">
      <c r="A139" s="288">
        <v>132</v>
      </c>
      <c r="B139" s="290" t="s">
        <v>158</v>
      </c>
      <c r="C139" s="279" t="s">
        <v>159</v>
      </c>
      <c r="D139" s="955">
        <v>178742</v>
      </c>
      <c r="E139" s="843">
        <v>100922630</v>
      </c>
      <c r="F139" s="873">
        <v>48016955</v>
      </c>
      <c r="G139" s="873">
        <v>-2613837</v>
      </c>
      <c r="H139" s="873">
        <v>1060536</v>
      </c>
      <c r="I139" s="873">
        <v>-1553301</v>
      </c>
      <c r="J139" s="873">
        <v>-2724478</v>
      </c>
      <c r="K139" s="873">
        <v>-52396</v>
      </c>
      <c r="L139" s="873">
        <v>-18771</v>
      </c>
      <c r="M139" s="873">
        <v>-20000</v>
      </c>
      <c r="N139" s="873">
        <v>-872498</v>
      </c>
      <c r="O139" s="873">
        <v>-70365</v>
      </c>
      <c r="P139" s="873">
        <v>-457583</v>
      </c>
      <c r="Q139" s="873">
        <v>-3550</v>
      </c>
      <c r="R139" s="873">
        <v>-3569</v>
      </c>
      <c r="S139" s="873">
        <v>-1280</v>
      </c>
      <c r="T139" s="873">
        <v>0</v>
      </c>
      <c r="U139" s="873">
        <v>0</v>
      </c>
      <c r="V139" s="873">
        <v>0</v>
      </c>
      <c r="W139" s="873">
        <v>0</v>
      </c>
      <c r="X139" s="873">
        <v>-426</v>
      </c>
      <c r="Y139" s="873">
        <v>-724609</v>
      </c>
      <c r="Z139" s="873">
        <v>41066678</v>
      </c>
      <c r="AA139" s="873">
        <v>-600000</v>
      </c>
      <c r="AB139" s="874"/>
      <c r="AC139" s="873">
        <v>213</v>
      </c>
      <c r="AD139" s="873">
        <v>12</v>
      </c>
      <c r="AE139" s="873">
        <v>14</v>
      </c>
      <c r="AF139" s="873">
        <v>3</v>
      </c>
      <c r="AG139" s="873">
        <v>293</v>
      </c>
      <c r="AH139" s="873">
        <v>67</v>
      </c>
      <c r="AI139" s="873">
        <v>8</v>
      </c>
      <c r="AJ139" s="873">
        <v>7</v>
      </c>
      <c r="AK139" s="873">
        <v>3</v>
      </c>
      <c r="AL139" s="873">
        <v>1</v>
      </c>
      <c r="AM139" s="873">
        <v>0</v>
      </c>
      <c r="AN139" s="873">
        <v>0</v>
      </c>
      <c r="AO139" s="873">
        <v>1485</v>
      </c>
      <c r="AP139" s="873">
        <v>1399</v>
      </c>
      <c r="AQ139" s="873">
        <v>895</v>
      </c>
      <c r="AR139" s="873">
        <v>504</v>
      </c>
      <c r="AS139" s="873">
        <v>1419</v>
      </c>
      <c r="AT139" s="843">
        <v>4353</v>
      </c>
      <c r="AU139" s="663"/>
      <c r="AV139" s="663"/>
      <c r="AX139" s="666"/>
      <c r="AY139" s="666"/>
      <c r="AZ139" s="666"/>
      <c r="BA139" s="666"/>
      <c r="BB139" s="666"/>
      <c r="BD139" s="666"/>
      <c r="BE139" s="666"/>
      <c r="BG139" s="666"/>
      <c r="BI139" s="666"/>
      <c r="BJ139" s="666"/>
      <c r="BK139" s="666"/>
    </row>
    <row r="140" spans="1:63" ht="12.75" x14ac:dyDescent="0.2">
      <c r="A140" s="288">
        <v>133</v>
      </c>
      <c r="B140" s="290" t="s">
        <v>160</v>
      </c>
      <c r="C140" s="279" t="s">
        <v>161</v>
      </c>
      <c r="D140" s="955">
        <v>399618</v>
      </c>
      <c r="E140" s="843">
        <v>370842677</v>
      </c>
      <c r="F140" s="873">
        <v>174883383</v>
      </c>
      <c r="G140" s="873">
        <v>-2720035</v>
      </c>
      <c r="H140" s="873">
        <v>4255627</v>
      </c>
      <c r="I140" s="873">
        <v>1535592</v>
      </c>
      <c r="J140" s="873">
        <v>-4896052</v>
      </c>
      <c r="K140" s="873">
        <v>-54368</v>
      </c>
      <c r="L140" s="873">
        <v>0</v>
      </c>
      <c r="M140" s="873">
        <v>0</v>
      </c>
      <c r="N140" s="873">
        <v>-6636599</v>
      </c>
      <c r="O140" s="873">
        <v>-255813</v>
      </c>
      <c r="P140" s="873">
        <v>-520323</v>
      </c>
      <c r="Q140" s="873">
        <v>-3574</v>
      </c>
      <c r="R140" s="873">
        <v>0</v>
      </c>
      <c r="S140" s="873">
        <v>0</v>
      </c>
      <c r="T140" s="873">
        <v>0</v>
      </c>
      <c r="U140" s="873">
        <v>0</v>
      </c>
      <c r="V140" s="873">
        <v>0</v>
      </c>
      <c r="W140" s="873">
        <v>-316876</v>
      </c>
      <c r="X140" s="873">
        <v>-5040</v>
      </c>
      <c r="Y140" s="873">
        <v>-584840</v>
      </c>
      <c r="Z140" s="873">
        <v>163145490</v>
      </c>
      <c r="AA140" s="873">
        <v>-4500000</v>
      </c>
      <c r="AB140" s="874"/>
      <c r="AC140" s="873">
        <v>225</v>
      </c>
      <c r="AD140" s="873">
        <v>11</v>
      </c>
      <c r="AE140" s="873">
        <v>0</v>
      </c>
      <c r="AF140" s="873">
        <v>0</v>
      </c>
      <c r="AG140" s="873">
        <v>297</v>
      </c>
      <c r="AH140" s="873">
        <v>66</v>
      </c>
      <c r="AI140" s="873">
        <v>21</v>
      </c>
      <c r="AJ140" s="873">
        <v>2</v>
      </c>
      <c r="AK140" s="873">
        <v>0</v>
      </c>
      <c r="AL140" s="873">
        <v>0</v>
      </c>
      <c r="AM140" s="873">
        <v>0</v>
      </c>
      <c r="AN140" s="873">
        <v>0</v>
      </c>
      <c r="AO140" s="873">
        <v>2957</v>
      </c>
      <c r="AP140" s="873">
        <v>1319</v>
      </c>
      <c r="AQ140" s="873">
        <v>642</v>
      </c>
      <c r="AR140" s="873">
        <v>677</v>
      </c>
      <c r="AS140" s="873">
        <v>2888</v>
      </c>
      <c r="AT140" s="843">
        <v>7113</v>
      </c>
      <c r="AU140" s="663"/>
      <c r="AV140" s="663"/>
      <c r="AX140" s="666"/>
      <c r="AY140" s="666"/>
      <c r="AZ140" s="666"/>
      <c r="BA140" s="666"/>
      <c r="BB140" s="666"/>
      <c r="BD140" s="666"/>
      <c r="BE140" s="666"/>
      <c r="BG140" s="666"/>
      <c r="BI140" s="666"/>
      <c r="BJ140" s="666"/>
      <c r="BK140" s="666"/>
    </row>
    <row r="141" spans="1:63" ht="12.75" x14ac:dyDescent="0.2">
      <c r="A141" s="288">
        <v>134</v>
      </c>
      <c r="B141" s="290" t="s">
        <v>162</v>
      </c>
      <c r="C141" s="279" t="s">
        <v>163</v>
      </c>
      <c r="D141" s="955">
        <v>222458</v>
      </c>
      <c r="E141" s="843">
        <v>141692400</v>
      </c>
      <c r="F141" s="873">
        <v>68538505</v>
      </c>
      <c r="G141" s="873">
        <v>-2990197</v>
      </c>
      <c r="H141" s="873">
        <v>1579993</v>
      </c>
      <c r="I141" s="873">
        <v>-1410204</v>
      </c>
      <c r="J141" s="873">
        <v>-2654766</v>
      </c>
      <c r="K141" s="873">
        <v>-203718</v>
      </c>
      <c r="L141" s="873">
        <v>-48382</v>
      </c>
      <c r="M141" s="873">
        <v>-60000</v>
      </c>
      <c r="N141" s="873">
        <v>-1871461</v>
      </c>
      <c r="O141" s="873">
        <v>-1000</v>
      </c>
      <c r="P141" s="873">
        <v>-71006</v>
      </c>
      <c r="Q141" s="873">
        <v>0</v>
      </c>
      <c r="R141" s="873">
        <v>-23117</v>
      </c>
      <c r="S141" s="873">
        <v>-407</v>
      </c>
      <c r="T141" s="873">
        <v>-203397</v>
      </c>
      <c r="U141" s="873">
        <v>-203397</v>
      </c>
      <c r="V141" s="873">
        <v>0</v>
      </c>
      <c r="W141" s="873">
        <v>-10000</v>
      </c>
      <c r="X141" s="873">
        <v>-15000</v>
      </c>
      <c r="Y141" s="873">
        <v>-750000</v>
      </c>
      <c r="Z141" s="873">
        <v>61216047</v>
      </c>
      <c r="AA141" s="873">
        <v>-951745</v>
      </c>
      <c r="AB141" s="874"/>
      <c r="AC141" s="873">
        <v>262</v>
      </c>
      <c r="AD141" s="873">
        <v>21</v>
      </c>
      <c r="AE141" s="873">
        <v>34</v>
      </c>
      <c r="AF141" s="873">
        <v>0</v>
      </c>
      <c r="AG141" s="873">
        <v>272</v>
      </c>
      <c r="AH141" s="873">
        <v>1</v>
      </c>
      <c r="AI141" s="873">
        <v>42</v>
      </c>
      <c r="AJ141" s="873">
        <v>0</v>
      </c>
      <c r="AK141" s="873">
        <v>19</v>
      </c>
      <c r="AL141" s="873">
        <v>1</v>
      </c>
      <c r="AM141" s="873">
        <v>48</v>
      </c>
      <c r="AN141" s="873">
        <v>0</v>
      </c>
      <c r="AO141" s="873">
        <v>2133</v>
      </c>
      <c r="AP141" s="873">
        <v>1579</v>
      </c>
      <c r="AQ141" s="873">
        <v>944</v>
      </c>
      <c r="AR141" s="873">
        <v>635</v>
      </c>
      <c r="AS141" s="873">
        <v>1283</v>
      </c>
      <c r="AT141" s="843">
        <v>5042</v>
      </c>
      <c r="AU141" s="663"/>
      <c r="AV141" s="663"/>
      <c r="AX141" s="666"/>
      <c r="AY141" s="666"/>
      <c r="AZ141" s="666"/>
      <c r="BA141" s="666"/>
      <c r="BB141" s="666"/>
      <c r="BD141" s="666"/>
      <c r="BE141" s="666"/>
      <c r="BG141" s="666"/>
      <c r="BI141" s="666"/>
      <c r="BJ141" s="666"/>
      <c r="BK141" s="666"/>
    </row>
    <row r="142" spans="1:63" ht="12.75" x14ac:dyDescent="0.2">
      <c r="A142" s="288">
        <v>135</v>
      </c>
      <c r="B142" s="290" t="s">
        <v>164</v>
      </c>
      <c r="C142" s="279" t="s">
        <v>165</v>
      </c>
      <c r="D142" s="955">
        <v>130406</v>
      </c>
      <c r="E142" s="843">
        <v>58716282</v>
      </c>
      <c r="F142" s="873">
        <v>28414305</v>
      </c>
      <c r="G142" s="873">
        <v>-2384470</v>
      </c>
      <c r="H142" s="873">
        <v>621738</v>
      </c>
      <c r="I142" s="873">
        <v>-1762732</v>
      </c>
      <c r="J142" s="873">
        <v>-1430593</v>
      </c>
      <c r="K142" s="873">
        <v>-35200</v>
      </c>
      <c r="L142" s="873">
        <v>0</v>
      </c>
      <c r="M142" s="873">
        <v>0</v>
      </c>
      <c r="N142" s="873">
        <v>-1965719</v>
      </c>
      <c r="O142" s="873">
        <v>-138583</v>
      </c>
      <c r="P142" s="873">
        <v>-88248</v>
      </c>
      <c r="Q142" s="873">
        <v>0</v>
      </c>
      <c r="R142" s="873">
        <v>0</v>
      </c>
      <c r="S142" s="873">
        <v>0</v>
      </c>
      <c r="T142" s="873">
        <v>0</v>
      </c>
      <c r="U142" s="873">
        <v>0</v>
      </c>
      <c r="V142" s="873">
        <v>0</v>
      </c>
      <c r="W142" s="873">
        <v>0</v>
      </c>
      <c r="X142" s="873">
        <v>-4548</v>
      </c>
      <c r="Y142" s="873">
        <v>-467206</v>
      </c>
      <c r="Z142" s="873">
        <v>21140022</v>
      </c>
      <c r="AA142" s="873">
        <v>-422800</v>
      </c>
      <c r="AB142" s="874"/>
      <c r="AC142" s="873">
        <v>146</v>
      </c>
      <c r="AD142" s="873">
        <v>0</v>
      </c>
      <c r="AE142" s="873">
        <v>0</v>
      </c>
      <c r="AF142" s="873">
        <v>0</v>
      </c>
      <c r="AG142" s="873">
        <v>524</v>
      </c>
      <c r="AH142" s="873">
        <v>83</v>
      </c>
      <c r="AI142" s="873">
        <v>28</v>
      </c>
      <c r="AJ142" s="873">
        <v>0</v>
      </c>
      <c r="AK142" s="873">
        <v>0</v>
      </c>
      <c r="AL142" s="873">
        <v>0</v>
      </c>
      <c r="AM142" s="873">
        <v>0</v>
      </c>
      <c r="AN142" s="873">
        <v>0</v>
      </c>
      <c r="AO142" s="873">
        <v>1265</v>
      </c>
      <c r="AP142" s="873">
        <v>1332</v>
      </c>
      <c r="AQ142" s="873">
        <v>1048</v>
      </c>
      <c r="AR142" s="873">
        <v>284</v>
      </c>
      <c r="AS142" s="873">
        <v>715</v>
      </c>
      <c r="AT142" s="843">
        <v>3322</v>
      </c>
      <c r="AU142" s="663"/>
      <c r="AV142" s="663"/>
      <c r="AX142" s="666"/>
      <c r="AY142" s="666"/>
      <c r="AZ142" s="666"/>
      <c r="BA142" s="666"/>
      <c r="BB142" s="666"/>
      <c r="BD142" s="666"/>
      <c r="BE142" s="666"/>
      <c r="BG142" s="666"/>
      <c r="BI142" s="666"/>
      <c r="BJ142" s="666"/>
      <c r="BK142" s="666"/>
    </row>
    <row r="143" spans="1:63" ht="12.75" x14ac:dyDescent="0.2">
      <c r="A143" s="288">
        <v>136</v>
      </c>
      <c r="B143" s="290" t="s">
        <v>166</v>
      </c>
      <c r="C143" s="279" t="s">
        <v>167</v>
      </c>
      <c r="D143" s="955">
        <v>193418</v>
      </c>
      <c r="E143" s="843">
        <v>135064701</v>
      </c>
      <c r="F143" s="873">
        <v>65321520</v>
      </c>
      <c r="G143" s="873">
        <v>-2306505</v>
      </c>
      <c r="H143" s="873">
        <v>1548588</v>
      </c>
      <c r="I143" s="873">
        <v>-757917</v>
      </c>
      <c r="J143" s="873">
        <v>-3462604</v>
      </c>
      <c r="K143" s="873">
        <v>-89529</v>
      </c>
      <c r="L143" s="873">
        <v>0</v>
      </c>
      <c r="M143" s="873">
        <v>-70678</v>
      </c>
      <c r="N143" s="873">
        <v>-1351518</v>
      </c>
      <c r="O143" s="873">
        <v>-109953</v>
      </c>
      <c r="P143" s="873">
        <v>-51399</v>
      </c>
      <c r="Q143" s="873">
        <v>0</v>
      </c>
      <c r="R143" s="873">
        <v>0</v>
      </c>
      <c r="S143" s="873">
        <v>0</v>
      </c>
      <c r="T143" s="873">
        <v>0</v>
      </c>
      <c r="U143" s="873">
        <v>0</v>
      </c>
      <c r="V143" s="873">
        <v>0</v>
      </c>
      <c r="W143" s="873">
        <v>0</v>
      </c>
      <c r="X143" s="873">
        <v>-3480</v>
      </c>
      <c r="Y143" s="873">
        <v>-528734</v>
      </c>
      <c r="Z143" s="873">
        <v>58785273</v>
      </c>
      <c r="AA143" s="873">
        <v>-353580</v>
      </c>
      <c r="AB143" s="874"/>
      <c r="AC143" s="873">
        <v>259</v>
      </c>
      <c r="AD143" s="873">
        <v>4</v>
      </c>
      <c r="AE143" s="873">
        <v>0</v>
      </c>
      <c r="AF143" s="873">
        <v>0</v>
      </c>
      <c r="AG143" s="873">
        <v>488</v>
      </c>
      <c r="AH143" s="873">
        <v>41</v>
      </c>
      <c r="AI143" s="873">
        <v>19</v>
      </c>
      <c r="AJ143" s="873">
        <v>0</v>
      </c>
      <c r="AK143" s="873">
        <v>0</v>
      </c>
      <c r="AL143" s="873">
        <v>0</v>
      </c>
      <c r="AM143" s="873">
        <v>0</v>
      </c>
      <c r="AN143" s="873">
        <v>0</v>
      </c>
      <c r="AO143" s="873">
        <v>2195</v>
      </c>
      <c r="AP143" s="873">
        <v>1254</v>
      </c>
      <c r="AQ143" s="873">
        <v>785</v>
      </c>
      <c r="AR143" s="873">
        <v>469</v>
      </c>
      <c r="AS143" s="873">
        <v>982</v>
      </c>
      <c r="AT143" s="843">
        <v>4426</v>
      </c>
      <c r="AU143" s="663"/>
      <c r="AV143" s="663"/>
      <c r="AX143" s="666"/>
      <c r="AY143" s="666"/>
      <c r="AZ143" s="666"/>
      <c r="BA143" s="666"/>
      <c r="BB143" s="666"/>
      <c r="BD143" s="666"/>
      <c r="BE143" s="666"/>
      <c r="BG143" s="666"/>
      <c r="BI143" s="666"/>
      <c r="BJ143" s="666"/>
      <c r="BK143" s="666"/>
    </row>
    <row r="144" spans="1:63" ht="12.75" x14ac:dyDescent="0.2">
      <c r="A144" s="288">
        <v>137</v>
      </c>
      <c r="B144" s="290" t="s">
        <v>168</v>
      </c>
      <c r="C144" s="279" t="s">
        <v>169</v>
      </c>
      <c r="D144" s="955">
        <v>257322</v>
      </c>
      <c r="E144" s="843">
        <v>92683895</v>
      </c>
      <c r="F144" s="873">
        <v>43818051</v>
      </c>
      <c r="G144" s="873">
        <v>-4712729</v>
      </c>
      <c r="H144" s="873">
        <v>898276</v>
      </c>
      <c r="I144" s="873">
        <v>-3814453</v>
      </c>
      <c r="J144" s="873">
        <v>-2650076</v>
      </c>
      <c r="K144" s="873">
        <v>-91807</v>
      </c>
      <c r="L144" s="873">
        <v>-11860</v>
      </c>
      <c r="M144" s="873">
        <v>-39000</v>
      </c>
      <c r="N144" s="873">
        <v>-715689</v>
      </c>
      <c r="O144" s="873">
        <v>-78369</v>
      </c>
      <c r="P144" s="873">
        <v>-58078</v>
      </c>
      <c r="Q144" s="873">
        <v>-934</v>
      </c>
      <c r="R144" s="873">
        <v>-9077</v>
      </c>
      <c r="S144" s="873">
        <v>0</v>
      </c>
      <c r="T144" s="873">
        <v>-20178</v>
      </c>
      <c r="U144" s="873">
        <v>0</v>
      </c>
      <c r="V144" s="873">
        <v>0</v>
      </c>
      <c r="W144" s="873">
        <v>-13440</v>
      </c>
      <c r="X144" s="873">
        <v>-10000</v>
      </c>
      <c r="Y144" s="873">
        <v>-949979</v>
      </c>
      <c r="Z144" s="873">
        <v>34970111</v>
      </c>
      <c r="AA144" s="873">
        <v>-200000</v>
      </c>
      <c r="AB144" s="874"/>
      <c r="AC144" s="873">
        <v>350</v>
      </c>
      <c r="AD144" s="873">
        <v>20</v>
      </c>
      <c r="AE144" s="873">
        <v>15</v>
      </c>
      <c r="AF144" s="873">
        <v>0</v>
      </c>
      <c r="AG144" s="873">
        <v>361</v>
      </c>
      <c r="AH144" s="873">
        <v>61</v>
      </c>
      <c r="AI144" s="873">
        <v>13</v>
      </c>
      <c r="AJ144" s="873">
        <v>1</v>
      </c>
      <c r="AK144" s="873">
        <v>13</v>
      </c>
      <c r="AL144" s="873">
        <v>0</v>
      </c>
      <c r="AM144" s="873">
        <v>0</v>
      </c>
      <c r="AN144" s="873">
        <v>6</v>
      </c>
      <c r="AO144" s="873">
        <v>1952</v>
      </c>
      <c r="AP144" s="873">
        <v>3089</v>
      </c>
      <c r="AQ144" s="873">
        <v>2338</v>
      </c>
      <c r="AR144" s="873">
        <v>751</v>
      </c>
      <c r="AS144" s="873">
        <v>1326</v>
      </c>
      <c r="AT144" s="843">
        <v>6515</v>
      </c>
      <c r="AU144" s="663"/>
      <c r="AV144" s="663"/>
      <c r="AX144" s="666"/>
      <c r="AY144" s="666"/>
      <c r="AZ144" s="666"/>
      <c r="BA144" s="666"/>
      <c r="BB144" s="666"/>
      <c r="BD144" s="666"/>
      <c r="BE144" s="666"/>
      <c r="BG144" s="666"/>
      <c r="BI144" s="666"/>
      <c r="BJ144" s="666"/>
      <c r="BK144" s="666"/>
    </row>
    <row r="145" spans="1:63" ht="12.75" x14ac:dyDescent="0.2">
      <c r="A145" s="288">
        <v>138</v>
      </c>
      <c r="B145" s="290" t="s">
        <v>170</v>
      </c>
      <c r="C145" s="279" t="s">
        <v>171</v>
      </c>
      <c r="D145" s="955">
        <v>24540</v>
      </c>
      <c r="E145" s="843">
        <v>4279520</v>
      </c>
      <c r="F145" s="873">
        <v>2031420</v>
      </c>
      <c r="G145" s="873">
        <v>-327771</v>
      </c>
      <c r="H145" s="873">
        <v>28929</v>
      </c>
      <c r="I145" s="873">
        <v>-298842</v>
      </c>
      <c r="J145" s="873">
        <v>-15845</v>
      </c>
      <c r="K145" s="873">
        <v>-6517</v>
      </c>
      <c r="L145" s="873">
        <v>-1799</v>
      </c>
      <c r="M145" s="873">
        <v>0</v>
      </c>
      <c r="N145" s="873">
        <v>-9281</v>
      </c>
      <c r="O145" s="873">
        <v>-1841</v>
      </c>
      <c r="P145" s="873">
        <v>-1313</v>
      </c>
      <c r="Q145" s="873">
        <v>-1076</v>
      </c>
      <c r="R145" s="873">
        <v>-314</v>
      </c>
      <c r="S145" s="873">
        <v>0</v>
      </c>
      <c r="T145" s="873">
        <v>0</v>
      </c>
      <c r="U145" s="873">
        <v>0</v>
      </c>
      <c r="V145" s="873">
        <v>0</v>
      </c>
      <c r="W145" s="873">
        <v>0</v>
      </c>
      <c r="X145" s="873">
        <v>0</v>
      </c>
      <c r="Y145" s="873">
        <v>-55000</v>
      </c>
      <c r="Z145" s="873">
        <v>1639592</v>
      </c>
      <c r="AA145" s="873">
        <v>-10000</v>
      </c>
      <c r="AB145" s="874"/>
      <c r="AC145" s="873">
        <v>7</v>
      </c>
      <c r="AD145" s="873">
        <v>3</v>
      </c>
      <c r="AE145" s="873">
        <v>2</v>
      </c>
      <c r="AF145" s="873">
        <v>0</v>
      </c>
      <c r="AG145" s="873">
        <v>3</v>
      </c>
      <c r="AH145" s="873">
        <v>4</v>
      </c>
      <c r="AI145" s="873">
        <v>11</v>
      </c>
      <c r="AJ145" s="873">
        <v>2</v>
      </c>
      <c r="AK145" s="873">
        <v>1</v>
      </c>
      <c r="AL145" s="873">
        <v>0</v>
      </c>
      <c r="AM145" s="873">
        <v>0</v>
      </c>
      <c r="AN145" s="873">
        <v>0</v>
      </c>
      <c r="AO145" s="873">
        <v>64</v>
      </c>
      <c r="AP145" s="873">
        <v>201</v>
      </c>
      <c r="AQ145" s="873">
        <v>160</v>
      </c>
      <c r="AR145" s="873">
        <v>41</v>
      </c>
      <c r="AS145" s="873">
        <v>28</v>
      </c>
      <c r="AT145" s="843">
        <v>447</v>
      </c>
      <c r="AU145" s="663"/>
      <c r="AV145" s="663"/>
      <c r="AX145" s="666"/>
      <c r="AY145" s="666"/>
      <c r="AZ145" s="666"/>
      <c r="BA145" s="666"/>
      <c r="BB145" s="666"/>
      <c r="BD145" s="666"/>
      <c r="BE145" s="666"/>
      <c r="BG145" s="666"/>
      <c r="BI145" s="666"/>
      <c r="BJ145" s="666"/>
      <c r="BK145" s="666"/>
    </row>
    <row r="146" spans="1:63" ht="12.75" x14ac:dyDescent="0.2">
      <c r="A146" s="288">
        <v>139</v>
      </c>
      <c r="B146" s="290" t="s">
        <v>172</v>
      </c>
      <c r="C146" s="279" t="s">
        <v>173</v>
      </c>
      <c r="D146" s="955">
        <v>644084</v>
      </c>
      <c r="E146" s="843">
        <v>493385825</v>
      </c>
      <c r="F146" s="873">
        <v>230596792</v>
      </c>
      <c r="G146" s="873">
        <v>-3416860</v>
      </c>
      <c r="H146" s="873">
        <v>5603646</v>
      </c>
      <c r="I146" s="873">
        <v>2186786</v>
      </c>
      <c r="J146" s="873">
        <v>-19960910</v>
      </c>
      <c r="K146" s="873">
        <v>0</v>
      </c>
      <c r="L146" s="873">
        <v>0</v>
      </c>
      <c r="M146" s="873">
        <v>0</v>
      </c>
      <c r="N146" s="873">
        <v>-6012492</v>
      </c>
      <c r="O146" s="873">
        <v>-722064</v>
      </c>
      <c r="P146" s="873">
        <v>-262956</v>
      </c>
      <c r="Q146" s="873">
        <v>0</v>
      </c>
      <c r="R146" s="873">
        <v>0</v>
      </c>
      <c r="S146" s="873">
        <v>0</v>
      </c>
      <c r="T146" s="873">
        <v>0</v>
      </c>
      <c r="U146" s="873">
        <v>0</v>
      </c>
      <c r="V146" s="873">
        <v>0</v>
      </c>
      <c r="W146" s="873">
        <v>-187072</v>
      </c>
      <c r="X146" s="873">
        <v>0</v>
      </c>
      <c r="Y146" s="873">
        <v>-2192739</v>
      </c>
      <c r="Z146" s="873">
        <v>203445345</v>
      </c>
      <c r="AA146" s="873">
        <v>-7778785</v>
      </c>
      <c r="AB146" s="874"/>
      <c r="AC146" s="873">
        <v>701</v>
      </c>
      <c r="AD146" s="873">
        <v>0</v>
      </c>
      <c r="AE146" s="873">
        <v>0</v>
      </c>
      <c r="AF146" s="873">
        <v>10</v>
      </c>
      <c r="AG146" s="873">
        <v>1047</v>
      </c>
      <c r="AH146" s="873">
        <v>173</v>
      </c>
      <c r="AI146" s="873">
        <v>52</v>
      </c>
      <c r="AJ146" s="873">
        <v>0</v>
      </c>
      <c r="AK146" s="873">
        <v>0</v>
      </c>
      <c r="AL146" s="873">
        <v>0</v>
      </c>
      <c r="AM146" s="873">
        <v>0</v>
      </c>
      <c r="AN146" s="873">
        <v>0</v>
      </c>
      <c r="AO146" s="873">
        <v>3449</v>
      </c>
      <c r="AP146" s="873">
        <v>1878</v>
      </c>
      <c r="AQ146" s="873">
        <v>669</v>
      </c>
      <c r="AR146" s="873">
        <v>1209</v>
      </c>
      <c r="AS146" s="873">
        <v>5655</v>
      </c>
      <c r="AT146" s="843">
        <v>10933</v>
      </c>
      <c r="AU146" s="663"/>
      <c r="AV146" s="663"/>
      <c r="AX146" s="666"/>
      <c r="AY146" s="666"/>
      <c r="AZ146" s="666"/>
      <c r="BA146" s="666"/>
      <c r="BB146" s="666"/>
      <c r="BD146" s="666"/>
      <c r="BE146" s="666"/>
      <c r="BG146" s="666"/>
      <c r="BI146" s="666"/>
      <c r="BJ146" s="666"/>
      <c r="BK146" s="666"/>
    </row>
    <row r="147" spans="1:63" ht="12.75" x14ac:dyDescent="0.2">
      <c r="A147" s="288">
        <v>140</v>
      </c>
      <c r="B147" s="290" t="s">
        <v>174</v>
      </c>
      <c r="C147" s="279" t="s">
        <v>175</v>
      </c>
      <c r="D147" s="955">
        <v>606852</v>
      </c>
      <c r="E147" s="843">
        <v>646402644</v>
      </c>
      <c r="F147" s="873">
        <v>302393852</v>
      </c>
      <c r="G147" s="873">
        <v>-1615907</v>
      </c>
      <c r="H147" s="873">
        <v>7938125</v>
      </c>
      <c r="I147" s="873">
        <v>6322218</v>
      </c>
      <c r="J147" s="873">
        <v>-15892920</v>
      </c>
      <c r="K147" s="873">
        <v>0</v>
      </c>
      <c r="L147" s="873">
        <v>0</v>
      </c>
      <c r="M147" s="873">
        <v>0</v>
      </c>
      <c r="N147" s="873">
        <v>-9500000</v>
      </c>
      <c r="O147" s="873">
        <v>-75000</v>
      </c>
      <c r="P147" s="873">
        <v>-75000</v>
      </c>
      <c r="Q147" s="873">
        <v>0</v>
      </c>
      <c r="R147" s="873">
        <v>0</v>
      </c>
      <c r="S147" s="873">
        <v>0</v>
      </c>
      <c r="T147" s="873">
        <v>0</v>
      </c>
      <c r="U147" s="873">
        <v>0</v>
      </c>
      <c r="V147" s="873">
        <v>0</v>
      </c>
      <c r="W147" s="873">
        <v>0</v>
      </c>
      <c r="X147" s="873">
        <v>-50000</v>
      </c>
      <c r="Y147" s="873">
        <v>-1600000</v>
      </c>
      <c r="Z147" s="873">
        <v>281523150</v>
      </c>
      <c r="AA147" s="873">
        <v>-3500000</v>
      </c>
      <c r="AB147" s="874"/>
      <c r="AC147" s="873">
        <v>336</v>
      </c>
      <c r="AD147" s="873">
        <v>0</v>
      </c>
      <c r="AE147" s="873">
        <v>0</v>
      </c>
      <c r="AF147" s="873">
        <v>0</v>
      </c>
      <c r="AG147" s="873">
        <v>820</v>
      </c>
      <c r="AH147" s="873">
        <v>59</v>
      </c>
      <c r="AI147" s="873">
        <v>9</v>
      </c>
      <c r="AJ147" s="873">
        <v>0</v>
      </c>
      <c r="AK147" s="873">
        <v>0</v>
      </c>
      <c r="AL147" s="873">
        <v>0</v>
      </c>
      <c r="AM147" s="873">
        <v>0</v>
      </c>
      <c r="AN147" s="873">
        <v>0</v>
      </c>
      <c r="AO147" s="873">
        <v>4712</v>
      </c>
      <c r="AP147" s="873">
        <v>806</v>
      </c>
      <c r="AQ147" s="873">
        <v>339</v>
      </c>
      <c r="AR147" s="873">
        <v>467</v>
      </c>
      <c r="AS147" s="873">
        <v>2831</v>
      </c>
      <c r="AT147" s="843">
        <v>8522</v>
      </c>
      <c r="AU147" s="663"/>
      <c r="AV147" s="663"/>
      <c r="AX147" s="666"/>
      <c r="AY147" s="666"/>
      <c r="AZ147" s="666"/>
      <c r="BA147" s="666"/>
      <c r="BB147" s="666"/>
      <c r="BD147" s="666"/>
      <c r="BE147" s="666"/>
      <c r="BG147" s="666"/>
      <c r="BI147" s="666"/>
      <c r="BJ147" s="666"/>
      <c r="BK147" s="666"/>
    </row>
    <row r="148" spans="1:63" ht="12.75" x14ac:dyDescent="0.2">
      <c r="A148" s="288">
        <v>141</v>
      </c>
      <c r="B148" s="290" t="s">
        <v>176</v>
      </c>
      <c r="C148" s="279" t="s">
        <v>177</v>
      </c>
      <c r="D148" s="955">
        <v>112507</v>
      </c>
      <c r="E148" s="843">
        <v>77314323</v>
      </c>
      <c r="F148" s="873">
        <v>37107047</v>
      </c>
      <c r="G148" s="873">
        <v>-1725816</v>
      </c>
      <c r="H148" s="873">
        <v>748191</v>
      </c>
      <c r="I148" s="873">
        <v>-977625</v>
      </c>
      <c r="J148" s="873">
        <v>-2500000</v>
      </c>
      <c r="K148" s="873">
        <v>-64318</v>
      </c>
      <c r="L148" s="873">
        <v>-7096</v>
      </c>
      <c r="M148" s="873">
        <v>-2500</v>
      </c>
      <c r="N148" s="873">
        <v>-696205</v>
      </c>
      <c r="O148" s="873">
        <v>-12814</v>
      </c>
      <c r="P148" s="873">
        <v>-32267</v>
      </c>
      <c r="Q148" s="873">
        <v>-981</v>
      </c>
      <c r="R148" s="873">
        <v>-1094</v>
      </c>
      <c r="S148" s="873">
        <v>0</v>
      </c>
      <c r="T148" s="873">
        <v>0</v>
      </c>
      <c r="U148" s="873">
        <v>0</v>
      </c>
      <c r="V148" s="873">
        <v>0</v>
      </c>
      <c r="W148" s="873">
        <v>-2500</v>
      </c>
      <c r="X148" s="873">
        <v>-5000</v>
      </c>
      <c r="Y148" s="873">
        <v>-400000</v>
      </c>
      <c r="Z148" s="873">
        <v>32404647</v>
      </c>
      <c r="AA148" s="873">
        <v>-550000</v>
      </c>
      <c r="AB148" s="874"/>
      <c r="AC148" s="873">
        <v>135</v>
      </c>
      <c r="AD148" s="873">
        <v>14</v>
      </c>
      <c r="AE148" s="873">
        <v>6</v>
      </c>
      <c r="AF148" s="873">
        <v>0</v>
      </c>
      <c r="AG148" s="873">
        <v>326</v>
      </c>
      <c r="AH148" s="873">
        <v>40</v>
      </c>
      <c r="AI148" s="873">
        <v>16</v>
      </c>
      <c r="AJ148" s="873">
        <v>7</v>
      </c>
      <c r="AK148" s="873">
        <v>1</v>
      </c>
      <c r="AL148" s="873">
        <v>0</v>
      </c>
      <c r="AM148" s="873">
        <v>0</v>
      </c>
      <c r="AN148" s="873">
        <v>0</v>
      </c>
      <c r="AO148" s="873">
        <v>962</v>
      </c>
      <c r="AP148" s="873">
        <v>867</v>
      </c>
      <c r="AQ148" s="873">
        <v>596</v>
      </c>
      <c r="AR148" s="873">
        <v>271</v>
      </c>
      <c r="AS148" s="873">
        <v>744</v>
      </c>
      <c r="AT148" s="843">
        <v>2561</v>
      </c>
      <c r="AU148" s="663"/>
      <c r="AV148" s="663"/>
      <c r="AX148" s="666"/>
      <c r="AY148" s="666"/>
      <c r="AZ148" s="666"/>
      <c r="BA148" s="666"/>
      <c r="BB148" s="666"/>
      <c r="BD148" s="666"/>
      <c r="BE148" s="666"/>
      <c r="BG148" s="666"/>
      <c r="BI148" s="666"/>
      <c r="BJ148" s="666"/>
      <c r="BK148" s="666"/>
    </row>
    <row r="149" spans="1:63" ht="12.75" x14ac:dyDescent="0.2">
      <c r="A149" s="288">
        <v>142</v>
      </c>
      <c r="B149" s="290" t="s">
        <v>178</v>
      </c>
      <c r="C149" s="279" t="s">
        <v>179</v>
      </c>
      <c r="D149" s="955">
        <v>220920</v>
      </c>
      <c r="E149" s="843">
        <v>110777746</v>
      </c>
      <c r="F149" s="873">
        <v>53429299</v>
      </c>
      <c r="G149" s="873">
        <v>-2790120</v>
      </c>
      <c r="H149" s="873">
        <v>1194936</v>
      </c>
      <c r="I149" s="873">
        <v>-1595184</v>
      </c>
      <c r="J149" s="873">
        <v>-2767112</v>
      </c>
      <c r="K149" s="873">
        <v>-24305</v>
      </c>
      <c r="L149" s="873">
        <v>-73420</v>
      </c>
      <c r="M149" s="873">
        <v>-10833</v>
      </c>
      <c r="N149" s="873">
        <v>-743309</v>
      </c>
      <c r="O149" s="873">
        <v>-211659</v>
      </c>
      <c r="P149" s="873">
        <v>-54085</v>
      </c>
      <c r="Q149" s="873">
        <v>0</v>
      </c>
      <c r="R149" s="873">
        <v>-30147</v>
      </c>
      <c r="S149" s="873">
        <v>-30575</v>
      </c>
      <c r="T149" s="873">
        <v>0</v>
      </c>
      <c r="U149" s="873">
        <v>0</v>
      </c>
      <c r="V149" s="873">
        <v>0</v>
      </c>
      <c r="W149" s="873">
        <v>-11093</v>
      </c>
      <c r="X149" s="873">
        <v>-5580</v>
      </c>
      <c r="Y149" s="873">
        <v>-468478</v>
      </c>
      <c r="Z149" s="873">
        <v>47256249</v>
      </c>
      <c r="AA149" s="873">
        <v>-3561028</v>
      </c>
      <c r="AB149" s="874"/>
      <c r="AC149" s="873">
        <v>311</v>
      </c>
      <c r="AD149" s="873">
        <v>5</v>
      </c>
      <c r="AE149" s="873">
        <v>69</v>
      </c>
      <c r="AF149" s="873">
        <v>3</v>
      </c>
      <c r="AG149" s="873">
        <v>318</v>
      </c>
      <c r="AH149" s="873">
        <v>180</v>
      </c>
      <c r="AI149" s="873">
        <v>36</v>
      </c>
      <c r="AJ149" s="873">
        <v>0</v>
      </c>
      <c r="AK149" s="873">
        <v>42</v>
      </c>
      <c r="AL149" s="873">
        <v>16</v>
      </c>
      <c r="AM149" s="873">
        <v>0</v>
      </c>
      <c r="AN149" s="873">
        <v>0</v>
      </c>
      <c r="AO149" s="873">
        <v>1648</v>
      </c>
      <c r="AP149" s="873">
        <v>2241</v>
      </c>
      <c r="AQ149" s="873">
        <v>1709</v>
      </c>
      <c r="AR149" s="873">
        <v>532</v>
      </c>
      <c r="AS149" s="873">
        <v>1615</v>
      </c>
      <c r="AT149" s="843">
        <v>5517</v>
      </c>
      <c r="AU149" s="663"/>
      <c r="AV149" s="663"/>
      <c r="AX149" s="666"/>
      <c r="AY149" s="666"/>
      <c r="AZ149" s="666"/>
      <c r="BA149" s="666"/>
      <c r="BB149" s="666"/>
      <c r="BD149" s="666"/>
      <c r="BE149" s="666"/>
      <c r="BG149" s="666"/>
      <c r="BI149" s="666"/>
      <c r="BJ149" s="666"/>
      <c r="BK149" s="666"/>
    </row>
    <row r="150" spans="1:63" ht="12.75" x14ac:dyDescent="0.2">
      <c r="A150" s="288">
        <v>143</v>
      </c>
      <c r="B150" s="290" t="s">
        <v>180</v>
      </c>
      <c r="C150" s="279" t="s">
        <v>181</v>
      </c>
      <c r="D150" s="955">
        <v>371663</v>
      </c>
      <c r="E150" s="843">
        <v>230294714</v>
      </c>
      <c r="F150" s="873">
        <v>107772057</v>
      </c>
      <c r="G150" s="873">
        <v>-5600000</v>
      </c>
      <c r="H150" s="873">
        <v>2549263</v>
      </c>
      <c r="I150" s="873">
        <v>-3050737</v>
      </c>
      <c r="J150" s="873">
        <v>-6716528</v>
      </c>
      <c r="K150" s="873">
        <v>-25419</v>
      </c>
      <c r="L150" s="873">
        <v>0</v>
      </c>
      <c r="M150" s="873">
        <v>0</v>
      </c>
      <c r="N150" s="873">
        <v>-2944551</v>
      </c>
      <c r="O150" s="873">
        <v>-5596</v>
      </c>
      <c r="P150" s="873">
        <v>-5928</v>
      </c>
      <c r="Q150" s="873">
        <v>0</v>
      </c>
      <c r="R150" s="873">
        <v>0</v>
      </c>
      <c r="S150" s="873">
        <v>0</v>
      </c>
      <c r="T150" s="873">
        <v>0</v>
      </c>
      <c r="U150" s="873">
        <v>0</v>
      </c>
      <c r="V150" s="873">
        <v>0</v>
      </c>
      <c r="W150" s="873">
        <v>-120000</v>
      </c>
      <c r="X150" s="873">
        <v>-150000</v>
      </c>
      <c r="Y150" s="873">
        <v>-1560000</v>
      </c>
      <c r="Z150" s="873">
        <v>93193298</v>
      </c>
      <c r="AA150" s="873">
        <v>-600000</v>
      </c>
      <c r="AB150" s="874"/>
      <c r="AC150" s="873">
        <v>400</v>
      </c>
      <c r="AD150" s="873">
        <v>3</v>
      </c>
      <c r="AE150" s="873">
        <v>0</v>
      </c>
      <c r="AF150" s="873">
        <v>0</v>
      </c>
      <c r="AG150" s="873">
        <v>804</v>
      </c>
      <c r="AH150" s="873">
        <v>3</v>
      </c>
      <c r="AI150" s="873">
        <v>0</v>
      </c>
      <c r="AJ150" s="873">
        <v>3</v>
      </c>
      <c r="AK150" s="873">
        <v>0</v>
      </c>
      <c r="AL150" s="873">
        <v>0</v>
      </c>
      <c r="AM150" s="873">
        <v>6</v>
      </c>
      <c r="AN150" s="873">
        <v>0</v>
      </c>
      <c r="AO150" s="873">
        <v>3548</v>
      </c>
      <c r="AP150" s="873">
        <v>2894</v>
      </c>
      <c r="AQ150" s="873">
        <v>1936</v>
      </c>
      <c r="AR150" s="873">
        <v>958</v>
      </c>
      <c r="AS150" s="873">
        <v>2289</v>
      </c>
      <c r="AT150" s="843">
        <v>8851</v>
      </c>
      <c r="AU150" s="663"/>
      <c r="AV150" s="663"/>
      <c r="AX150" s="666"/>
      <c r="AY150" s="666"/>
      <c r="AZ150" s="666"/>
      <c r="BA150" s="666"/>
      <c r="BB150" s="666"/>
      <c r="BD150" s="666"/>
      <c r="BE150" s="666"/>
      <c r="BG150" s="666"/>
      <c r="BI150" s="666"/>
      <c r="BJ150" s="666"/>
      <c r="BK150" s="666"/>
    </row>
    <row r="151" spans="1:63" ht="12.75" x14ac:dyDescent="0.2">
      <c r="A151" s="288">
        <v>144</v>
      </c>
      <c r="B151" s="290" t="s">
        <v>182</v>
      </c>
      <c r="C151" s="279" t="s">
        <v>183</v>
      </c>
      <c r="D151" s="955">
        <v>251900</v>
      </c>
      <c r="E151" s="843">
        <v>199954337</v>
      </c>
      <c r="F151" s="873">
        <v>95623555</v>
      </c>
      <c r="G151" s="873">
        <v>-2368311</v>
      </c>
      <c r="H151" s="873">
        <v>2279098</v>
      </c>
      <c r="I151" s="873">
        <v>-89213</v>
      </c>
      <c r="J151" s="873">
        <v>-6053939</v>
      </c>
      <c r="K151" s="873">
        <v>-125380</v>
      </c>
      <c r="L151" s="873">
        <v>0</v>
      </c>
      <c r="M151" s="873">
        <v>-25000</v>
      </c>
      <c r="N151" s="873">
        <v>-3240540</v>
      </c>
      <c r="O151" s="873">
        <v>-53133</v>
      </c>
      <c r="P151" s="873">
        <v>-390117</v>
      </c>
      <c r="Q151" s="873">
        <v>0</v>
      </c>
      <c r="R151" s="873">
        <v>0</v>
      </c>
      <c r="S151" s="873">
        <v>0</v>
      </c>
      <c r="T151" s="873">
        <v>0</v>
      </c>
      <c r="U151" s="873">
        <v>0</v>
      </c>
      <c r="V151" s="873">
        <v>0</v>
      </c>
      <c r="W151" s="873">
        <v>-100000</v>
      </c>
      <c r="X151" s="873">
        <v>-320000</v>
      </c>
      <c r="Y151" s="873">
        <v>-1001732</v>
      </c>
      <c r="Z151" s="873">
        <v>84124501</v>
      </c>
      <c r="AA151" s="873">
        <v>-900000</v>
      </c>
      <c r="AB151" s="874"/>
      <c r="AC151" s="873">
        <v>219</v>
      </c>
      <c r="AD151" s="873">
        <v>9</v>
      </c>
      <c r="AE151" s="873">
        <v>0</v>
      </c>
      <c r="AF151" s="873">
        <v>2</v>
      </c>
      <c r="AG151" s="873">
        <v>591</v>
      </c>
      <c r="AH151" s="873">
        <v>21</v>
      </c>
      <c r="AI151" s="873">
        <v>31</v>
      </c>
      <c r="AJ151" s="873">
        <v>0</v>
      </c>
      <c r="AK151" s="873">
        <v>0</v>
      </c>
      <c r="AL151" s="873">
        <v>0</v>
      </c>
      <c r="AM151" s="873">
        <v>0</v>
      </c>
      <c r="AN151" s="873">
        <v>0</v>
      </c>
      <c r="AO151" s="873">
        <v>2101</v>
      </c>
      <c r="AP151" s="873">
        <v>1306</v>
      </c>
      <c r="AQ151" s="873">
        <v>740</v>
      </c>
      <c r="AR151" s="873">
        <v>566</v>
      </c>
      <c r="AS151" s="873">
        <v>1427</v>
      </c>
      <c r="AT151" s="843">
        <v>4815</v>
      </c>
      <c r="AU151" s="663"/>
      <c r="AV151" s="663"/>
      <c r="AX151" s="666"/>
      <c r="AY151" s="666"/>
      <c r="AZ151" s="666"/>
      <c r="BA151" s="666"/>
      <c r="BB151" s="666"/>
      <c r="BD151" s="666"/>
      <c r="BE151" s="666"/>
      <c r="BG151" s="666"/>
      <c r="BI151" s="666"/>
      <c r="BJ151" s="666"/>
      <c r="BK151" s="666"/>
    </row>
    <row r="152" spans="1:63" ht="12.75" x14ac:dyDescent="0.2">
      <c r="A152" s="288">
        <v>145</v>
      </c>
      <c r="B152" s="290" t="s">
        <v>184</v>
      </c>
      <c r="C152" s="279" t="s">
        <v>185</v>
      </c>
      <c r="D152" s="955">
        <v>612897</v>
      </c>
      <c r="E152" s="843">
        <v>281571123</v>
      </c>
      <c r="F152" s="873">
        <v>136281767</v>
      </c>
      <c r="G152" s="873">
        <v>-12174698</v>
      </c>
      <c r="H152" s="873">
        <v>2570366</v>
      </c>
      <c r="I152" s="873">
        <v>-9604332</v>
      </c>
      <c r="J152" s="873">
        <v>-7862266</v>
      </c>
      <c r="K152" s="873">
        <v>-168514</v>
      </c>
      <c r="L152" s="873">
        <v>-4179</v>
      </c>
      <c r="M152" s="873">
        <v>-252074</v>
      </c>
      <c r="N152" s="873">
        <v>-5505333</v>
      </c>
      <c r="O152" s="873">
        <v>-348496</v>
      </c>
      <c r="P152" s="873">
        <v>-101226</v>
      </c>
      <c r="Q152" s="873">
        <v>-884</v>
      </c>
      <c r="R152" s="873">
        <v>-1055</v>
      </c>
      <c r="S152" s="873">
        <v>-159307</v>
      </c>
      <c r="T152" s="873">
        <v>0</v>
      </c>
      <c r="U152" s="873">
        <v>0</v>
      </c>
      <c r="V152" s="873">
        <v>0</v>
      </c>
      <c r="W152" s="873">
        <v>0</v>
      </c>
      <c r="X152" s="873">
        <v>-25648</v>
      </c>
      <c r="Y152" s="873">
        <v>-1448363</v>
      </c>
      <c r="Z152" s="873">
        <v>110800090</v>
      </c>
      <c r="AA152" s="873">
        <v>-3000000</v>
      </c>
      <c r="AB152" s="874"/>
      <c r="AC152" s="873">
        <v>486</v>
      </c>
      <c r="AD152" s="873">
        <v>33</v>
      </c>
      <c r="AE152" s="873">
        <v>2</v>
      </c>
      <c r="AF152" s="873">
        <v>5</v>
      </c>
      <c r="AG152" s="873">
        <v>2349</v>
      </c>
      <c r="AH152" s="873">
        <v>69</v>
      </c>
      <c r="AI152" s="873">
        <v>28</v>
      </c>
      <c r="AJ152" s="873">
        <v>1</v>
      </c>
      <c r="AK152" s="873">
        <v>1</v>
      </c>
      <c r="AL152" s="873">
        <v>44</v>
      </c>
      <c r="AM152" s="873">
        <v>0</v>
      </c>
      <c r="AN152" s="873">
        <v>0</v>
      </c>
      <c r="AO152" s="873">
        <v>6051</v>
      </c>
      <c r="AP152" s="873">
        <v>6687</v>
      </c>
      <c r="AQ152" s="873">
        <v>4941</v>
      </c>
      <c r="AR152" s="873">
        <v>1746</v>
      </c>
      <c r="AS152" s="873">
        <v>2559</v>
      </c>
      <c r="AT152" s="843">
        <v>15458</v>
      </c>
      <c r="AU152" s="663"/>
      <c r="AV152" s="663"/>
      <c r="AX152" s="666"/>
      <c r="AY152" s="666"/>
      <c r="AZ152" s="666"/>
      <c r="BA152" s="666"/>
      <c r="BB152" s="666"/>
      <c r="BD152" s="666"/>
      <c r="BE152" s="666"/>
      <c r="BG152" s="666"/>
      <c r="BI152" s="666"/>
      <c r="BJ152" s="666"/>
      <c r="BK152" s="666"/>
    </row>
    <row r="153" spans="1:63" ht="12.75" x14ac:dyDescent="0.2">
      <c r="A153" s="288">
        <v>146</v>
      </c>
      <c r="B153" s="290" t="s">
        <v>186</v>
      </c>
      <c r="C153" s="279" t="s">
        <v>187</v>
      </c>
      <c r="D153" s="955">
        <v>142849</v>
      </c>
      <c r="E153" s="843">
        <v>104751098</v>
      </c>
      <c r="F153" s="873">
        <v>49619690</v>
      </c>
      <c r="G153" s="873">
        <v>-1790491</v>
      </c>
      <c r="H153" s="873">
        <v>1185737</v>
      </c>
      <c r="I153" s="873">
        <v>-604754</v>
      </c>
      <c r="J153" s="873">
        <v>-2161694</v>
      </c>
      <c r="K153" s="873">
        <v>-15737</v>
      </c>
      <c r="L153" s="873">
        <v>0</v>
      </c>
      <c r="M153" s="873">
        <v>-250000</v>
      </c>
      <c r="N153" s="873">
        <v>-1094606</v>
      </c>
      <c r="O153" s="873">
        <v>-160656</v>
      </c>
      <c r="P153" s="873">
        <v>-13196</v>
      </c>
      <c r="Q153" s="873">
        <v>0</v>
      </c>
      <c r="R153" s="873">
        <v>0</v>
      </c>
      <c r="S153" s="873">
        <v>0</v>
      </c>
      <c r="T153" s="873">
        <v>0</v>
      </c>
      <c r="U153" s="873">
        <v>0</v>
      </c>
      <c r="V153" s="873">
        <v>0</v>
      </c>
      <c r="W153" s="873">
        <v>-64278</v>
      </c>
      <c r="X153" s="873">
        <v>-23531</v>
      </c>
      <c r="Y153" s="873">
        <v>-406272</v>
      </c>
      <c r="Z153" s="873">
        <v>44288891</v>
      </c>
      <c r="AA153" s="873">
        <v>-2508641</v>
      </c>
      <c r="AB153" s="874"/>
      <c r="AC153" s="873">
        <v>129</v>
      </c>
      <c r="AD153" s="873">
        <v>3</v>
      </c>
      <c r="AE153" s="873">
        <v>0</v>
      </c>
      <c r="AF153" s="873">
        <v>0</v>
      </c>
      <c r="AG153" s="873">
        <v>250</v>
      </c>
      <c r="AH153" s="873">
        <v>40</v>
      </c>
      <c r="AI153" s="873">
        <v>5</v>
      </c>
      <c r="AJ153" s="873">
        <v>0</v>
      </c>
      <c r="AK153" s="873">
        <v>0</v>
      </c>
      <c r="AL153" s="873">
        <v>0</v>
      </c>
      <c r="AM153" s="873">
        <v>0</v>
      </c>
      <c r="AN153" s="873">
        <v>0</v>
      </c>
      <c r="AO153" s="873">
        <v>1398</v>
      </c>
      <c r="AP153" s="873">
        <v>968</v>
      </c>
      <c r="AQ153" s="873">
        <v>681</v>
      </c>
      <c r="AR153" s="873">
        <v>287</v>
      </c>
      <c r="AS153" s="873">
        <v>796</v>
      </c>
      <c r="AT153" s="843">
        <v>3211</v>
      </c>
      <c r="AU153" s="663"/>
      <c r="AV153" s="663"/>
      <c r="AX153" s="666"/>
      <c r="AY153" s="666"/>
      <c r="AZ153" s="666"/>
      <c r="BA153" s="666"/>
      <c r="BB153" s="666"/>
      <c r="BD153" s="666"/>
      <c r="BE153" s="666"/>
      <c r="BG153" s="666"/>
      <c r="BI153" s="666"/>
      <c r="BJ153" s="666"/>
      <c r="BK153" s="666"/>
    </row>
    <row r="154" spans="1:63" ht="12.75" x14ac:dyDescent="0.2">
      <c r="A154" s="288">
        <v>147</v>
      </c>
      <c r="B154" s="290" t="s">
        <v>188</v>
      </c>
      <c r="C154" s="279" t="s">
        <v>189</v>
      </c>
      <c r="D154" s="955">
        <v>486528</v>
      </c>
      <c r="E154" s="843">
        <v>314586761</v>
      </c>
      <c r="F154" s="873">
        <v>148228094</v>
      </c>
      <c r="G154" s="873">
        <v>-5575834</v>
      </c>
      <c r="H154" s="873">
        <v>3461851</v>
      </c>
      <c r="I154" s="873">
        <v>-2113983</v>
      </c>
      <c r="J154" s="873">
        <v>-15888704</v>
      </c>
      <c r="K154" s="873">
        <v>-7789</v>
      </c>
      <c r="L154" s="873">
        <v>0</v>
      </c>
      <c r="M154" s="873">
        <v>0</v>
      </c>
      <c r="N154" s="873">
        <v>-1429113</v>
      </c>
      <c r="O154" s="873">
        <v>-205308</v>
      </c>
      <c r="P154" s="873">
        <v>-424978</v>
      </c>
      <c r="Q154" s="873">
        <v>0</v>
      </c>
      <c r="R154" s="873">
        <v>0</v>
      </c>
      <c r="S154" s="873">
        <v>0</v>
      </c>
      <c r="T154" s="873">
        <v>0</v>
      </c>
      <c r="U154" s="873">
        <v>0</v>
      </c>
      <c r="V154" s="873">
        <v>0</v>
      </c>
      <c r="W154" s="873">
        <v>-70006</v>
      </c>
      <c r="X154" s="873">
        <v>-5100</v>
      </c>
      <c r="Y154" s="873">
        <v>-3300000</v>
      </c>
      <c r="Z154" s="873">
        <v>124783113</v>
      </c>
      <c r="AA154" s="873">
        <v>-1800000</v>
      </c>
      <c r="AB154" s="874"/>
      <c r="AC154" s="873">
        <v>649</v>
      </c>
      <c r="AD154" s="873">
        <v>2</v>
      </c>
      <c r="AE154" s="873">
        <v>0</v>
      </c>
      <c r="AF154" s="873">
        <v>0</v>
      </c>
      <c r="AG154" s="873">
        <v>660</v>
      </c>
      <c r="AH154" s="873">
        <v>86</v>
      </c>
      <c r="AI154" s="873">
        <v>34</v>
      </c>
      <c r="AJ154" s="873">
        <v>0</v>
      </c>
      <c r="AK154" s="873">
        <v>0</v>
      </c>
      <c r="AL154" s="873">
        <v>0</v>
      </c>
      <c r="AM154" s="873">
        <v>0</v>
      </c>
      <c r="AN154" s="873">
        <v>0</v>
      </c>
      <c r="AO154" s="873">
        <v>2705</v>
      </c>
      <c r="AP154" s="873">
        <v>2726</v>
      </c>
      <c r="AQ154" s="873">
        <v>1488</v>
      </c>
      <c r="AR154" s="873">
        <v>1238</v>
      </c>
      <c r="AS154" s="873">
        <v>3206</v>
      </c>
      <c r="AT154" s="843">
        <v>8828</v>
      </c>
      <c r="AU154" s="663"/>
      <c r="AV154" s="663"/>
      <c r="AX154" s="666"/>
      <c r="AY154" s="666"/>
      <c r="AZ154" s="666"/>
      <c r="BA154" s="666"/>
      <c r="BB154" s="666"/>
      <c r="BD154" s="666"/>
      <c r="BE154" s="666"/>
      <c r="BG154" s="666"/>
      <c r="BI154" s="666"/>
      <c r="BJ154" s="666"/>
      <c r="BK154" s="666"/>
    </row>
    <row r="155" spans="1:63" ht="12.75" x14ac:dyDescent="0.2">
      <c r="A155" s="288">
        <v>148</v>
      </c>
      <c r="B155" s="290" t="s">
        <v>190</v>
      </c>
      <c r="C155" s="279" t="s">
        <v>191</v>
      </c>
      <c r="D155" s="955">
        <v>222663</v>
      </c>
      <c r="E155" s="843">
        <v>154971382</v>
      </c>
      <c r="F155" s="873">
        <v>73055963</v>
      </c>
      <c r="G155" s="873">
        <v>-3332768</v>
      </c>
      <c r="H155" s="873">
        <v>1906663</v>
      </c>
      <c r="I155" s="873">
        <v>-1426105</v>
      </c>
      <c r="J155" s="873">
        <v>-3540369</v>
      </c>
      <c r="K155" s="873">
        <v>-43669</v>
      </c>
      <c r="L155" s="873">
        <v>-27225</v>
      </c>
      <c r="M155" s="873">
        <v>0</v>
      </c>
      <c r="N155" s="873">
        <v>-1102963</v>
      </c>
      <c r="O155" s="873">
        <v>-106392</v>
      </c>
      <c r="P155" s="873">
        <v>-42651</v>
      </c>
      <c r="Q155" s="873">
        <v>-2391</v>
      </c>
      <c r="R155" s="873">
        <v>-3401</v>
      </c>
      <c r="S155" s="873">
        <v>0</v>
      </c>
      <c r="T155" s="873">
        <v>0</v>
      </c>
      <c r="U155" s="873">
        <v>0</v>
      </c>
      <c r="V155" s="873">
        <v>0</v>
      </c>
      <c r="W155" s="873">
        <v>-15085</v>
      </c>
      <c r="X155" s="873">
        <v>-31327</v>
      </c>
      <c r="Y155" s="873">
        <v>-887967</v>
      </c>
      <c r="Z155" s="873">
        <v>65651892</v>
      </c>
      <c r="AA155" s="873">
        <v>-3108900</v>
      </c>
      <c r="AB155" s="874"/>
      <c r="AC155" s="873">
        <v>260</v>
      </c>
      <c r="AD155" s="873">
        <v>26</v>
      </c>
      <c r="AE155" s="873">
        <v>24</v>
      </c>
      <c r="AF155" s="873">
        <v>0</v>
      </c>
      <c r="AG155" s="873">
        <v>634</v>
      </c>
      <c r="AH155" s="873">
        <v>122</v>
      </c>
      <c r="AI155" s="873">
        <v>9</v>
      </c>
      <c r="AJ155" s="873">
        <v>13</v>
      </c>
      <c r="AK155" s="873">
        <v>3</v>
      </c>
      <c r="AL155" s="873">
        <v>0</v>
      </c>
      <c r="AM155" s="873">
        <v>0</v>
      </c>
      <c r="AN155" s="873">
        <v>0</v>
      </c>
      <c r="AO155" s="873">
        <v>1764</v>
      </c>
      <c r="AP155" s="873">
        <v>2106</v>
      </c>
      <c r="AQ155" s="873">
        <v>1619</v>
      </c>
      <c r="AR155" s="873">
        <v>487</v>
      </c>
      <c r="AS155" s="873">
        <v>1238</v>
      </c>
      <c r="AT155" s="843">
        <v>5136</v>
      </c>
      <c r="AU155" s="663"/>
      <c r="AV155" s="663"/>
      <c r="AX155" s="666"/>
      <c r="AY155" s="666"/>
      <c r="AZ155" s="666"/>
      <c r="BA155" s="666"/>
      <c r="BB155" s="666"/>
      <c r="BD155" s="666"/>
      <c r="BE155" s="666"/>
      <c r="BG155" s="666"/>
      <c r="BI155" s="666"/>
      <c r="BJ155" s="666"/>
      <c r="BK155" s="666"/>
    </row>
    <row r="156" spans="1:63" ht="12.75" x14ac:dyDescent="0.2">
      <c r="A156" s="288">
        <v>149</v>
      </c>
      <c r="B156" s="290" t="s">
        <v>192</v>
      </c>
      <c r="C156" s="279" t="s">
        <v>193</v>
      </c>
      <c r="D156" s="955">
        <v>1231515</v>
      </c>
      <c r="E156" s="843">
        <v>915507875</v>
      </c>
      <c r="F156" s="873">
        <v>447432832</v>
      </c>
      <c r="G156" s="873">
        <v>-16500000</v>
      </c>
      <c r="H156" s="873">
        <v>10769619</v>
      </c>
      <c r="I156" s="873">
        <v>-5730381</v>
      </c>
      <c r="J156" s="873">
        <v>-23119794</v>
      </c>
      <c r="K156" s="873">
        <v>-303807</v>
      </c>
      <c r="L156" s="873">
        <v>-11388</v>
      </c>
      <c r="M156" s="873">
        <v>-500000</v>
      </c>
      <c r="N156" s="873">
        <v>-21000000</v>
      </c>
      <c r="O156" s="873">
        <v>-48000</v>
      </c>
      <c r="P156" s="873">
        <v>-531430</v>
      </c>
      <c r="Q156" s="873">
        <v>-40000</v>
      </c>
      <c r="R156" s="873">
        <v>-6409</v>
      </c>
      <c r="S156" s="873">
        <v>-4981</v>
      </c>
      <c r="T156" s="873">
        <v>-710000</v>
      </c>
      <c r="U156" s="873">
        <v>-210000</v>
      </c>
      <c r="V156" s="873">
        <v>0</v>
      </c>
      <c r="W156" s="873">
        <v>-50000</v>
      </c>
      <c r="X156" s="873">
        <v>-50000</v>
      </c>
      <c r="Y156" s="873">
        <v>-4600000</v>
      </c>
      <c r="Z156" s="873">
        <v>390726642</v>
      </c>
      <c r="AA156" s="873">
        <v>-3512704</v>
      </c>
      <c r="AB156" s="874"/>
      <c r="AC156" s="873">
        <v>987</v>
      </c>
      <c r="AD156" s="873">
        <v>63</v>
      </c>
      <c r="AE156" s="873">
        <v>8</v>
      </c>
      <c r="AF156" s="873">
        <v>5</v>
      </c>
      <c r="AG156" s="873">
        <v>2838</v>
      </c>
      <c r="AH156" s="873">
        <v>38</v>
      </c>
      <c r="AI156" s="873">
        <v>148</v>
      </c>
      <c r="AJ156" s="873">
        <v>50</v>
      </c>
      <c r="AK156" s="873">
        <v>5</v>
      </c>
      <c r="AL156" s="873">
        <v>8</v>
      </c>
      <c r="AM156" s="873">
        <v>3</v>
      </c>
      <c r="AN156" s="873">
        <v>7</v>
      </c>
      <c r="AO156" s="873">
        <v>11876</v>
      </c>
      <c r="AP156" s="873">
        <v>8518</v>
      </c>
      <c r="AQ156" s="873">
        <v>5335</v>
      </c>
      <c r="AR156" s="873">
        <v>3183</v>
      </c>
      <c r="AS156" s="873">
        <v>7785</v>
      </c>
      <c r="AT156" s="843">
        <v>27633</v>
      </c>
      <c r="AU156" s="663"/>
      <c r="AV156" s="663"/>
      <c r="AX156" s="666"/>
      <c r="AY156" s="666"/>
      <c r="AZ156" s="666"/>
      <c r="BA156" s="666"/>
      <c r="BB156" s="666"/>
      <c r="BD156" s="666"/>
      <c r="BE156" s="666"/>
      <c r="BG156" s="666"/>
      <c r="BI156" s="666"/>
      <c r="BJ156" s="666"/>
      <c r="BK156" s="666"/>
    </row>
    <row r="157" spans="1:63" ht="12.75" x14ac:dyDescent="0.2">
      <c r="A157" s="288">
        <v>150</v>
      </c>
      <c r="B157" s="290" t="s">
        <v>194</v>
      </c>
      <c r="C157" s="279" t="s">
        <v>195</v>
      </c>
      <c r="D157" s="955">
        <v>491654</v>
      </c>
      <c r="E157" s="843">
        <v>263268920</v>
      </c>
      <c r="F157" s="873">
        <v>126828858</v>
      </c>
      <c r="G157" s="873">
        <v>-8453834</v>
      </c>
      <c r="H157" s="873">
        <v>2834639</v>
      </c>
      <c r="I157" s="873">
        <v>-5619195</v>
      </c>
      <c r="J157" s="873">
        <v>-8172429</v>
      </c>
      <c r="K157" s="873">
        <v>-43404</v>
      </c>
      <c r="L157" s="873">
        <v>0</v>
      </c>
      <c r="M157" s="873">
        <v>-60000</v>
      </c>
      <c r="N157" s="873">
        <v>-2534539</v>
      </c>
      <c r="O157" s="873">
        <v>-342344</v>
      </c>
      <c r="P157" s="873">
        <v>-163186</v>
      </c>
      <c r="Q157" s="873">
        <v>0</v>
      </c>
      <c r="R157" s="873">
        <v>0</v>
      </c>
      <c r="S157" s="873">
        <v>0</v>
      </c>
      <c r="T157" s="873">
        <v>-400000</v>
      </c>
      <c r="U157" s="873">
        <v>0</v>
      </c>
      <c r="V157" s="873">
        <v>0</v>
      </c>
      <c r="W157" s="873">
        <v>-81690</v>
      </c>
      <c r="X157" s="873">
        <v>-129150</v>
      </c>
      <c r="Y157" s="873">
        <v>-1906530</v>
      </c>
      <c r="Z157" s="873">
        <v>106306391</v>
      </c>
      <c r="AA157" s="873">
        <v>-1607676</v>
      </c>
      <c r="AB157" s="874"/>
      <c r="AC157" s="873">
        <v>456</v>
      </c>
      <c r="AD157" s="873">
        <v>8</v>
      </c>
      <c r="AE157" s="873">
        <v>0</v>
      </c>
      <c r="AF157" s="873">
        <v>1</v>
      </c>
      <c r="AG157" s="873">
        <v>1196</v>
      </c>
      <c r="AH157" s="873">
        <v>241</v>
      </c>
      <c r="AI157" s="873">
        <v>42</v>
      </c>
      <c r="AJ157" s="873">
        <v>0</v>
      </c>
      <c r="AK157" s="873">
        <v>0</v>
      </c>
      <c r="AL157" s="873">
        <v>0</v>
      </c>
      <c r="AM157" s="873">
        <v>0</v>
      </c>
      <c r="AN157" s="873">
        <v>0</v>
      </c>
      <c r="AO157" s="873">
        <v>4214</v>
      </c>
      <c r="AP157" s="873">
        <v>4735</v>
      </c>
      <c r="AQ157" s="873">
        <v>3403</v>
      </c>
      <c r="AR157" s="873">
        <v>1332</v>
      </c>
      <c r="AS157" s="873">
        <v>2957</v>
      </c>
      <c r="AT157" s="843">
        <v>12114</v>
      </c>
      <c r="AU157" s="663"/>
      <c r="AV157" s="663"/>
      <c r="AX157" s="666"/>
      <c r="AY157" s="666"/>
      <c r="AZ157" s="666"/>
      <c r="BA157" s="666"/>
      <c r="BB157" s="666"/>
      <c r="BD157" s="666"/>
      <c r="BE157" s="666"/>
      <c r="BG157" s="666"/>
      <c r="BI157" s="666"/>
      <c r="BJ157" s="666"/>
      <c r="BK157" s="666"/>
    </row>
    <row r="158" spans="1:63" ht="12.75" x14ac:dyDescent="0.2">
      <c r="A158" s="288">
        <v>151</v>
      </c>
      <c r="B158" s="290" t="s">
        <v>196</v>
      </c>
      <c r="C158" s="279" t="s">
        <v>197</v>
      </c>
      <c r="D158" s="955">
        <v>131056</v>
      </c>
      <c r="E158" s="843">
        <v>64174632</v>
      </c>
      <c r="F158" s="873">
        <v>30846538</v>
      </c>
      <c r="G158" s="873">
        <v>-2366660</v>
      </c>
      <c r="H158" s="873">
        <v>659259</v>
      </c>
      <c r="I158" s="873">
        <v>-1707401</v>
      </c>
      <c r="J158" s="873">
        <v>-2124156</v>
      </c>
      <c r="K158" s="873">
        <v>-87014</v>
      </c>
      <c r="L158" s="873">
        <v>-12128</v>
      </c>
      <c r="M158" s="873">
        <v>0</v>
      </c>
      <c r="N158" s="873">
        <v>-634558</v>
      </c>
      <c r="O158" s="873">
        <v>-165063</v>
      </c>
      <c r="P158" s="873">
        <v>-14520</v>
      </c>
      <c r="Q158" s="873">
        <v>-542</v>
      </c>
      <c r="R158" s="873">
        <v>0</v>
      </c>
      <c r="S158" s="873">
        <v>0</v>
      </c>
      <c r="T158" s="873">
        <v>0</v>
      </c>
      <c r="U158" s="873">
        <v>0</v>
      </c>
      <c r="V158" s="873">
        <v>0</v>
      </c>
      <c r="W158" s="873">
        <v>0</v>
      </c>
      <c r="X158" s="873">
        <v>0</v>
      </c>
      <c r="Y158" s="873">
        <v>-704401</v>
      </c>
      <c r="Z158" s="873">
        <v>25396755</v>
      </c>
      <c r="AA158" s="873">
        <v>-50000</v>
      </c>
      <c r="AB158" s="874"/>
      <c r="AC158" s="873">
        <v>202</v>
      </c>
      <c r="AD158" s="873">
        <v>23</v>
      </c>
      <c r="AE158" s="873">
        <v>11</v>
      </c>
      <c r="AF158" s="873">
        <v>2</v>
      </c>
      <c r="AG158" s="873">
        <v>375</v>
      </c>
      <c r="AH158" s="873">
        <v>98</v>
      </c>
      <c r="AI158" s="873">
        <v>4</v>
      </c>
      <c r="AJ158" s="873">
        <v>1</v>
      </c>
      <c r="AK158" s="873">
        <v>0</v>
      </c>
      <c r="AL158" s="873">
        <v>0</v>
      </c>
      <c r="AM158" s="873">
        <v>0</v>
      </c>
      <c r="AN158" s="873">
        <v>0</v>
      </c>
      <c r="AO158" s="873">
        <v>1108</v>
      </c>
      <c r="AP158" s="873">
        <v>1294</v>
      </c>
      <c r="AQ158" s="873">
        <v>852</v>
      </c>
      <c r="AR158" s="873">
        <v>442</v>
      </c>
      <c r="AS158" s="873">
        <v>815</v>
      </c>
      <c r="AT158" s="843">
        <v>3253</v>
      </c>
      <c r="AU158" s="663"/>
      <c r="AV158" s="663"/>
      <c r="AX158" s="666"/>
      <c r="AY158" s="666"/>
      <c r="AZ158" s="666"/>
      <c r="BA158" s="666"/>
      <c r="BB158" s="666"/>
      <c r="BD158" s="666"/>
      <c r="BE158" s="666"/>
      <c r="BG158" s="666"/>
      <c r="BI158" s="666"/>
      <c r="BJ158" s="666"/>
      <c r="BK158" s="666"/>
    </row>
    <row r="159" spans="1:63" ht="12.75" x14ac:dyDescent="0.2">
      <c r="A159" s="288">
        <v>152</v>
      </c>
      <c r="B159" s="290" t="s">
        <v>198</v>
      </c>
      <c r="C159" s="279" t="s">
        <v>199</v>
      </c>
      <c r="D159" s="955">
        <v>303330</v>
      </c>
      <c r="E159" s="843">
        <v>138872112</v>
      </c>
      <c r="F159" s="873">
        <v>66489588</v>
      </c>
      <c r="G159" s="873">
        <v>-4787780</v>
      </c>
      <c r="H159" s="873">
        <v>1354812</v>
      </c>
      <c r="I159" s="873">
        <v>-3432968</v>
      </c>
      <c r="J159" s="873">
        <v>-6403355</v>
      </c>
      <c r="K159" s="873">
        <v>0</v>
      </c>
      <c r="L159" s="873">
        <v>0</v>
      </c>
      <c r="M159" s="873">
        <v>0</v>
      </c>
      <c r="N159" s="873">
        <v>-739689</v>
      </c>
      <c r="O159" s="873">
        <v>-349207</v>
      </c>
      <c r="P159" s="873">
        <v>-36048</v>
      </c>
      <c r="Q159" s="873">
        <v>0</v>
      </c>
      <c r="R159" s="873">
        <v>0</v>
      </c>
      <c r="S159" s="873">
        <v>0</v>
      </c>
      <c r="T159" s="873">
        <v>0</v>
      </c>
      <c r="U159" s="873">
        <v>0</v>
      </c>
      <c r="V159" s="873">
        <v>0</v>
      </c>
      <c r="W159" s="873">
        <v>0</v>
      </c>
      <c r="X159" s="873">
        <v>-11832</v>
      </c>
      <c r="Y159" s="873">
        <v>-1065115</v>
      </c>
      <c r="Z159" s="873">
        <v>54451374</v>
      </c>
      <c r="AA159" s="873">
        <v>-363000</v>
      </c>
      <c r="AB159" s="874"/>
      <c r="AC159" s="873">
        <v>327</v>
      </c>
      <c r="AD159" s="873">
        <v>0</v>
      </c>
      <c r="AE159" s="873">
        <v>0</v>
      </c>
      <c r="AF159" s="873">
        <v>0</v>
      </c>
      <c r="AG159" s="873">
        <v>605</v>
      </c>
      <c r="AH159" s="873">
        <v>92</v>
      </c>
      <c r="AI159" s="873">
        <v>9</v>
      </c>
      <c r="AJ159" s="873">
        <v>0</v>
      </c>
      <c r="AK159" s="873">
        <v>0</v>
      </c>
      <c r="AL159" s="873">
        <v>0</v>
      </c>
      <c r="AM159" s="873">
        <v>0</v>
      </c>
      <c r="AN159" s="873">
        <v>0</v>
      </c>
      <c r="AO159" s="873">
        <v>1597</v>
      </c>
      <c r="AP159" s="873">
        <v>2224</v>
      </c>
      <c r="AQ159" s="873">
        <v>1149</v>
      </c>
      <c r="AR159" s="873">
        <v>1075</v>
      </c>
      <c r="AS159" s="873">
        <v>2234</v>
      </c>
      <c r="AT159" s="843">
        <v>6065</v>
      </c>
      <c r="AU159" s="663"/>
      <c r="AV159" s="663"/>
      <c r="AX159" s="666"/>
      <c r="AY159" s="666"/>
      <c r="AZ159" s="666"/>
      <c r="BA159" s="666"/>
      <c r="BB159" s="666"/>
      <c r="BD159" s="666"/>
      <c r="BE159" s="666"/>
      <c r="BG159" s="666"/>
      <c r="BI159" s="666"/>
      <c r="BJ159" s="666"/>
      <c r="BK159" s="666"/>
    </row>
    <row r="160" spans="1:63" ht="12.75" x14ac:dyDescent="0.2">
      <c r="A160" s="288">
        <v>153</v>
      </c>
      <c r="B160" s="290" t="s">
        <v>200</v>
      </c>
      <c r="C160" s="279" t="s">
        <v>201</v>
      </c>
      <c r="D160" s="955">
        <v>123642</v>
      </c>
      <c r="E160" s="843">
        <v>83091274</v>
      </c>
      <c r="F160" s="873">
        <v>38594860</v>
      </c>
      <c r="G160" s="873">
        <v>-1814904</v>
      </c>
      <c r="H160" s="873">
        <v>907848</v>
      </c>
      <c r="I160" s="873">
        <v>-907056</v>
      </c>
      <c r="J160" s="873">
        <v>-1057039</v>
      </c>
      <c r="K160" s="873">
        <v>-56963</v>
      </c>
      <c r="L160" s="873">
        <v>-5507</v>
      </c>
      <c r="M160" s="873">
        <v>-303564</v>
      </c>
      <c r="N160" s="873">
        <v>-1916447</v>
      </c>
      <c r="O160" s="873">
        <v>-34563</v>
      </c>
      <c r="P160" s="873">
        <v>-39971</v>
      </c>
      <c r="Q160" s="873">
        <v>0</v>
      </c>
      <c r="R160" s="873">
        <v>-2784</v>
      </c>
      <c r="S160" s="873">
        <v>-1711</v>
      </c>
      <c r="T160" s="873">
        <v>0</v>
      </c>
      <c r="U160" s="873">
        <v>0</v>
      </c>
      <c r="V160" s="873">
        <v>0</v>
      </c>
      <c r="W160" s="873">
        <v>0</v>
      </c>
      <c r="X160" s="873">
        <v>-8000</v>
      </c>
      <c r="Y160" s="873">
        <v>-609000</v>
      </c>
      <c r="Z160" s="873">
        <v>33602891</v>
      </c>
      <c r="AA160" s="873">
        <v>-600270</v>
      </c>
      <c r="AB160" s="874"/>
      <c r="AC160" s="873">
        <v>116</v>
      </c>
      <c r="AD160" s="873">
        <v>14</v>
      </c>
      <c r="AE160" s="873">
        <v>5</v>
      </c>
      <c r="AF160" s="873">
        <v>0</v>
      </c>
      <c r="AG160" s="873">
        <v>323</v>
      </c>
      <c r="AH160" s="873">
        <v>26</v>
      </c>
      <c r="AI160" s="873">
        <v>21</v>
      </c>
      <c r="AJ160" s="873">
        <v>0</v>
      </c>
      <c r="AK160" s="873">
        <v>4</v>
      </c>
      <c r="AL160" s="873">
        <v>0</v>
      </c>
      <c r="AM160" s="873">
        <v>0</v>
      </c>
      <c r="AN160" s="873">
        <v>0</v>
      </c>
      <c r="AO160" s="873">
        <v>1217</v>
      </c>
      <c r="AP160" s="873">
        <v>877</v>
      </c>
      <c r="AQ160" s="873">
        <v>505</v>
      </c>
      <c r="AR160" s="873">
        <v>372</v>
      </c>
      <c r="AS160" s="873">
        <v>787</v>
      </c>
      <c r="AT160" s="843">
        <v>2881</v>
      </c>
      <c r="AU160" s="663"/>
      <c r="AV160" s="663"/>
      <c r="AX160" s="666"/>
      <c r="AY160" s="666"/>
      <c r="AZ160" s="666"/>
      <c r="BA160" s="666"/>
      <c r="BB160" s="666"/>
      <c r="BD160" s="666"/>
      <c r="BE160" s="666"/>
      <c r="BG160" s="666"/>
      <c r="BI160" s="666"/>
      <c r="BJ160" s="666"/>
      <c r="BK160" s="666"/>
    </row>
    <row r="161" spans="1:63" ht="12.75" x14ac:dyDescent="0.2">
      <c r="A161" s="288">
        <v>154</v>
      </c>
      <c r="B161" s="290" t="s">
        <v>202</v>
      </c>
      <c r="C161" s="279" t="s">
        <v>203</v>
      </c>
      <c r="D161" s="955">
        <v>148207</v>
      </c>
      <c r="E161" s="843">
        <v>105761154</v>
      </c>
      <c r="F161" s="873">
        <v>50505947</v>
      </c>
      <c r="G161" s="873">
        <v>-1846891</v>
      </c>
      <c r="H161" s="873">
        <v>891928</v>
      </c>
      <c r="I161" s="873">
        <v>-954963</v>
      </c>
      <c r="J161" s="873">
        <v>-4095400</v>
      </c>
      <c r="K161" s="873">
        <v>-78050</v>
      </c>
      <c r="L161" s="873">
        <v>0</v>
      </c>
      <c r="M161" s="873">
        <v>-5000</v>
      </c>
      <c r="N161" s="873">
        <v>-800009</v>
      </c>
      <c r="O161" s="873">
        <v>-48191</v>
      </c>
      <c r="P161" s="873">
        <v>-12501</v>
      </c>
      <c r="Q161" s="873">
        <v>-3769</v>
      </c>
      <c r="R161" s="873">
        <v>0</v>
      </c>
      <c r="S161" s="873">
        <v>0</v>
      </c>
      <c r="T161" s="873">
        <v>0</v>
      </c>
      <c r="U161" s="873">
        <v>0</v>
      </c>
      <c r="V161" s="873">
        <v>0</v>
      </c>
      <c r="W161" s="873">
        <v>-33169</v>
      </c>
      <c r="X161" s="873">
        <v>-267121</v>
      </c>
      <c r="Y161" s="873">
        <v>-601031</v>
      </c>
      <c r="Z161" s="873">
        <v>43606743</v>
      </c>
      <c r="AA161" s="873">
        <v>-875000</v>
      </c>
      <c r="AB161" s="874"/>
      <c r="AC161" s="873">
        <v>226</v>
      </c>
      <c r="AD161" s="873">
        <v>10</v>
      </c>
      <c r="AE161" s="873">
        <v>0</v>
      </c>
      <c r="AF161" s="873">
        <v>0</v>
      </c>
      <c r="AG161" s="873">
        <v>416</v>
      </c>
      <c r="AH161" s="873">
        <v>35</v>
      </c>
      <c r="AI161" s="873">
        <v>2</v>
      </c>
      <c r="AJ161" s="873">
        <v>4</v>
      </c>
      <c r="AK161" s="873">
        <v>0</v>
      </c>
      <c r="AL161" s="873">
        <v>0</v>
      </c>
      <c r="AM161" s="873">
        <v>0</v>
      </c>
      <c r="AN161" s="873">
        <v>0</v>
      </c>
      <c r="AO161" s="873">
        <v>1095</v>
      </c>
      <c r="AP161" s="873">
        <v>1527</v>
      </c>
      <c r="AQ161" s="873">
        <v>1056</v>
      </c>
      <c r="AR161" s="873">
        <v>471</v>
      </c>
      <c r="AS161" s="873">
        <v>923</v>
      </c>
      <c r="AT161" s="843">
        <v>3393</v>
      </c>
      <c r="AU161" s="663"/>
      <c r="AV161" s="663"/>
      <c r="AX161" s="666"/>
      <c r="AY161" s="666"/>
      <c r="AZ161" s="666"/>
      <c r="BA161" s="666"/>
      <c r="BB161" s="666"/>
      <c r="BD161" s="666"/>
      <c r="BE161" s="666"/>
      <c r="BG161" s="666"/>
      <c r="BI161" s="666"/>
      <c r="BJ161" s="666"/>
      <c r="BK161" s="666"/>
    </row>
    <row r="162" spans="1:63" ht="12.75" x14ac:dyDescent="0.2">
      <c r="A162" s="288">
        <v>155</v>
      </c>
      <c r="B162" s="290" t="s">
        <v>204</v>
      </c>
      <c r="C162" s="279" t="s">
        <v>205</v>
      </c>
      <c r="D162" s="955">
        <v>779426</v>
      </c>
      <c r="E162" s="843">
        <v>504619266</v>
      </c>
      <c r="F162" s="873">
        <v>238705013</v>
      </c>
      <c r="G162" s="873">
        <v>-7937456</v>
      </c>
      <c r="H162" s="873">
        <v>5119289</v>
      </c>
      <c r="I162" s="873">
        <v>-2818167</v>
      </c>
      <c r="J162" s="873">
        <v>-16162407</v>
      </c>
      <c r="K162" s="873">
        <v>0</v>
      </c>
      <c r="L162" s="873">
        <v>0</v>
      </c>
      <c r="M162" s="873">
        <v>-350000</v>
      </c>
      <c r="N162" s="873">
        <v>-14730644</v>
      </c>
      <c r="O162" s="873">
        <v>-22801</v>
      </c>
      <c r="P162" s="873">
        <v>-10107</v>
      </c>
      <c r="Q162" s="873">
        <v>0</v>
      </c>
      <c r="R162" s="873">
        <v>0</v>
      </c>
      <c r="S162" s="873">
        <v>0</v>
      </c>
      <c r="T162" s="873">
        <v>-332714</v>
      </c>
      <c r="U162" s="873">
        <v>-332714</v>
      </c>
      <c r="V162" s="873">
        <v>0</v>
      </c>
      <c r="W162" s="873">
        <v>-51990</v>
      </c>
      <c r="X162" s="873">
        <v>-59732</v>
      </c>
      <c r="Y162" s="873">
        <v>-2745000</v>
      </c>
      <c r="Z162" s="873">
        <v>200742317</v>
      </c>
      <c r="AA162" s="873">
        <v>-4900000</v>
      </c>
      <c r="AB162" s="874"/>
      <c r="AC162" s="873">
        <v>762</v>
      </c>
      <c r="AD162" s="873">
        <v>0</v>
      </c>
      <c r="AE162" s="873">
        <v>0</v>
      </c>
      <c r="AF162" s="873">
        <v>0</v>
      </c>
      <c r="AG162" s="873">
        <v>3720</v>
      </c>
      <c r="AH162" s="873">
        <v>18</v>
      </c>
      <c r="AI162" s="873">
        <v>8</v>
      </c>
      <c r="AJ162" s="873">
        <v>0</v>
      </c>
      <c r="AK162" s="873">
        <v>0</v>
      </c>
      <c r="AL162" s="873">
        <v>0</v>
      </c>
      <c r="AM162" s="873">
        <v>11</v>
      </c>
      <c r="AN162" s="873">
        <v>0</v>
      </c>
      <c r="AO162" s="873">
        <v>8023</v>
      </c>
      <c r="AP162" s="873">
        <v>4807</v>
      </c>
      <c r="AQ162" s="873">
        <v>3474</v>
      </c>
      <c r="AR162" s="873">
        <v>1333</v>
      </c>
      <c r="AS162" s="873">
        <v>5079</v>
      </c>
      <c r="AT162" s="843">
        <v>18176</v>
      </c>
      <c r="AU162" s="663"/>
      <c r="AV162" s="663"/>
      <c r="AX162" s="666"/>
      <c r="AY162" s="666"/>
      <c r="AZ162" s="666"/>
      <c r="BA162" s="666"/>
      <c r="BB162" s="666"/>
      <c r="BD162" s="666"/>
      <c r="BE162" s="666"/>
      <c r="BG162" s="666"/>
      <c r="BI162" s="666"/>
      <c r="BJ162" s="666"/>
      <c r="BK162" s="666"/>
    </row>
    <row r="163" spans="1:63" ht="12.75" x14ac:dyDescent="0.2">
      <c r="A163" s="288">
        <v>156</v>
      </c>
      <c r="B163" s="290" t="s">
        <v>206</v>
      </c>
      <c r="C163" s="279" t="s">
        <v>207</v>
      </c>
      <c r="D163" s="955">
        <v>255038</v>
      </c>
      <c r="E163" s="843">
        <v>167966747</v>
      </c>
      <c r="F163" s="873">
        <v>80176940</v>
      </c>
      <c r="G163" s="873">
        <v>-3964304</v>
      </c>
      <c r="H163" s="873">
        <v>2154946</v>
      </c>
      <c r="I163" s="873">
        <v>-1809358</v>
      </c>
      <c r="J163" s="873">
        <v>-5128948</v>
      </c>
      <c r="K163" s="873">
        <v>-24030</v>
      </c>
      <c r="L163" s="873">
        <v>0</v>
      </c>
      <c r="M163" s="873">
        <v>-77290</v>
      </c>
      <c r="N163" s="873">
        <v>-2045980</v>
      </c>
      <c r="O163" s="873">
        <v>-120650</v>
      </c>
      <c r="P163" s="873">
        <v>-59376</v>
      </c>
      <c r="Q163" s="873">
        <v>0</v>
      </c>
      <c r="R163" s="873">
        <v>0</v>
      </c>
      <c r="S163" s="873">
        <v>0</v>
      </c>
      <c r="T163" s="873">
        <v>-4308</v>
      </c>
      <c r="U163" s="873">
        <v>0</v>
      </c>
      <c r="V163" s="873">
        <v>0</v>
      </c>
      <c r="W163" s="873">
        <v>-150695</v>
      </c>
      <c r="X163" s="873">
        <v>-3070</v>
      </c>
      <c r="Y163" s="873">
        <v>-1421303</v>
      </c>
      <c r="Z163" s="873">
        <v>69066541</v>
      </c>
      <c r="AA163" s="873">
        <v>-2031871</v>
      </c>
      <c r="AB163" s="874"/>
      <c r="AC163" s="873">
        <v>283</v>
      </c>
      <c r="AD163" s="873">
        <v>8</v>
      </c>
      <c r="AE163" s="873">
        <v>0</v>
      </c>
      <c r="AF163" s="873">
        <v>1</v>
      </c>
      <c r="AG163" s="873">
        <v>983</v>
      </c>
      <c r="AH163" s="873">
        <v>81</v>
      </c>
      <c r="AI163" s="873">
        <v>7</v>
      </c>
      <c r="AJ163" s="873">
        <v>0</v>
      </c>
      <c r="AK163" s="873">
        <v>0</v>
      </c>
      <c r="AL163" s="873">
        <v>0</v>
      </c>
      <c r="AM163" s="873">
        <v>0</v>
      </c>
      <c r="AN163" s="873">
        <v>0</v>
      </c>
      <c r="AO163" s="873">
        <v>2518</v>
      </c>
      <c r="AP163" s="873">
        <v>1411</v>
      </c>
      <c r="AQ163" s="873">
        <v>772</v>
      </c>
      <c r="AR163" s="873">
        <v>639</v>
      </c>
      <c r="AS163" s="873">
        <v>1826</v>
      </c>
      <c r="AT163" s="843">
        <v>5688</v>
      </c>
      <c r="AU163" s="663"/>
      <c r="AV163" s="663"/>
      <c r="AX163" s="666"/>
      <c r="AY163" s="666"/>
      <c r="AZ163" s="666"/>
      <c r="BA163" s="666"/>
      <c r="BB163" s="666"/>
      <c r="BD163" s="666"/>
      <c r="BE163" s="666"/>
      <c r="BG163" s="666"/>
      <c r="BI163" s="666"/>
      <c r="BJ163" s="666"/>
      <c r="BK163" s="666"/>
    </row>
    <row r="164" spans="1:63" ht="12.75" x14ac:dyDescent="0.2">
      <c r="A164" s="288">
        <v>157</v>
      </c>
      <c r="B164" s="290" t="s">
        <v>208</v>
      </c>
      <c r="C164" s="279" t="s">
        <v>209</v>
      </c>
      <c r="D164" s="955">
        <v>206494</v>
      </c>
      <c r="E164" s="843">
        <v>142327537</v>
      </c>
      <c r="F164" s="873">
        <v>68041838</v>
      </c>
      <c r="G164" s="873">
        <v>-2410140</v>
      </c>
      <c r="H164" s="873">
        <v>1600428</v>
      </c>
      <c r="I164" s="873">
        <v>-809712</v>
      </c>
      <c r="J164" s="873">
        <v>-3835339</v>
      </c>
      <c r="K164" s="873">
        <v>-104374</v>
      </c>
      <c r="L164" s="873">
        <v>-3901</v>
      </c>
      <c r="M164" s="873">
        <v>0</v>
      </c>
      <c r="N164" s="873">
        <v>-2040182</v>
      </c>
      <c r="O164" s="873">
        <v>-141749</v>
      </c>
      <c r="P164" s="873">
        <v>-9094</v>
      </c>
      <c r="Q164" s="873">
        <v>-7740</v>
      </c>
      <c r="R164" s="873">
        <v>-3439</v>
      </c>
      <c r="S164" s="873">
        <v>0</v>
      </c>
      <c r="T164" s="873">
        <v>0</v>
      </c>
      <c r="U164" s="873">
        <v>0</v>
      </c>
      <c r="V164" s="873">
        <v>0</v>
      </c>
      <c r="W164" s="873">
        <v>0</v>
      </c>
      <c r="X164" s="873">
        <v>-14848</v>
      </c>
      <c r="Y164" s="873">
        <v>-900114</v>
      </c>
      <c r="Z164" s="873">
        <v>60171346</v>
      </c>
      <c r="AA164" s="873">
        <v>-792000</v>
      </c>
      <c r="AB164" s="874"/>
      <c r="AC164" s="873">
        <v>274</v>
      </c>
      <c r="AD164" s="873">
        <v>27</v>
      </c>
      <c r="AE164" s="873">
        <v>5</v>
      </c>
      <c r="AF164" s="873">
        <v>0</v>
      </c>
      <c r="AG164" s="873">
        <v>376</v>
      </c>
      <c r="AH164" s="873">
        <v>93</v>
      </c>
      <c r="AI164" s="873">
        <v>4</v>
      </c>
      <c r="AJ164" s="873">
        <v>1</v>
      </c>
      <c r="AK164" s="873">
        <v>4</v>
      </c>
      <c r="AL164" s="873">
        <v>0</v>
      </c>
      <c r="AM164" s="873">
        <v>0</v>
      </c>
      <c r="AN164" s="873">
        <v>0</v>
      </c>
      <c r="AO164" s="873">
        <v>2112</v>
      </c>
      <c r="AP164" s="873">
        <v>1229</v>
      </c>
      <c r="AQ164" s="873">
        <v>704</v>
      </c>
      <c r="AR164" s="873">
        <v>525</v>
      </c>
      <c r="AS164" s="873">
        <v>1345</v>
      </c>
      <c r="AT164" s="843">
        <v>4735</v>
      </c>
      <c r="AU164" s="663"/>
      <c r="AV164" s="663"/>
      <c r="AX164" s="666"/>
      <c r="AY164" s="666"/>
      <c r="AZ164" s="666"/>
      <c r="BA164" s="666"/>
      <c r="BB164" s="666"/>
      <c r="BD164" s="666"/>
      <c r="BE164" s="666"/>
      <c r="BG164" s="666"/>
      <c r="BI164" s="666"/>
      <c r="BJ164" s="666"/>
      <c r="BK164" s="666"/>
    </row>
    <row r="165" spans="1:63" ht="12.75" x14ac:dyDescent="0.2">
      <c r="A165" s="288">
        <v>158</v>
      </c>
      <c r="B165" s="290" t="s">
        <v>210</v>
      </c>
      <c r="C165" s="279" t="s">
        <v>211</v>
      </c>
      <c r="D165" s="955">
        <v>93784</v>
      </c>
      <c r="E165" s="843">
        <v>35912320</v>
      </c>
      <c r="F165" s="873">
        <v>17127174</v>
      </c>
      <c r="G165" s="873">
        <v>-1827194</v>
      </c>
      <c r="H165" s="873">
        <v>328570</v>
      </c>
      <c r="I165" s="873">
        <v>-1498624</v>
      </c>
      <c r="J165" s="873">
        <v>-793832</v>
      </c>
      <c r="K165" s="873">
        <v>-24680</v>
      </c>
      <c r="L165" s="873">
        <v>-11721</v>
      </c>
      <c r="M165" s="873">
        <v>-20000</v>
      </c>
      <c r="N165" s="873">
        <v>-370901</v>
      </c>
      <c r="O165" s="873">
        <v>-36431</v>
      </c>
      <c r="P165" s="873">
        <v>-11155</v>
      </c>
      <c r="Q165" s="873">
        <v>0</v>
      </c>
      <c r="R165" s="873">
        <v>-2646</v>
      </c>
      <c r="S165" s="873">
        <v>0</v>
      </c>
      <c r="T165" s="873">
        <v>0</v>
      </c>
      <c r="U165" s="873">
        <v>0</v>
      </c>
      <c r="V165" s="873">
        <v>0</v>
      </c>
      <c r="W165" s="873">
        <v>0</v>
      </c>
      <c r="X165" s="873">
        <v>-6500</v>
      </c>
      <c r="Y165" s="873">
        <v>-202312</v>
      </c>
      <c r="Z165" s="873">
        <v>13990872</v>
      </c>
      <c r="AA165" s="873">
        <v>-23998</v>
      </c>
      <c r="AB165" s="874"/>
      <c r="AC165" s="873">
        <v>132</v>
      </c>
      <c r="AD165" s="873">
        <v>6</v>
      </c>
      <c r="AE165" s="873">
        <v>9</v>
      </c>
      <c r="AF165" s="873">
        <v>1</v>
      </c>
      <c r="AG165" s="873">
        <v>176</v>
      </c>
      <c r="AH165" s="873">
        <v>74</v>
      </c>
      <c r="AI165" s="873">
        <v>74</v>
      </c>
      <c r="AJ165" s="873">
        <v>0</v>
      </c>
      <c r="AK165" s="873">
        <v>0</v>
      </c>
      <c r="AL165" s="873">
        <v>0</v>
      </c>
      <c r="AM165" s="873">
        <v>0</v>
      </c>
      <c r="AN165" s="873">
        <v>0</v>
      </c>
      <c r="AO165" s="873">
        <v>597</v>
      </c>
      <c r="AP165" s="873">
        <v>1068</v>
      </c>
      <c r="AQ165" s="873">
        <v>748</v>
      </c>
      <c r="AR165" s="873">
        <v>320</v>
      </c>
      <c r="AS165" s="873">
        <v>678</v>
      </c>
      <c r="AT165" s="843">
        <v>2415</v>
      </c>
      <c r="AU165" s="663"/>
      <c r="AV165" s="663"/>
      <c r="AX165" s="666"/>
      <c r="AY165" s="666"/>
      <c r="AZ165" s="666"/>
      <c r="BA165" s="666"/>
      <c r="BB165" s="666"/>
      <c r="BD165" s="666"/>
      <c r="BE165" s="666"/>
      <c r="BG165" s="666"/>
      <c r="BI165" s="666"/>
      <c r="BJ165" s="666"/>
      <c r="BK165" s="666"/>
    </row>
    <row r="166" spans="1:63" ht="12.75" x14ac:dyDescent="0.2">
      <c r="A166" s="288">
        <v>159</v>
      </c>
      <c r="B166" s="290" t="s">
        <v>212</v>
      </c>
      <c r="C166" s="279" t="s">
        <v>213</v>
      </c>
      <c r="D166" s="955">
        <v>107540</v>
      </c>
      <c r="E166" s="843">
        <v>41940963</v>
      </c>
      <c r="F166" s="873">
        <v>20138051</v>
      </c>
      <c r="G166" s="873">
        <v>-2078595</v>
      </c>
      <c r="H166" s="873">
        <v>403547</v>
      </c>
      <c r="I166" s="873">
        <v>-1675048</v>
      </c>
      <c r="J166" s="873">
        <v>-1764664</v>
      </c>
      <c r="K166" s="873">
        <v>-43246</v>
      </c>
      <c r="L166" s="873">
        <v>-55894</v>
      </c>
      <c r="M166" s="873">
        <v>-4630</v>
      </c>
      <c r="N166" s="873">
        <v>-303911</v>
      </c>
      <c r="O166" s="873">
        <v>-89442</v>
      </c>
      <c r="P166" s="873">
        <v>-59052</v>
      </c>
      <c r="Q166" s="873">
        <v>-10724</v>
      </c>
      <c r="R166" s="873">
        <v>-32590</v>
      </c>
      <c r="S166" s="873">
        <v>-24332</v>
      </c>
      <c r="T166" s="873">
        <v>0</v>
      </c>
      <c r="U166" s="873">
        <v>0</v>
      </c>
      <c r="V166" s="873">
        <v>0</v>
      </c>
      <c r="W166" s="873">
        <v>0</v>
      </c>
      <c r="X166" s="873">
        <v>0</v>
      </c>
      <c r="Y166" s="873">
        <v>-439614</v>
      </c>
      <c r="Z166" s="873">
        <v>15512904</v>
      </c>
      <c r="AA166" s="873">
        <v>-178505</v>
      </c>
      <c r="AB166" s="874"/>
      <c r="AC166" s="873">
        <v>206</v>
      </c>
      <c r="AD166" s="873">
        <v>10</v>
      </c>
      <c r="AE166" s="873">
        <v>34</v>
      </c>
      <c r="AF166" s="873">
        <v>0</v>
      </c>
      <c r="AG166" s="873">
        <v>165</v>
      </c>
      <c r="AH166" s="873">
        <v>125</v>
      </c>
      <c r="AI166" s="873">
        <v>20</v>
      </c>
      <c r="AJ166" s="873">
        <v>10</v>
      </c>
      <c r="AK166" s="873">
        <v>32</v>
      </c>
      <c r="AL166" s="873">
        <v>9</v>
      </c>
      <c r="AM166" s="873">
        <v>0</v>
      </c>
      <c r="AN166" s="873">
        <v>0</v>
      </c>
      <c r="AO166" s="873">
        <v>847</v>
      </c>
      <c r="AP166" s="873">
        <v>1218</v>
      </c>
      <c r="AQ166" s="873">
        <v>921</v>
      </c>
      <c r="AR166" s="873">
        <v>297</v>
      </c>
      <c r="AS166" s="873">
        <v>710</v>
      </c>
      <c r="AT166" s="843">
        <v>2803</v>
      </c>
      <c r="AU166" s="663"/>
      <c r="AV166" s="663"/>
      <c r="AX166" s="666"/>
      <c r="AY166" s="666"/>
      <c r="AZ166" s="666"/>
      <c r="BA166" s="666"/>
      <c r="BB166" s="666"/>
      <c r="BD166" s="666"/>
      <c r="BE166" s="666"/>
      <c r="BG166" s="666"/>
      <c r="BI166" s="666"/>
      <c r="BJ166" s="666"/>
      <c r="BK166" s="666"/>
    </row>
    <row r="167" spans="1:63" ht="12.75" x14ac:dyDescent="0.2">
      <c r="A167" s="288">
        <v>160</v>
      </c>
      <c r="B167" s="290" t="s">
        <v>214</v>
      </c>
      <c r="C167" s="279" t="s">
        <v>215</v>
      </c>
      <c r="D167" s="955">
        <v>1129905</v>
      </c>
      <c r="E167" s="843">
        <v>845129813</v>
      </c>
      <c r="F167" s="873">
        <v>390576049</v>
      </c>
      <c r="G167" s="873">
        <v>-10172450</v>
      </c>
      <c r="H167" s="873">
        <v>10022940</v>
      </c>
      <c r="I167" s="873">
        <v>-149510</v>
      </c>
      <c r="J167" s="873">
        <v>-23599484</v>
      </c>
      <c r="K167" s="873">
        <v>-110424</v>
      </c>
      <c r="L167" s="873">
        <v>0</v>
      </c>
      <c r="M167" s="873">
        <v>0</v>
      </c>
      <c r="N167" s="873">
        <v>-32366721</v>
      </c>
      <c r="O167" s="873">
        <v>-738979</v>
      </c>
      <c r="P167" s="873">
        <v>-901131</v>
      </c>
      <c r="Q167" s="873">
        <v>0</v>
      </c>
      <c r="R167" s="873">
        <v>0</v>
      </c>
      <c r="S167" s="873">
        <v>0</v>
      </c>
      <c r="T167" s="873">
        <v>-614507</v>
      </c>
      <c r="U167" s="873">
        <v>0</v>
      </c>
      <c r="V167" s="873">
        <v>0</v>
      </c>
      <c r="W167" s="873">
        <v>0</v>
      </c>
      <c r="X167" s="873">
        <v>-59608</v>
      </c>
      <c r="Y167" s="873">
        <v>-1570253</v>
      </c>
      <c r="Z167" s="873">
        <v>330465432</v>
      </c>
      <c r="AA167" s="873">
        <v>-2063033</v>
      </c>
      <c r="AB167" s="874"/>
      <c r="AC167" s="873">
        <v>839</v>
      </c>
      <c r="AD167" s="873">
        <v>11</v>
      </c>
      <c r="AE167" s="873">
        <v>0</v>
      </c>
      <c r="AF167" s="873">
        <v>0</v>
      </c>
      <c r="AG167" s="873">
        <v>5280</v>
      </c>
      <c r="AH167" s="873">
        <v>24</v>
      </c>
      <c r="AI167" s="873">
        <v>15</v>
      </c>
      <c r="AJ167" s="873">
        <v>0</v>
      </c>
      <c r="AK167" s="873">
        <v>0</v>
      </c>
      <c r="AL167" s="873">
        <v>0</v>
      </c>
      <c r="AM167" s="873">
        <v>31</v>
      </c>
      <c r="AN167" s="873">
        <v>1131</v>
      </c>
      <c r="AO167" s="873">
        <v>11284</v>
      </c>
      <c r="AP167" s="873">
        <v>5276</v>
      </c>
      <c r="AQ167" s="873">
        <v>3330</v>
      </c>
      <c r="AR167" s="873">
        <v>1946</v>
      </c>
      <c r="AS167" s="873">
        <v>7874</v>
      </c>
      <c r="AT167" s="843">
        <v>24926</v>
      </c>
      <c r="AU167" s="663"/>
      <c r="AV167" s="663"/>
      <c r="AX167" s="666"/>
      <c r="AY167" s="666"/>
      <c r="AZ167" s="666"/>
      <c r="BA167" s="666"/>
      <c r="BB167" s="666"/>
      <c r="BD167" s="666"/>
      <c r="BE167" s="666"/>
      <c r="BG167" s="666"/>
      <c r="BI167" s="666"/>
      <c r="BJ167" s="666"/>
      <c r="BK167" s="666"/>
    </row>
    <row r="168" spans="1:63" ht="12.75" x14ac:dyDescent="0.2">
      <c r="A168" s="288">
        <v>161</v>
      </c>
      <c r="B168" s="290" t="s">
        <v>216</v>
      </c>
      <c r="C168" s="279" t="s">
        <v>217</v>
      </c>
      <c r="D168" s="955">
        <v>128223</v>
      </c>
      <c r="E168" s="843">
        <v>71058868</v>
      </c>
      <c r="F168" s="873">
        <v>34350122</v>
      </c>
      <c r="G168" s="873">
        <v>-1768052</v>
      </c>
      <c r="H168" s="873">
        <v>670839</v>
      </c>
      <c r="I168" s="873">
        <v>-1097213</v>
      </c>
      <c r="J168" s="873">
        <v>-1967007</v>
      </c>
      <c r="K168" s="873">
        <v>-15776</v>
      </c>
      <c r="L168" s="873">
        <v>0</v>
      </c>
      <c r="M168" s="873">
        <v>0</v>
      </c>
      <c r="N168" s="873">
        <v>-759113</v>
      </c>
      <c r="O168" s="873">
        <v>-8928</v>
      </c>
      <c r="P168" s="873">
        <v>-86297</v>
      </c>
      <c r="Q168" s="873">
        <v>0</v>
      </c>
      <c r="R168" s="873">
        <v>0</v>
      </c>
      <c r="S168" s="873">
        <v>0</v>
      </c>
      <c r="T168" s="873">
        <v>0</v>
      </c>
      <c r="U168" s="873">
        <v>0</v>
      </c>
      <c r="V168" s="873">
        <v>0</v>
      </c>
      <c r="W168" s="873">
        <v>-20583</v>
      </c>
      <c r="X168" s="873">
        <v>0</v>
      </c>
      <c r="Y168" s="873">
        <v>-307847</v>
      </c>
      <c r="Z168" s="873">
        <v>29887358</v>
      </c>
      <c r="AA168" s="873">
        <v>-192734</v>
      </c>
      <c r="AB168" s="874"/>
      <c r="AC168" s="873">
        <v>155</v>
      </c>
      <c r="AD168" s="873">
        <v>2</v>
      </c>
      <c r="AE168" s="873">
        <v>0</v>
      </c>
      <c r="AF168" s="873">
        <v>0</v>
      </c>
      <c r="AG168" s="873">
        <v>556</v>
      </c>
      <c r="AH168" s="873">
        <v>7</v>
      </c>
      <c r="AI168" s="873">
        <v>16</v>
      </c>
      <c r="AJ168" s="873">
        <v>0</v>
      </c>
      <c r="AK168" s="873">
        <v>0</v>
      </c>
      <c r="AL168" s="873">
        <v>0</v>
      </c>
      <c r="AM168" s="873">
        <v>0</v>
      </c>
      <c r="AN168" s="873">
        <v>2</v>
      </c>
      <c r="AO168" s="873">
        <v>1154</v>
      </c>
      <c r="AP168" s="873">
        <v>1123</v>
      </c>
      <c r="AQ168" s="873">
        <v>881</v>
      </c>
      <c r="AR168" s="873">
        <v>242</v>
      </c>
      <c r="AS168" s="873">
        <v>584</v>
      </c>
      <c r="AT168" s="843">
        <v>3090</v>
      </c>
      <c r="AU168" s="663"/>
      <c r="AV168" s="663"/>
      <c r="AX168" s="666"/>
      <c r="AY168" s="666"/>
      <c r="AZ168" s="666"/>
      <c r="BA168" s="666"/>
      <c r="BB168" s="666"/>
      <c r="BD168" s="666"/>
      <c r="BE168" s="666"/>
      <c r="BG168" s="666"/>
      <c r="BI168" s="666"/>
      <c r="BJ168" s="666"/>
      <c r="BK168" s="666"/>
    </row>
    <row r="169" spans="1:63" ht="12.75" x14ac:dyDescent="0.2">
      <c r="A169" s="288">
        <v>162</v>
      </c>
      <c r="B169" s="290" t="s">
        <v>218</v>
      </c>
      <c r="C169" s="279" t="s">
        <v>219</v>
      </c>
      <c r="D169" s="955">
        <v>283640</v>
      </c>
      <c r="E169" s="843">
        <v>218049859</v>
      </c>
      <c r="F169" s="873">
        <v>104411540</v>
      </c>
      <c r="G169" s="873">
        <v>-3959376</v>
      </c>
      <c r="H169" s="873">
        <v>2475940</v>
      </c>
      <c r="I169" s="873">
        <v>-1483436</v>
      </c>
      <c r="J169" s="873">
        <v>-5824326</v>
      </c>
      <c r="K169" s="873">
        <v>-102741</v>
      </c>
      <c r="L169" s="873">
        <v>-3895</v>
      </c>
      <c r="M169" s="873">
        <v>-200000</v>
      </c>
      <c r="N169" s="873">
        <v>-2344923</v>
      </c>
      <c r="O169" s="873">
        <v>-309152</v>
      </c>
      <c r="P169" s="873">
        <v>-204518</v>
      </c>
      <c r="Q169" s="873">
        <v>-23171</v>
      </c>
      <c r="R169" s="873">
        <v>-2400</v>
      </c>
      <c r="S169" s="873">
        <v>0</v>
      </c>
      <c r="T169" s="873">
        <v>0</v>
      </c>
      <c r="U169" s="873">
        <v>0</v>
      </c>
      <c r="V169" s="873">
        <v>0</v>
      </c>
      <c r="W169" s="873">
        <v>0</v>
      </c>
      <c r="X169" s="873">
        <v>-8381</v>
      </c>
      <c r="Y169" s="873">
        <v>-749565</v>
      </c>
      <c r="Z169" s="873">
        <v>93155032</v>
      </c>
      <c r="AA169" s="873">
        <v>-1021779</v>
      </c>
      <c r="AB169" s="874"/>
      <c r="AC169" s="873">
        <v>293</v>
      </c>
      <c r="AD169" s="873">
        <v>12</v>
      </c>
      <c r="AE169" s="873">
        <v>3</v>
      </c>
      <c r="AF169" s="873">
        <v>0</v>
      </c>
      <c r="AG169" s="873">
        <v>453</v>
      </c>
      <c r="AH169" s="873">
        <v>200</v>
      </c>
      <c r="AI169" s="873">
        <v>40</v>
      </c>
      <c r="AJ169" s="873">
        <v>10</v>
      </c>
      <c r="AK169" s="873">
        <v>0</v>
      </c>
      <c r="AL169" s="873">
        <v>0</v>
      </c>
      <c r="AM169" s="873">
        <v>0</v>
      </c>
      <c r="AN169" s="873">
        <v>0</v>
      </c>
      <c r="AO169" s="873">
        <v>3902</v>
      </c>
      <c r="AP169" s="873">
        <v>2031</v>
      </c>
      <c r="AQ169" s="873">
        <v>1214</v>
      </c>
      <c r="AR169" s="873">
        <v>817</v>
      </c>
      <c r="AS169" s="873">
        <v>298</v>
      </c>
      <c r="AT169" s="843">
        <v>6283</v>
      </c>
      <c r="AU169" s="663"/>
      <c r="AV169" s="663"/>
      <c r="AX169" s="666"/>
      <c r="AY169" s="666"/>
      <c r="AZ169" s="666"/>
      <c r="BA169" s="666"/>
      <c r="BB169" s="666"/>
      <c r="BD169" s="666"/>
      <c r="BE169" s="666"/>
      <c r="BG169" s="666"/>
      <c r="BI169" s="666"/>
      <c r="BJ169" s="666"/>
      <c r="BK169" s="666"/>
    </row>
    <row r="170" spans="1:63" ht="12.75" x14ac:dyDescent="0.2">
      <c r="A170" s="288">
        <v>163</v>
      </c>
      <c r="B170" s="290" t="s">
        <v>220</v>
      </c>
      <c r="C170" s="279" t="s">
        <v>221</v>
      </c>
      <c r="D170" s="955">
        <v>63199</v>
      </c>
      <c r="E170" s="843">
        <v>34369453</v>
      </c>
      <c r="F170" s="873">
        <v>16119297</v>
      </c>
      <c r="G170" s="873">
        <v>-1244400</v>
      </c>
      <c r="H170" s="873">
        <v>311100</v>
      </c>
      <c r="I170" s="873">
        <v>-933300</v>
      </c>
      <c r="J170" s="873">
        <v>-1002660</v>
      </c>
      <c r="K170" s="873">
        <v>-36720</v>
      </c>
      <c r="L170" s="873">
        <v>-28050</v>
      </c>
      <c r="M170" s="873">
        <v>-10000</v>
      </c>
      <c r="N170" s="873">
        <v>-336600</v>
      </c>
      <c r="O170" s="873">
        <v>-13770</v>
      </c>
      <c r="P170" s="873">
        <v>-21420</v>
      </c>
      <c r="Q170" s="873">
        <v>-360</v>
      </c>
      <c r="R170" s="873">
        <v>-9210</v>
      </c>
      <c r="S170" s="873">
        <v>-1220</v>
      </c>
      <c r="T170" s="873">
        <v>0</v>
      </c>
      <c r="U170" s="873">
        <v>0</v>
      </c>
      <c r="V170" s="873">
        <v>0</v>
      </c>
      <c r="W170" s="873">
        <v>0</v>
      </c>
      <c r="X170" s="873">
        <v>0</v>
      </c>
      <c r="Y170" s="873">
        <v>-350000</v>
      </c>
      <c r="Z170" s="873">
        <v>13375987</v>
      </c>
      <c r="AA170" s="873">
        <v>-31567</v>
      </c>
      <c r="AB170" s="874"/>
      <c r="AC170" s="873">
        <v>93</v>
      </c>
      <c r="AD170" s="873">
        <v>7</v>
      </c>
      <c r="AE170" s="873">
        <v>18</v>
      </c>
      <c r="AF170" s="873">
        <v>0</v>
      </c>
      <c r="AG170" s="873">
        <v>98</v>
      </c>
      <c r="AH170" s="873">
        <v>45</v>
      </c>
      <c r="AI170" s="873">
        <v>7</v>
      </c>
      <c r="AJ170" s="873">
        <v>2</v>
      </c>
      <c r="AK170" s="873">
        <v>7</v>
      </c>
      <c r="AL170" s="873">
        <v>2</v>
      </c>
      <c r="AM170" s="873">
        <v>0</v>
      </c>
      <c r="AN170" s="873">
        <v>0</v>
      </c>
      <c r="AO170" s="873">
        <v>518</v>
      </c>
      <c r="AP170" s="873">
        <v>614</v>
      </c>
      <c r="AQ170" s="873">
        <v>439</v>
      </c>
      <c r="AR170" s="873">
        <v>175</v>
      </c>
      <c r="AS170" s="873">
        <v>403</v>
      </c>
      <c r="AT170" s="843">
        <v>1552</v>
      </c>
      <c r="AU170" s="663"/>
      <c r="AV170" s="663"/>
      <c r="AX170" s="666"/>
      <c r="AY170" s="666"/>
      <c r="AZ170" s="666"/>
      <c r="BA170" s="666"/>
      <c r="BB170" s="666"/>
      <c r="BD170" s="666"/>
      <c r="BE170" s="666"/>
      <c r="BG170" s="666"/>
      <c r="BI170" s="666"/>
      <c r="BJ170" s="666"/>
      <c r="BK170" s="666"/>
    </row>
    <row r="171" spans="1:63" ht="12.75" x14ac:dyDescent="0.2">
      <c r="A171" s="288">
        <v>164</v>
      </c>
      <c r="B171" s="290" t="s">
        <v>222</v>
      </c>
      <c r="C171" s="279" t="s">
        <v>223</v>
      </c>
      <c r="D171" s="955">
        <v>164724</v>
      </c>
      <c r="E171" s="843">
        <v>85519980</v>
      </c>
      <c r="F171" s="873">
        <v>41037277</v>
      </c>
      <c r="G171" s="873">
        <v>-3075115</v>
      </c>
      <c r="H171" s="873">
        <v>890827</v>
      </c>
      <c r="I171" s="873">
        <v>-2184288</v>
      </c>
      <c r="J171" s="873">
        <v>-2871887</v>
      </c>
      <c r="K171" s="873">
        <v>-87774</v>
      </c>
      <c r="L171" s="873">
        <v>-42472</v>
      </c>
      <c r="M171" s="873">
        <v>0</v>
      </c>
      <c r="N171" s="873">
        <v>-748848</v>
      </c>
      <c r="O171" s="873">
        <v>-48699</v>
      </c>
      <c r="P171" s="873">
        <v>-22275</v>
      </c>
      <c r="Q171" s="873">
        <v>-2882</v>
      </c>
      <c r="R171" s="873">
        <v>-25701</v>
      </c>
      <c r="S171" s="873">
        <v>-14643</v>
      </c>
      <c r="T171" s="873">
        <v>0</v>
      </c>
      <c r="U171" s="873">
        <v>0</v>
      </c>
      <c r="V171" s="873">
        <v>0</v>
      </c>
      <c r="W171" s="873">
        <v>-1701</v>
      </c>
      <c r="X171" s="873">
        <v>0</v>
      </c>
      <c r="Y171" s="873">
        <v>-652577</v>
      </c>
      <c r="Z171" s="873">
        <v>34333530</v>
      </c>
      <c r="AA171" s="873">
        <v>-1219080</v>
      </c>
      <c r="AB171" s="874"/>
      <c r="AC171" s="873">
        <v>276</v>
      </c>
      <c r="AD171" s="873">
        <v>13</v>
      </c>
      <c r="AE171" s="873">
        <v>25</v>
      </c>
      <c r="AF171" s="873">
        <v>0</v>
      </c>
      <c r="AG171" s="873">
        <v>342</v>
      </c>
      <c r="AH171" s="873">
        <v>114</v>
      </c>
      <c r="AI171" s="873">
        <v>9</v>
      </c>
      <c r="AJ171" s="873">
        <v>5</v>
      </c>
      <c r="AK171" s="873">
        <v>18</v>
      </c>
      <c r="AL171" s="873">
        <v>5</v>
      </c>
      <c r="AM171" s="873">
        <v>0</v>
      </c>
      <c r="AN171" s="873">
        <v>0</v>
      </c>
      <c r="AO171" s="873">
        <v>1441</v>
      </c>
      <c r="AP171" s="873">
        <v>1668</v>
      </c>
      <c r="AQ171" s="873">
        <v>1138</v>
      </c>
      <c r="AR171" s="873">
        <v>530</v>
      </c>
      <c r="AS171" s="873">
        <v>948</v>
      </c>
      <c r="AT171" s="843">
        <v>4085</v>
      </c>
      <c r="AU171" s="663"/>
      <c r="AV171" s="663"/>
      <c r="AX171" s="666"/>
      <c r="AY171" s="666"/>
      <c r="AZ171" s="666"/>
      <c r="BA171" s="666"/>
      <c r="BB171" s="666"/>
      <c r="BD171" s="666"/>
      <c r="BE171" s="666"/>
      <c r="BG171" s="666"/>
      <c r="BI171" s="666"/>
      <c r="BJ171" s="666"/>
      <c r="BK171" s="666"/>
    </row>
    <row r="172" spans="1:63" ht="12.75" x14ac:dyDescent="0.2">
      <c r="A172" s="288">
        <v>165</v>
      </c>
      <c r="B172" s="290" t="s">
        <v>224</v>
      </c>
      <c r="C172" s="279" t="s">
        <v>225</v>
      </c>
      <c r="D172" s="955">
        <v>272612</v>
      </c>
      <c r="E172" s="843">
        <v>201690430</v>
      </c>
      <c r="F172" s="873">
        <v>96891883</v>
      </c>
      <c r="G172" s="873">
        <v>-2835184</v>
      </c>
      <c r="H172" s="873">
        <v>2264539</v>
      </c>
      <c r="I172" s="873">
        <v>-570645</v>
      </c>
      <c r="J172" s="873">
        <v>-5201053</v>
      </c>
      <c r="K172" s="873">
        <v>-107612</v>
      </c>
      <c r="L172" s="873">
        <v>0</v>
      </c>
      <c r="M172" s="873">
        <v>-4920</v>
      </c>
      <c r="N172" s="873">
        <v>-1208493</v>
      </c>
      <c r="O172" s="873">
        <v>-406052</v>
      </c>
      <c r="P172" s="873">
        <v>-154447</v>
      </c>
      <c r="Q172" s="873">
        <v>-192</v>
      </c>
      <c r="R172" s="873">
        <v>0</v>
      </c>
      <c r="S172" s="873">
        <v>0</v>
      </c>
      <c r="T172" s="873">
        <v>-200000</v>
      </c>
      <c r="U172" s="873">
        <v>0</v>
      </c>
      <c r="V172" s="873">
        <v>0</v>
      </c>
      <c r="W172" s="873">
        <v>0</v>
      </c>
      <c r="X172" s="873">
        <v>-6286</v>
      </c>
      <c r="Y172" s="873">
        <v>-1050395</v>
      </c>
      <c r="Z172" s="873">
        <v>87333723</v>
      </c>
      <c r="AA172" s="873">
        <v>-669358</v>
      </c>
      <c r="AB172" s="874"/>
      <c r="AC172" s="873">
        <v>248</v>
      </c>
      <c r="AD172" s="873">
        <v>8</v>
      </c>
      <c r="AE172" s="873">
        <v>0</v>
      </c>
      <c r="AF172" s="873">
        <v>1</v>
      </c>
      <c r="AG172" s="873">
        <v>239</v>
      </c>
      <c r="AH172" s="873">
        <v>116</v>
      </c>
      <c r="AI172" s="873">
        <v>17</v>
      </c>
      <c r="AJ172" s="873">
        <v>1</v>
      </c>
      <c r="AK172" s="873">
        <v>0</v>
      </c>
      <c r="AL172" s="873">
        <v>0</v>
      </c>
      <c r="AM172" s="873">
        <v>0</v>
      </c>
      <c r="AN172" s="873">
        <v>4</v>
      </c>
      <c r="AO172" s="873">
        <v>2054</v>
      </c>
      <c r="AP172" s="873">
        <v>1330</v>
      </c>
      <c r="AQ172" s="873">
        <v>535</v>
      </c>
      <c r="AR172" s="873">
        <v>795</v>
      </c>
      <c r="AS172" s="873">
        <v>2042</v>
      </c>
      <c r="AT172" s="843">
        <v>5355</v>
      </c>
      <c r="AU172" s="663"/>
      <c r="AV172" s="663"/>
      <c r="AX172" s="666"/>
      <c r="AY172" s="666"/>
      <c r="AZ172" s="666"/>
      <c r="BA172" s="666"/>
      <c r="BB172" s="666"/>
      <c r="BD172" s="666"/>
      <c r="BE172" s="666"/>
      <c r="BG172" s="666"/>
      <c r="BI172" s="666"/>
      <c r="BJ172" s="666"/>
      <c r="BK172" s="666"/>
    </row>
    <row r="173" spans="1:63" ht="12.75" x14ac:dyDescent="0.2">
      <c r="A173" s="288">
        <v>166</v>
      </c>
      <c r="B173" s="290" t="s">
        <v>226</v>
      </c>
      <c r="C173" s="279" t="s">
        <v>227</v>
      </c>
      <c r="D173" s="955">
        <v>108005</v>
      </c>
      <c r="E173" s="843">
        <v>40809366</v>
      </c>
      <c r="F173" s="873">
        <v>19222407</v>
      </c>
      <c r="G173" s="873">
        <v>-2155795</v>
      </c>
      <c r="H173" s="873">
        <v>357128</v>
      </c>
      <c r="I173" s="873">
        <v>-1798667</v>
      </c>
      <c r="J173" s="873">
        <v>-1179861</v>
      </c>
      <c r="K173" s="873">
        <v>-35822</v>
      </c>
      <c r="L173" s="873">
        <v>-28203</v>
      </c>
      <c r="M173" s="873">
        <v>-3622</v>
      </c>
      <c r="N173" s="873">
        <v>-568073</v>
      </c>
      <c r="O173" s="873">
        <v>-50704</v>
      </c>
      <c r="P173" s="873">
        <v>-2976</v>
      </c>
      <c r="Q173" s="873">
        <v>0</v>
      </c>
      <c r="R173" s="873">
        <v>0</v>
      </c>
      <c r="S173" s="873">
        <v>-4414</v>
      </c>
      <c r="T173" s="873">
        <v>-4401</v>
      </c>
      <c r="U173" s="873">
        <v>0</v>
      </c>
      <c r="V173" s="873">
        <v>0</v>
      </c>
      <c r="W173" s="873">
        <v>-22130</v>
      </c>
      <c r="X173" s="873">
        <v>-7969</v>
      </c>
      <c r="Y173" s="873">
        <v>-269590</v>
      </c>
      <c r="Z173" s="873">
        <v>15232975</v>
      </c>
      <c r="AA173" s="873">
        <v>-150000</v>
      </c>
      <c r="AB173" s="874"/>
      <c r="AC173" s="873">
        <v>217</v>
      </c>
      <c r="AD173" s="873">
        <v>8</v>
      </c>
      <c r="AE173" s="873">
        <v>22</v>
      </c>
      <c r="AF173" s="873">
        <v>9</v>
      </c>
      <c r="AG173" s="873">
        <v>343</v>
      </c>
      <c r="AH173" s="873">
        <v>122</v>
      </c>
      <c r="AI173" s="873">
        <v>10</v>
      </c>
      <c r="AJ173" s="873">
        <v>0</v>
      </c>
      <c r="AK173" s="873">
        <v>6</v>
      </c>
      <c r="AL173" s="873">
        <v>0</v>
      </c>
      <c r="AM173" s="873">
        <v>0</v>
      </c>
      <c r="AN173" s="873">
        <v>1</v>
      </c>
      <c r="AO173" s="873">
        <v>1148</v>
      </c>
      <c r="AP173" s="873">
        <v>1249</v>
      </c>
      <c r="AQ173" s="873">
        <v>1005</v>
      </c>
      <c r="AR173" s="873">
        <v>244</v>
      </c>
      <c r="AS173" s="873">
        <v>422</v>
      </c>
      <c r="AT173" s="843">
        <v>2828</v>
      </c>
      <c r="AU173" s="663"/>
      <c r="AV173" s="663"/>
      <c r="AX173" s="666"/>
      <c r="AY173" s="666"/>
      <c r="AZ173" s="666"/>
      <c r="BA173" s="666"/>
      <c r="BB173" s="666"/>
      <c r="BD173" s="666"/>
      <c r="BE173" s="666"/>
      <c r="BG173" s="666"/>
      <c r="BI173" s="666"/>
      <c r="BJ173" s="666"/>
      <c r="BK173" s="666"/>
    </row>
    <row r="174" spans="1:63" ht="12.75" x14ac:dyDescent="0.2">
      <c r="A174" s="288">
        <v>167</v>
      </c>
      <c r="B174" s="290" t="s">
        <v>228</v>
      </c>
      <c r="C174" s="279" t="s">
        <v>229</v>
      </c>
      <c r="D174" s="955">
        <v>128394</v>
      </c>
      <c r="E174" s="843">
        <v>56293920</v>
      </c>
      <c r="F174" s="873">
        <v>27341571</v>
      </c>
      <c r="G174" s="873">
        <v>-2008558</v>
      </c>
      <c r="H174" s="873">
        <v>505392</v>
      </c>
      <c r="I174" s="873">
        <v>-1503166</v>
      </c>
      <c r="J174" s="873">
        <v>-957708</v>
      </c>
      <c r="K174" s="873">
        <v>-38026</v>
      </c>
      <c r="L174" s="873">
        <v>-90914</v>
      </c>
      <c r="M174" s="873">
        <v>0</v>
      </c>
      <c r="N174" s="873">
        <v>-341578</v>
      </c>
      <c r="O174" s="873">
        <v>-167625</v>
      </c>
      <c r="P174" s="873">
        <v>-100487</v>
      </c>
      <c r="Q174" s="873">
        <v>-6785</v>
      </c>
      <c r="R174" s="873">
        <v>-90914</v>
      </c>
      <c r="S174" s="873">
        <v>-76463</v>
      </c>
      <c r="T174" s="873">
        <v>0</v>
      </c>
      <c r="U174" s="873">
        <v>0</v>
      </c>
      <c r="V174" s="873">
        <v>0</v>
      </c>
      <c r="W174" s="873">
        <v>0</v>
      </c>
      <c r="X174" s="873">
        <v>0</v>
      </c>
      <c r="Y174" s="873">
        <v>-216438</v>
      </c>
      <c r="Z174" s="873">
        <v>23746134</v>
      </c>
      <c r="AA174" s="873">
        <v>-530811</v>
      </c>
      <c r="AB174" s="874"/>
      <c r="AC174" s="873">
        <v>232</v>
      </c>
      <c r="AD174" s="873">
        <v>9</v>
      </c>
      <c r="AE174" s="873">
        <v>68</v>
      </c>
      <c r="AF174" s="873">
        <v>0</v>
      </c>
      <c r="AG174" s="873">
        <v>264</v>
      </c>
      <c r="AH174" s="873">
        <v>204</v>
      </c>
      <c r="AI174" s="873">
        <v>45</v>
      </c>
      <c r="AJ174" s="873">
        <v>7</v>
      </c>
      <c r="AK174" s="873">
        <v>68</v>
      </c>
      <c r="AL174" s="873">
        <v>17</v>
      </c>
      <c r="AM174" s="873">
        <v>0</v>
      </c>
      <c r="AN174" s="873">
        <v>0</v>
      </c>
      <c r="AO174" s="873">
        <v>1319</v>
      </c>
      <c r="AP174" s="873">
        <v>1235</v>
      </c>
      <c r="AQ174" s="873">
        <v>947</v>
      </c>
      <c r="AR174" s="873">
        <v>288</v>
      </c>
      <c r="AS174" s="873">
        <v>732</v>
      </c>
      <c r="AT174" s="843">
        <v>3265</v>
      </c>
      <c r="AU174" s="663"/>
      <c r="AV174" s="663"/>
      <c r="AX174" s="666"/>
      <c r="AY174" s="666"/>
      <c r="AZ174" s="666"/>
      <c r="BA174" s="666"/>
      <c r="BB174" s="666"/>
      <c r="BD174" s="666"/>
      <c r="BE174" s="666"/>
      <c r="BG174" s="666"/>
      <c r="BI174" s="666"/>
      <c r="BJ174" s="666"/>
      <c r="BK174" s="666"/>
    </row>
    <row r="175" spans="1:63" ht="12.75" x14ac:dyDescent="0.2">
      <c r="A175" s="288">
        <v>168</v>
      </c>
      <c r="B175" s="290" t="s">
        <v>230</v>
      </c>
      <c r="C175" s="279" t="s">
        <v>231</v>
      </c>
      <c r="D175" s="955">
        <v>175070</v>
      </c>
      <c r="E175" s="843">
        <v>106970672</v>
      </c>
      <c r="F175" s="873">
        <v>51794322</v>
      </c>
      <c r="G175" s="873">
        <v>-2405363</v>
      </c>
      <c r="H175" s="873">
        <v>1170869</v>
      </c>
      <c r="I175" s="873">
        <v>-1234494</v>
      </c>
      <c r="J175" s="873">
        <v>-3546563</v>
      </c>
      <c r="K175" s="873">
        <v>-60028</v>
      </c>
      <c r="L175" s="873">
        <v>-5152</v>
      </c>
      <c r="M175" s="873">
        <v>-20000</v>
      </c>
      <c r="N175" s="873">
        <v>-1260510</v>
      </c>
      <c r="O175" s="873">
        <v>-94257</v>
      </c>
      <c r="P175" s="873">
        <v>-721738</v>
      </c>
      <c r="Q175" s="873">
        <v>-4590</v>
      </c>
      <c r="R175" s="873">
        <v>-5152</v>
      </c>
      <c r="S175" s="873">
        <v>0</v>
      </c>
      <c r="T175" s="873">
        <v>0</v>
      </c>
      <c r="U175" s="873">
        <v>0</v>
      </c>
      <c r="V175" s="873">
        <v>0</v>
      </c>
      <c r="W175" s="873">
        <v>-31497</v>
      </c>
      <c r="X175" s="873">
        <v>-2754</v>
      </c>
      <c r="Y175" s="873">
        <v>-753877</v>
      </c>
      <c r="Z175" s="873">
        <v>43930725</v>
      </c>
      <c r="AA175" s="873">
        <v>-305000</v>
      </c>
      <c r="AB175" s="874"/>
      <c r="AC175" s="873">
        <v>237</v>
      </c>
      <c r="AD175" s="873">
        <v>10</v>
      </c>
      <c r="AE175" s="873">
        <v>4</v>
      </c>
      <c r="AF175" s="873">
        <v>2</v>
      </c>
      <c r="AG175" s="873">
        <v>349</v>
      </c>
      <c r="AH175" s="873">
        <v>88</v>
      </c>
      <c r="AI175" s="873">
        <v>13</v>
      </c>
      <c r="AJ175" s="873">
        <v>6</v>
      </c>
      <c r="AK175" s="873">
        <v>4</v>
      </c>
      <c r="AL175" s="873">
        <v>0</v>
      </c>
      <c r="AM175" s="873">
        <v>0</v>
      </c>
      <c r="AN175" s="873">
        <v>0</v>
      </c>
      <c r="AO175" s="873">
        <v>1583</v>
      </c>
      <c r="AP175" s="873">
        <v>1250</v>
      </c>
      <c r="AQ175" s="873">
        <v>754</v>
      </c>
      <c r="AR175" s="873">
        <v>496</v>
      </c>
      <c r="AS175" s="873">
        <v>1348</v>
      </c>
      <c r="AT175" s="843">
        <v>4184</v>
      </c>
      <c r="AU175" s="663"/>
      <c r="AV175" s="663"/>
      <c r="AX175" s="666"/>
      <c r="AY175" s="666"/>
      <c r="AZ175" s="666"/>
      <c r="BA175" s="666"/>
      <c r="BB175" s="666"/>
      <c r="BD175" s="666"/>
      <c r="BE175" s="666"/>
      <c r="BG175" s="666"/>
      <c r="BI175" s="666"/>
      <c r="BJ175" s="666"/>
      <c r="BK175" s="666"/>
    </row>
    <row r="176" spans="1:63" ht="12.75" x14ac:dyDescent="0.2">
      <c r="A176" s="288">
        <v>169</v>
      </c>
      <c r="B176" s="290" t="s">
        <v>232</v>
      </c>
      <c r="C176" s="279" t="s">
        <v>233</v>
      </c>
      <c r="D176" s="955">
        <v>177304</v>
      </c>
      <c r="E176" s="843">
        <v>108476369</v>
      </c>
      <c r="F176" s="873">
        <v>52936149</v>
      </c>
      <c r="G176" s="873">
        <v>-2433106</v>
      </c>
      <c r="H176" s="873">
        <v>1225521</v>
      </c>
      <c r="I176" s="873">
        <v>-1207585</v>
      </c>
      <c r="J176" s="873">
        <v>-4952973</v>
      </c>
      <c r="K176" s="873">
        <v>-20509</v>
      </c>
      <c r="L176" s="873">
        <v>0</v>
      </c>
      <c r="M176" s="873">
        <v>0</v>
      </c>
      <c r="N176" s="873">
        <v>-2300000</v>
      </c>
      <c r="O176" s="873">
        <v>-4911</v>
      </c>
      <c r="P176" s="873">
        <v>-23401</v>
      </c>
      <c r="Q176" s="873">
        <v>-5127</v>
      </c>
      <c r="R176" s="873">
        <v>0</v>
      </c>
      <c r="S176" s="873">
        <v>0</v>
      </c>
      <c r="T176" s="873">
        <v>-970000</v>
      </c>
      <c r="U176" s="873">
        <v>0</v>
      </c>
      <c r="V176" s="873">
        <v>0</v>
      </c>
      <c r="W176" s="873">
        <v>0</v>
      </c>
      <c r="X176" s="873">
        <v>-40000</v>
      </c>
      <c r="Y176" s="873">
        <v>-500000</v>
      </c>
      <c r="Z176" s="873">
        <v>42911643</v>
      </c>
      <c r="AA176" s="873">
        <v>-1400000</v>
      </c>
      <c r="AB176" s="874"/>
      <c r="AC176" s="873">
        <v>213</v>
      </c>
      <c r="AD176" s="873">
        <v>5</v>
      </c>
      <c r="AE176" s="873">
        <v>0</v>
      </c>
      <c r="AF176" s="873">
        <v>0</v>
      </c>
      <c r="AG176" s="873">
        <v>504</v>
      </c>
      <c r="AH176" s="873">
        <v>4</v>
      </c>
      <c r="AI176" s="873">
        <v>3</v>
      </c>
      <c r="AJ176" s="873">
        <v>1</v>
      </c>
      <c r="AK176" s="873">
        <v>0</v>
      </c>
      <c r="AL176" s="873">
        <v>0</v>
      </c>
      <c r="AM176" s="873">
        <v>0</v>
      </c>
      <c r="AN176" s="873">
        <v>0</v>
      </c>
      <c r="AO176" s="873">
        <v>1538</v>
      </c>
      <c r="AP176" s="873">
        <v>1332</v>
      </c>
      <c r="AQ176" s="873">
        <v>1002</v>
      </c>
      <c r="AR176" s="873">
        <v>330</v>
      </c>
      <c r="AS176" s="873">
        <v>1361</v>
      </c>
      <c r="AT176" s="843">
        <v>4236</v>
      </c>
      <c r="AU176" s="663"/>
      <c r="AV176" s="663"/>
      <c r="AX176" s="666"/>
      <c r="AY176" s="666"/>
      <c r="AZ176" s="666"/>
      <c r="BA176" s="666"/>
      <c r="BB176" s="666"/>
      <c r="BD176" s="666"/>
      <c r="BE176" s="666"/>
      <c r="BG176" s="666"/>
      <c r="BI176" s="666"/>
      <c r="BJ176" s="666"/>
      <c r="BK176" s="666"/>
    </row>
    <row r="177" spans="1:63" ht="12.75" x14ac:dyDescent="0.2">
      <c r="A177" s="288">
        <v>170</v>
      </c>
      <c r="B177" s="290" t="s">
        <v>234</v>
      </c>
      <c r="C177" s="279" t="s">
        <v>235</v>
      </c>
      <c r="D177" s="955">
        <v>384606</v>
      </c>
      <c r="E177" s="843">
        <v>364483234</v>
      </c>
      <c r="F177" s="873">
        <v>177334941</v>
      </c>
      <c r="G177" s="873">
        <v>-3662820</v>
      </c>
      <c r="H177" s="873">
        <v>3697319</v>
      </c>
      <c r="I177" s="873">
        <v>34499</v>
      </c>
      <c r="J177" s="873">
        <v>-9051744</v>
      </c>
      <c r="K177" s="873">
        <v>-64436</v>
      </c>
      <c r="L177" s="873">
        <v>-13260</v>
      </c>
      <c r="M177" s="873">
        <v>-341700</v>
      </c>
      <c r="N177" s="873">
        <v>-4288080</v>
      </c>
      <c r="O177" s="873">
        <v>-488910</v>
      </c>
      <c r="P177" s="873">
        <v>0</v>
      </c>
      <c r="Q177" s="873">
        <v>-16610</v>
      </c>
      <c r="R177" s="873">
        <v>0</v>
      </c>
      <c r="S177" s="873">
        <v>0</v>
      </c>
      <c r="T177" s="873">
        <v>-252000</v>
      </c>
      <c r="U177" s="873">
        <v>0</v>
      </c>
      <c r="V177" s="873">
        <v>0</v>
      </c>
      <c r="W177" s="873">
        <v>-20000</v>
      </c>
      <c r="X177" s="873">
        <v>-12000</v>
      </c>
      <c r="Y177" s="873">
        <v>-1092400</v>
      </c>
      <c r="Z177" s="873">
        <v>161728300</v>
      </c>
      <c r="AA177" s="873">
        <v>-4550000</v>
      </c>
      <c r="AB177" s="874"/>
      <c r="AC177" s="873">
        <v>362</v>
      </c>
      <c r="AD177" s="873">
        <v>19</v>
      </c>
      <c r="AE177" s="873">
        <v>12</v>
      </c>
      <c r="AF177" s="873">
        <v>2</v>
      </c>
      <c r="AG177" s="873">
        <v>981</v>
      </c>
      <c r="AH177" s="873">
        <v>180</v>
      </c>
      <c r="AI177" s="873">
        <v>1</v>
      </c>
      <c r="AJ177" s="873">
        <v>19</v>
      </c>
      <c r="AK177" s="873">
        <v>0</v>
      </c>
      <c r="AL177" s="873">
        <v>0</v>
      </c>
      <c r="AM177" s="873">
        <v>0</v>
      </c>
      <c r="AN177" s="873">
        <v>0</v>
      </c>
      <c r="AO177" s="873">
        <v>3435</v>
      </c>
      <c r="AP177" s="873">
        <v>1731</v>
      </c>
      <c r="AQ177" s="873">
        <v>970</v>
      </c>
      <c r="AR177" s="873">
        <v>761</v>
      </c>
      <c r="AS177" s="873">
        <v>746</v>
      </c>
      <c r="AT177" s="843">
        <v>7196</v>
      </c>
      <c r="AU177" s="663"/>
      <c r="AV177" s="663"/>
      <c r="AX177" s="666"/>
      <c r="AY177" s="666"/>
      <c r="AZ177" s="666"/>
      <c r="BA177" s="666"/>
      <c r="BB177" s="666"/>
      <c r="BD177" s="666"/>
      <c r="BE177" s="666"/>
      <c r="BG177" s="666"/>
      <c r="BI177" s="666"/>
      <c r="BJ177" s="666"/>
      <c r="BK177" s="666"/>
    </row>
    <row r="178" spans="1:63" ht="12.75" x14ac:dyDescent="0.2">
      <c r="A178" s="288">
        <v>171</v>
      </c>
      <c r="B178" s="290" t="s">
        <v>236</v>
      </c>
      <c r="C178" s="279" t="s">
        <v>237</v>
      </c>
      <c r="D178" s="955">
        <v>152082</v>
      </c>
      <c r="E178" s="843">
        <v>90250306</v>
      </c>
      <c r="F178" s="873">
        <v>43513830</v>
      </c>
      <c r="G178" s="873">
        <v>-1814506</v>
      </c>
      <c r="H178" s="873">
        <v>994305</v>
      </c>
      <c r="I178" s="873">
        <v>-820201</v>
      </c>
      <c r="J178" s="873">
        <v>-2131594</v>
      </c>
      <c r="K178" s="873">
        <v>-30714</v>
      </c>
      <c r="L178" s="873">
        <v>-10649</v>
      </c>
      <c r="M178" s="873">
        <v>-15000</v>
      </c>
      <c r="N178" s="873">
        <v>-933630</v>
      </c>
      <c r="O178" s="873">
        <v>-22666</v>
      </c>
      <c r="P178" s="873">
        <v>-13868</v>
      </c>
      <c r="Q178" s="873">
        <v>-1786</v>
      </c>
      <c r="R178" s="873">
        <v>-9293</v>
      </c>
      <c r="S178" s="873">
        <v>-28166</v>
      </c>
      <c r="T178" s="873">
        <v>0</v>
      </c>
      <c r="U178" s="873">
        <v>0</v>
      </c>
      <c r="V178" s="873">
        <v>0</v>
      </c>
      <c r="W178" s="873">
        <v>-250000</v>
      </c>
      <c r="X178" s="873">
        <v>-8587</v>
      </c>
      <c r="Y178" s="873">
        <v>-439494</v>
      </c>
      <c r="Z178" s="873">
        <v>38798182</v>
      </c>
      <c r="AA178" s="873">
        <v>-623000</v>
      </c>
      <c r="AB178" s="874"/>
      <c r="AC178" s="873">
        <v>188</v>
      </c>
      <c r="AD178" s="873">
        <v>16</v>
      </c>
      <c r="AE178" s="873">
        <v>8</v>
      </c>
      <c r="AF178" s="873">
        <v>1</v>
      </c>
      <c r="AG178" s="873">
        <v>327</v>
      </c>
      <c r="AH178" s="873">
        <v>60</v>
      </c>
      <c r="AI178" s="873">
        <v>11</v>
      </c>
      <c r="AJ178" s="873">
        <v>12</v>
      </c>
      <c r="AK178" s="873">
        <v>15</v>
      </c>
      <c r="AL178" s="873">
        <v>1</v>
      </c>
      <c r="AM178" s="873">
        <v>0</v>
      </c>
      <c r="AN178" s="873">
        <v>0</v>
      </c>
      <c r="AO178" s="873">
        <v>1289</v>
      </c>
      <c r="AP178" s="873">
        <v>951</v>
      </c>
      <c r="AQ178" s="873">
        <v>534</v>
      </c>
      <c r="AR178" s="873">
        <v>417</v>
      </c>
      <c r="AS178" s="873">
        <v>937</v>
      </c>
      <c r="AT178" s="843">
        <v>3233</v>
      </c>
      <c r="AU178" s="663"/>
      <c r="AV178" s="663"/>
      <c r="AX178" s="666"/>
      <c r="AY178" s="666"/>
      <c r="AZ178" s="666"/>
      <c r="BA178" s="666"/>
      <c r="BB178" s="666"/>
      <c r="BD178" s="666"/>
      <c r="BE178" s="666"/>
      <c r="BG178" s="666"/>
      <c r="BI178" s="666"/>
      <c r="BJ178" s="666"/>
      <c r="BK178" s="666"/>
    </row>
    <row r="179" spans="1:63" ht="12.75" x14ac:dyDescent="0.2">
      <c r="A179" s="288">
        <v>172</v>
      </c>
      <c r="B179" s="290" t="s">
        <v>238</v>
      </c>
      <c r="C179" s="279" t="s">
        <v>239</v>
      </c>
      <c r="D179" s="955">
        <v>281907</v>
      </c>
      <c r="E179" s="843">
        <v>156589120</v>
      </c>
      <c r="F179" s="873">
        <v>74599358</v>
      </c>
      <c r="G179" s="873">
        <v>-4251812</v>
      </c>
      <c r="H179" s="873">
        <v>1689369</v>
      </c>
      <c r="I179" s="873">
        <v>-2562443</v>
      </c>
      <c r="J179" s="873">
        <v>-3223855</v>
      </c>
      <c r="K179" s="873">
        <v>-131434</v>
      </c>
      <c r="L179" s="873">
        <v>-18950</v>
      </c>
      <c r="M179" s="873">
        <v>-164190</v>
      </c>
      <c r="N179" s="873">
        <v>-1323473</v>
      </c>
      <c r="O179" s="873">
        <v>-101045</v>
      </c>
      <c r="P179" s="873">
        <v>-40742</v>
      </c>
      <c r="Q179" s="873">
        <v>0</v>
      </c>
      <c r="R179" s="873">
        <v>-15439</v>
      </c>
      <c r="S179" s="873">
        <v>0</v>
      </c>
      <c r="T179" s="873">
        <v>0</v>
      </c>
      <c r="U179" s="873">
        <v>0</v>
      </c>
      <c r="V179" s="873">
        <v>0</v>
      </c>
      <c r="W179" s="873">
        <v>-20000</v>
      </c>
      <c r="X179" s="873">
        <v>-45000</v>
      </c>
      <c r="Y179" s="873">
        <v>-1196000</v>
      </c>
      <c r="Z179" s="873">
        <v>65702613</v>
      </c>
      <c r="AA179" s="873">
        <v>-1345283</v>
      </c>
      <c r="AB179" s="874"/>
      <c r="AC179" s="873">
        <v>332</v>
      </c>
      <c r="AD179" s="873">
        <v>22</v>
      </c>
      <c r="AE179" s="873">
        <v>11</v>
      </c>
      <c r="AF179" s="873">
        <v>3</v>
      </c>
      <c r="AG179" s="873">
        <v>296</v>
      </c>
      <c r="AH179" s="873">
        <v>143</v>
      </c>
      <c r="AI179" s="873">
        <v>9</v>
      </c>
      <c r="AJ179" s="873">
        <v>0</v>
      </c>
      <c r="AK179" s="873">
        <v>8</v>
      </c>
      <c r="AL179" s="873">
        <v>0</v>
      </c>
      <c r="AM179" s="873">
        <v>0</v>
      </c>
      <c r="AN179" s="873">
        <v>0</v>
      </c>
      <c r="AO179" s="873">
        <v>2048</v>
      </c>
      <c r="AP179" s="873">
        <v>2820</v>
      </c>
      <c r="AQ179" s="873">
        <v>1946</v>
      </c>
      <c r="AR179" s="873">
        <v>874</v>
      </c>
      <c r="AS179" s="873">
        <v>1555</v>
      </c>
      <c r="AT179" s="843">
        <v>6598</v>
      </c>
      <c r="AU179" s="663"/>
      <c r="AV179" s="663"/>
      <c r="AX179" s="666"/>
      <c r="AY179" s="666"/>
      <c r="AZ179" s="666"/>
      <c r="BA179" s="666"/>
      <c r="BB179" s="666"/>
      <c r="BD179" s="666"/>
      <c r="BE179" s="666"/>
      <c r="BG179" s="666"/>
      <c r="BI179" s="666"/>
      <c r="BJ179" s="666"/>
      <c r="BK179" s="666"/>
    </row>
    <row r="180" spans="1:63" ht="12.75" x14ac:dyDescent="0.2">
      <c r="A180" s="288">
        <v>173</v>
      </c>
      <c r="B180" s="290" t="s">
        <v>240</v>
      </c>
      <c r="C180" s="279" t="s">
        <v>241</v>
      </c>
      <c r="D180" s="955">
        <v>164289</v>
      </c>
      <c r="E180" s="843">
        <v>92795644</v>
      </c>
      <c r="F180" s="873">
        <v>44688725</v>
      </c>
      <c r="G180" s="873">
        <v>-2520288</v>
      </c>
      <c r="H180" s="873">
        <v>1019853</v>
      </c>
      <c r="I180" s="873">
        <v>-1500435</v>
      </c>
      <c r="J180" s="873">
        <v>-1504224</v>
      </c>
      <c r="K180" s="873">
        <v>-86788</v>
      </c>
      <c r="L180" s="873">
        <v>-28922</v>
      </c>
      <c r="M180" s="873">
        <v>0</v>
      </c>
      <c r="N180" s="873">
        <v>-656393</v>
      </c>
      <c r="O180" s="873">
        <v>-43789</v>
      </c>
      <c r="P180" s="873">
        <v>-36469</v>
      </c>
      <c r="Q180" s="873">
        <v>0</v>
      </c>
      <c r="R180" s="873">
        <v>-4460</v>
      </c>
      <c r="S180" s="873">
        <v>0</v>
      </c>
      <c r="T180" s="873">
        <v>0</v>
      </c>
      <c r="U180" s="873">
        <v>0</v>
      </c>
      <c r="V180" s="873">
        <v>0</v>
      </c>
      <c r="W180" s="873">
        <v>0</v>
      </c>
      <c r="X180" s="873">
        <v>0</v>
      </c>
      <c r="Y180" s="873">
        <v>-350000</v>
      </c>
      <c r="Z180" s="873">
        <v>40327245</v>
      </c>
      <c r="AA180" s="873">
        <v>-450000</v>
      </c>
      <c r="AB180" s="874"/>
      <c r="AC180" s="873">
        <v>210</v>
      </c>
      <c r="AD180" s="873">
        <v>21</v>
      </c>
      <c r="AE180" s="873">
        <v>24</v>
      </c>
      <c r="AF180" s="873">
        <v>0</v>
      </c>
      <c r="AG180" s="873">
        <v>343</v>
      </c>
      <c r="AH180" s="873">
        <v>89</v>
      </c>
      <c r="AI180" s="873">
        <v>19</v>
      </c>
      <c r="AJ180" s="873">
        <v>0</v>
      </c>
      <c r="AK180" s="873">
        <v>6</v>
      </c>
      <c r="AL180" s="873">
        <v>0</v>
      </c>
      <c r="AM180" s="873">
        <v>0</v>
      </c>
      <c r="AN180" s="873">
        <v>0</v>
      </c>
      <c r="AO180" s="873">
        <v>1330</v>
      </c>
      <c r="AP180" s="873">
        <v>1478</v>
      </c>
      <c r="AQ180" s="873">
        <v>1096</v>
      </c>
      <c r="AR180" s="873">
        <v>382</v>
      </c>
      <c r="AS180" s="873">
        <v>1189</v>
      </c>
      <c r="AT180" s="843">
        <v>3942</v>
      </c>
      <c r="AU180" s="663"/>
      <c r="AV180" s="663"/>
      <c r="AX180" s="666"/>
      <c r="AY180" s="666"/>
      <c r="AZ180" s="666"/>
      <c r="BA180" s="666"/>
      <c r="BB180" s="666"/>
      <c r="BD180" s="666"/>
      <c r="BE180" s="666"/>
      <c r="BG180" s="666"/>
      <c r="BI180" s="666"/>
      <c r="BJ180" s="666"/>
      <c r="BK180" s="666"/>
    </row>
    <row r="181" spans="1:63" ht="12.75" x14ac:dyDescent="0.2">
      <c r="A181" s="288">
        <v>174</v>
      </c>
      <c r="B181" s="290" t="s">
        <v>242</v>
      </c>
      <c r="C181" s="279" t="s">
        <v>243</v>
      </c>
      <c r="D181" s="955">
        <v>472115</v>
      </c>
      <c r="E181" s="843">
        <v>381339685</v>
      </c>
      <c r="F181" s="873">
        <v>184306237</v>
      </c>
      <c r="G181" s="873">
        <v>-4991813</v>
      </c>
      <c r="H181" s="873">
        <v>4544805</v>
      </c>
      <c r="I181" s="873">
        <v>-447008</v>
      </c>
      <c r="J181" s="873">
        <v>-13927788</v>
      </c>
      <c r="K181" s="873">
        <v>-109298</v>
      </c>
      <c r="L181" s="873">
        <v>-2206</v>
      </c>
      <c r="M181" s="873">
        <v>-350000</v>
      </c>
      <c r="N181" s="873">
        <v>-6370114</v>
      </c>
      <c r="O181" s="873">
        <v>-179956</v>
      </c>
      <c r="P181" s="873">
        <v>-419046</v>
      </c>
      <c r="Q181" s="873">
        <v>-19793</v>
      </c>
      <c r="R181" s="873">
        <v>0</v>
      </c>
      <c r="S181" s="873">
        <v>0</v>
      </c>
      <c r="T181" s="873">
        <v>0</v>
      </c>
      <c r="U181" s="873">
        <v>0</v>
      </c>
      <c r="V181" s="873">
        <v>0</v>
      </c>
      <c r="W181" s="873">
        <v>-696555</v>
      </c>
      <c r="X181" s="873">
        <v>-676192</v>
      </c>
      <c r="Y181" s="873">
        <v>-1236227</v>
      </c>
      <c r="Z181" s="873">
        <v>159872054</v>
      </c>
      <c r="AA181" s="873">
        <v>-2821409</v>
      </c>
      <c r="AB181" s="874"/>
      <c r="AC181" s="873">
        <v>578</v>
      </c>
      <c r="AD181" s="873">
        <v>15</v>
      </c>
      <c r="AE181" s="873">
        <v>2</v>
      </c>
      <c r="AF181" s="873">
        <v>2</v>
      </c>
      <c r="AG181" s="873">
        <v>1617</v>
      </c>
      <c r="AH181" s="873">
        <v>34</v>
      </c>
      <c r="AI181" s="873">
        <v>3</v>
      </c>
      <c r="AJ181" s="873">
        <v>0</v>
      </c>
      <c r="AK181" s="873">
        <v>0</v>
      </c>
      <c r="AL181" s="873">
        <v>0</v>
      </c>
      <c r="AM181" s="873">
        <v>0</v>
      </c>
      <c r="AN181" s="873">
        <v>0</v>
      </c>
      <c r="AO181" s="873">
        <v>4498</v>
      </c>
      <c r="AP181" s="873">
        <v>2828</v>
      </c>
      <c r="AQ181" s="873">
        <v>1914</v>
      </c>
      <c r="AR181" s="873">
        <v>914</v>
      </c>
      <c r="AS181" s="873">
        <v>3019</v>
      </c>
      <c r="AT181" s="843">
        <v>10373</v>
      </c>
      <c r="AU181" s="663"/>
      <c r="AV181" s="663"/>
      <c r="AX181" s="666"/>
      <c r="AY181" s="666"/>
      <c r="AZ181" s="666"/>
      <c r="BA181" s="666"/>
      <c r="BB181" s="666"/>
      <c r="BD181" s="666"/>
      <c r="BE181" s="666"/>
      <c r="BG181" s="666"/>
      <c r="BI181" s="666"/>
      <c r="BJ181" s="666"/>
      <c r="BK181" s="666"/>
    </row>
    <row r="182" spans="1:63" ht="12.75" x14ac:dyDescent="0.2">
      <c r="A182" s="288">
        <v>175</v>
      </c>
      <c r="B182" s="290" t="s">
        <v>244</v>
      </c>
      <c r="C182" s="279" t="s">
        <v>245</v>
      </c>
      <c r="D182" s="955">
        <v>139651</v>
      </c>
      <c r="E182" s="843">
        <v>86197791</v>
      </c>
      <c r="F182" s="873">
        <v>39949860</v>
      </c>
      <c r="G182" s="873">
        <v>-2190140</v>
      </c>
      <c r="H182" s="873">
        <v>909832</v>
      </c>
      <c r="I182" s="873">
        <v>-1280308</v>
      </c>
      <c r="J182" s="873">
        <v>-2630475</v>
      </c>
      <c r="K182" s="873">
        <v>-15066</v>
      </c>
      <c r="L182" s="873">
        <v>-13434</v>
      </c>
      <c r="M182" s="873">
        <v>0</v>
      </c>
      <c r="N182" s="873">
        <v>-594812</v>
      </c>
      <c r="O182" s="873">
        <v>-26782</v>
      </c>
      <c r="P182" s="873">
        <v>-110468</v>
      </c>
      <c r="Q182" s="873">
        <v>0</v>
      </c>
      <c r="R182" s="873">
        <v>0</v>
      </c>
      <c r="S182" s="873">
        <v>0</v>
      </c>
      <c r="T182" s="873">
        <v>0</v>
      </c>
      <c r="U182" s="873">
        <v>0</v>
      </c>
      <c r="V182" s="873">
        <v>0</v>
      </c>
      <c r="W182" s="873">
        <v>0</v>
      </c>
      <c r="X182" s="873">
        <v>-3850</v>
      </c>
      <c r="Y182" s="873">
        <v>-918755</v>
      </c>
      <c r="Z182" s="873">
        <v>34355910</v>
      </c>
      <c r="AA182" s="873">
        <v>-1004019</v>
      </c>
      <c r="AB182" s="874"/>
      <c r="AC182" s="873">
        <v>135</v>
      </c>
      <c r="AD182" s="873">
        <v>2</v>
      </c>
      <c r="AE182" s="873">
        <v>11</v>
      </c>
      <c r="AF182" s="873">
        <v>11</v>
      </c>
      <c r="AG182" s="873">
        <v>284</v>
      </c>
      <c r="AH182" s="873">
        <v>33</v>
      </c>
      <c r="AI182" s="873">
        <v>50</v>
      </c>
      <c r="AJ182" s="873">
        <v>0</v>
      </c>
      <c r="AK182" s="873">
        <v>0</v>
      </c>
      <c r="AL182" s="873">
        <v>0</v>
      </c>
      <c r="AM182" s="873">
        <v>0</v>
      </c>
      <c r="AN182" s="873">
        <v>0</v>
      </c>
      <c r="AO182" s="873">
        <v>1195</v>
      </c>
      <c r="AP182" s="873">
        <v>1249</v>
      </c>
      <c r="AQ182" s="873">
        <v>825</v>
      </c>
      <c r="AR182" s="873">
        <v>424</v>
      </c>
      <c r="AS182" s="873">
        <v>958</v>
      </c>
      <c r="AT182" s="843">
        <v>3329</v>
      </c>
      <c r="AU182" s="663"/>
      <c r="AV182" s="663"/>
      <c r="AX182" s="666"/>
      <c r="AY182" s="666"/>
      <c r="AZ182" s="666"/>
      <c r="BA182" s="666"/>
      <c r="BB182" s="666"/>
      <c r="BD182" s="666"/>
      <c r="BE182" s="666"/>
      <c r="BG182" s="666"/>
      <c r="BI182" s="666"/>
      <c r="BJ182" s="666"/>
      <c r="BK182" s="666"/>
    </row>
    <row r="183" spans="1:63" ht="12.75" x14ac:dyDescent="0.2">
      <c r="A183" s="288">
        <v>176</v>
      </c>
      <c r="B183" s="290" t="s">
        <v>246</v>
      </c>
      <c r="C183" s="279" t="s">
        <v>247</v>
      </c>
      <c r="D183" s="955">
        <v>373571</v>
      </c>
      <c r="E183" s="843">
        <v>316463124</v>
      </c>
      <c r="F183" s="873">
        <v>149862751</v>
      </c>
      <c r="G183" s="873">
        <v>-3228344</v>
      </c>
      <c r="H183" s="873">
        <v>3516181</v>
      </c>
      <c r="I183" s="873">
        <v>287837</v>
      </c>
      <c r="J183" s="873">
        <v>-9618499</v>
      </c>
      <c r="K183" s="873">
        <v>0</v>
      </c>
      <c r="L183" s="873">
        <v>0</v>
      </c>
      <c r="M183" s="873">
        <v>0</v>
      </c>
      <c r="N183" s="873">
        <v>-3644641</v>
      </c>
      <c r="O183" s="873">
        <v>0</v>
      </c>
      <c r="P183" s="873">
        <v>0</v>
      </c>
      <c r="Q183" s="873">
        <v>0</v>
      </c>
      <c r="R183" s="873">
        <v>0</v>
      </c>
      <c r="S183" s="873">
        <v>0</v>
      </c>
      <c r="T183" s="873">
        <v>0</v>
      </c>
      <c r="U183" s="873">
        <v>-177210</v>
      </c>
      <c r="V183" s="873">
        <v>0</v>
      </c>
      <c r="W183" s="873">
        <v>0</v>
      </c>
      <c r="X183" s="873">
        <v>0</v>
      </c>
      <c r="Y183" s="873">
        <v>-1001745.8</v>
      </c>
      <c r="Z183" s="873">
        <v>135885702</v>
      </c>
      <c r="AA183" s="873">
        <v>-7168798</v>
      </c>
      <c r="AB183" s="874"/>
      <c r="AC183" s="873">
        <v>328</v>
      </c>
      <c r="AD183" s="873">
        <v>0</v>
      </c>
      <c r="AE183" s="873">
        <v>0</v>
      </c>
      <c r="AF183" s="873">
        <v>0</v>
      </c>
      <c r="AG183" s="873">
        <v>399</v>
      </c>
      <c r="AH183" s="873">
        <v>0</v>
      </c>
      <c r="AI183" s="873">
        <v>0</v>
      </c>
      <c r="AJ183" s="873">
        <v>0</v>
      </c>
      <c r="AK183" s="873">
        <v>0</v>
      </c>
      <c r="AL183" s="873">
        <v>0</v>
      </c>
      <c r="AM183" s="873">
        <v>9</v>
      </c>
      <c r="AN183" s="873">
        <v>0</v>
      </c>
      <c r="AO183" s="873">
        <v>2565</v>
      </c>
      <c r="AP183" s="873">
        <v>2256</v>
      </c>
      <c r="AQ183" s="873">
        <v>983</v>
      </c>
      <c r="AR183" s="873">
        <v>1273</v>
      </c>
      <c r="AS183" s="873">
        <v>2378</v>
      </c>
      <c r="AT183" s="843">
        <v>7275</v>
      </c>
      <c r="AU183" s="663"/>
      <c r="AV183" s="663"/>
      <c r="AX183" s="666"/>
      <c r="AY183" s="666"/>
      <c r="AZ183" s="666"/>
      <c r="BA183" s="666"/>
      <c r="BB183" s="666"/>
      <c r="BD183" s="666"/>
      <c r="BE183" s="666"/>
      <c r="BG183" s="666"/>
      <c r="BI183" s="666"/>
      <c r="BJ183" s="666"/>
      <c r="BK183" s="666"/>
    </row>
    <row r="184" spans="1:63" ht="12.75" x14ac:dyDescent="0.2">
      <c r="A184" s="288">
        <v>177</v>
      </c>
      <c r="B184" s="290" t="s">
        <v>248</v>
      </c>
      <c r="C184" s="279" t="s">
        <v>249</v>
      </c>
      <c r="D184" s="955">
        <v>204326</v>
      </c>
      <c r="E184" s="843">
        <v>85680199</v>
      </c>
      <c r="F184" s="873">
        <v>41019022</v>
      </c>
      <c r="G184" s="873">
        <v>-4320586</v>
      </c>
      <c r="H184" s="873">
        <v>824985</v>
      </c>
      <c r="I184" s="873">
        <v>-3495601</v>
      </c>
      <c r="J184" s="873">
        <v>-2140415</v>
      </c>
      <c r="K184" s="873">
        <v>-128803</v>
      </c>
      <c r="L184" s="873">
        <v>-38257</v>
      </c>
      <c r="M184" s="873">
        <v>-19000</v>
      </c>
      <c r="N184" s="873">
        <v>-487671</v>
      </c>
      <c r="O184" s="873">
        <v>-124574</v>
      </c>
      <c r="P184" s="873">
        <v>-159139</v>
      </c>
      <c r="Q184" s="873">
        <v>-9719</v>
      </c>
      <c r="R184" s="873">
        <v>-10106</v>
      </c>
      <c r="S184" s="873">
        <v>-15086</v>
      </c>
      <c r="T184" s="873">
        <v>0</v>
      </c>
      <c r="U184" s="873">
        <v>0</v>
      </c>
      <c r="V184" s="873">
        <v>0</v>
      </c>
      <c r="W184" s="873">
        <v>0</v>
      </c>
      <c r="X184" s="873">
        <v>-9331</v>
      </c>
      <c r="Y184" s="873">
        <v>-808774</v>
      </c>
      <c r="Z184" s="873">
        <v>33052282</v>
      </c>
      <c r="AA184" s="873">
        <v>-231366</v>
      </c>
      <c r="AB184" s="874"/>
      <c r="AC184" s="873">
        <v>281</v>
      </c>
      <c r="AD184" s="873">
        <v>41</v>
      </c>
      <c r="AE184" s="873">
        <v>30</v>
      </c>
      <c r="AF184" s="873">
        <v>3</v>
      </c>
      <c r="AG184" s="873">
        <v>169</v>
      </c>
      <c r="AH184" s="873">
        <v>164</v>
      </c>
      <c r="AI184" s="873">
        <v>13</v>
      </c>
      <c r="AJ184" s="873">
        <v>41</v>
      </c>
      <c r="AK184" s="873">
        <v>17</v>
      </c>
      <c r="AL184" s="873">
        <v>7</v>
      </c>
      <c r="AM184" s="873">
        <v>0</v>
      </c>
      <c r="AN184" s="873">
        <v>0</v>
      </c>
      <c r="AO184" s="873">
        <v>1363</v>
      </c>
      <c r="AP184" s="873">
        <v>2357</v>
      </c>
      <c r="AQ184" s="873">
        <v>1773</v>
      </c>
      <c r="AR184" s="873">
        <v>584</v>
      </c>
      <c r="AS184" s="873">
        <v>1450</v>
      </c>
      <c r="AT184" s="843">
        <v>5267</v>
      </c>
      <c r="AU184" s="663"/>
      <c r="AV184" s="663"/>
      <c r="AX184" s="666"/>
      <c r="AY184" s="666"/>
      <c r="AZ184" s="666"/>
      <c r="BA184" s="666"/>
      <c r="BB184" s="666"/>
      <c r="BD184" s="666"/>
      <c r="BE184" s="666"/>
      <c r="BG184" s="666"/>
      <c r="BI184" s="666"/>
      <c r="BJ184" s="666"/>
      <c r="BK184" s="666"/>
    </row>
    <row r="185" spans="1:63" ht="12.75" x14ac:dyDescent="0.2">
      <c r="A185" s="288">
        <v>178</v>
      </c>
      <c r="B185" s="290" t="s">
        <v>250</v>
      </c>
      <c r="C185" s="279" t="s">
        <v>251</v>
      </c>
      <c r="D185" s="955">
        <v>92786</v>
      </c>
      <c r="E185" s="843">
        <v>38987605</v>
      </c>
      <c r="F185" s="873">
        <v>18254042</v>
      </c>
      <c r="G185" s="873">
        <v>-1777393</v>
      </c>
      <c r="H185" s="873">
        <v>373069</v>
      </c>
      <c r="I185" s="873">
        <v>-1404324</v>
      </c>
      <c r="J185" s="873">
        <v>-2657411</v>
      </c>
      <c r="K185" s="873">
        <v>0</v>
      </c>
      <c r="L185" s="873">
        <v>-43717</v>
      </c>
      <c r="M185" s="873">
        <v>0</v>
      </c>
      <c r="N185" s="873">
        <v>-205411</v>
      </c>
      <c r="O185" s="873">
        <v>-29557</v>
      </c>
      <c r="P185" s="873">
        <v>-4150</v>
      </c>
      <c r="Q185" s="873">
        <v>0</v>
      </c>
      <c r="R185" s="873">
        <v>-971</v>
      </c>
      <c r="S185" s="873">
        <v>0</v>
      </c>
      <c r="T185" s="873">
        <v>0</v>
      </c>
      <c r="U185" s="873">
        <v>0</v>
      </c>
      <c r="V185" s="873">
        <v>0</v>
      </c>
      <c r="W185" s="873">
        <v>-8750</v>
      </c>
      <c r="X185" s="873">
        <v>0</v>
      </c>
      <c r="Y185" s="873">
        <v>-472817</v>
      </c>
      <c r="Z185" s="873">
        <v>13426934</v>
      </c>
      <c r="AA185" s="873">
        <v>-73018</v>
      </c>
      <c r="AB185" s="874"/>
      <c r="AC185" s="873">
        <v>200</v>
      </c>
      <c r="AD185" s="873">
        <v>0</v>
      </c>
      <c r="AE185" s="873">
        <v>30</v>
      </c>
      <c r="AF185" s="873">
        <v>0</v>
      </c>
      <c r="AG185" s="873">
        <v>75</v>
      </c>
      <c r="AH185" s="873">
        <v>45</v>
      </c>
      <c r="AI185" s="873">
        <v>4</v>
      </c>
      <c r="AJ185" s="873">
        <v>0</v>
      </c>
      <c r="AK185" s="873">
        <v>2</v>
      </c>
      <c r="AL185" s="873">
        <v>0</v>
      </c>
      <c r="AM185" s="873">
        <v>0</v>
      </c>
      <c r="AN185" s="873">
        <v>0</v>
      </c>
      <c r="AO185" s="873">
        <v>731</v>
      </c>
      <c r="AP185" s="873">
        <v>998</v>
      </c>
      <c r="AQ185" s="873">
        <v>697</v>
      </c>
      <c r="AR185" s="873">
        <v>301</v>
      </c>
      <c r="AS185" s="873">
        <v>635</v>
      </c>
      <c r="AT185" s="843">
        <v>2391</v>
      </c>
      <c r="AU185" s="663"/>
      <c r="AV185" s="663"/>
      <c r="AX185" s="666"/>
      <c r="AY185" s="666"/>
      <c r="AZ185" s="666"/>
      <c r="BA185" s="666"/>
      <c r="BB185" s="666"/>
      <c r="BD185" s="666"/>
      <c r="BE185" s="666"/>
      <c r="BG185" s="666"/>
      <c r="BI185" s="666"/>
      <c r="BJ185" s="666"/>
      <c r="BK185" s="666"/>
    </row>
    <row r="186" spans="1:63" ht="12.75" x14ac:dyDescent="0.2">
      <c r="A186" s="288">
        <v>179</v>
      </c>
      <c r="B186" s="290" t="s">
        <v>252</v>
      </c>
      <c r="C186" s="279" t="s">
        <v>253</v>
      </c>
      <c r="D186" s="955">
        <v>97755</v>
      </c>
      <c r="E186" s="843">
        <v>39958142</v>
      </c>
      <c r="F186" s="873">
        <v>19081868</v>
      </c>
      <c r="G186" s="873">
        <v>-1719866</v>
      </c>
      <c r="H186" s="873">
        <v>330905</v>
      </c>
      <c r="I186" s="873">
        <v>-1388961</v>
      </c>
      <c r="J186" s="873">
        <v>-470805</v>
      </c>
      <c r="K186" s="873">
        <v>-10235</v>
      </c>
      <c r="L186" s="873">
        <v>-9533</v>
      </c>
      <c r="M186" s="873">
        <v>-47662</v>
      </c>
      <c r="N186" s="873">
        <v>-210743</v>
      </c>
      <c r="O186" s="873">
        <v>-31296</v>
      </c>
      <c r="P186" s="873">
        <v>-16783</v>
      </c>
      <c r="Q186" s="873">
        <v>-227</v>
      </c>
      <c r="R186" s="873">
        <v>-1263</v>
      </c>
      <c r="S186" s="873">
        <v>0</v>
      </c>
      <c r="T186" s="873">
        <v>0</v>
      </c>
      <c r="U186" s="873">
        <v>0</v>
      </c>
      <c r="V186" s="873">
        <v>0</v>
      </c>
      <c r="W186" s="873">
        <v>0</v>
      </c>
      <c r="X186" s="873">
        <v>0</v>
      </c>
      <c r="Y186" s="873">
        <v>-342243</v>
      </c>
      <c r="Z186" s="873">
        <v>16552117</v>
      </c>
      <c r="AA186" s="873">
        <v>-243917</v>
      </c>
      <c r="AB186" s="874"/>
      <c r="AC186" s="873">
        <v>97</v>
      </c>
      <c r="AD186" s="873">
        <v>4</v>
      </c>
      <c r="AE186" s="873">
        <v>3</v>
      </c>
      <c r="AF186" s="873">
        <v>2</v>
      </c>
      <c r="AG186" s="873">
        <v>129</v>
      </c>
      <c r="AH186" s="873">
        <v>27</v>
      </c>
      <c r="AI186" s="873">
        <v>15</v>
      </c>
      <c r="AJ186" s="873">
        <v>1</v>
      </c>
      <c r="AK186" s="873">
        <v>0</v>
      </c>
      <c r="AL186" s="873">
        <v>1075</v>
      </c>
      <c r="AM186" s="873">
        <v>0</v>
      </c>
      <c r="AN186" s="873">
        <v>0</v>
      </c>
      <c r="AO186" s="873">
        <v>718</v>
      </c>
      <c r="AP186" s="873">
        <v>1075</v>
      </c>
      <c r="AQ186" s="873">
        <v>842</v>
      </c>
      <c r="AR186" s="873">
        <v>233</v>
      </c>
      <c r="AS186" s="873">
        <v>750</v>
      </c>
      <c r="AT186" s="843">
        <v>2530</v>
      </c>
      <c r="AU186" s="663"/>
      <c r="AV186" s="663"/>
      <c r="AX186" s="666"/>
      <c r="AY186" s="666"/>
      <c r="AZ186" s="666"/>
      <c r="BA186" s="666"/>
      <c r="BB186" s="666"/>
      <c r="BD186" s="666"/>
      <c r="BE186" s="666"/>
      <c r="BG186" s="666"/>
      <c r="BI186" s="666"/>
      <c r="BJ186" s="666"/>
      <c r="BK186" s="666"/>
    </row>
    <row r="187" spans="1:63" ht="12.75" x14ac:dyDescent="0.2">
      <c r="A187" s="288">
        <v>180</v>
      </c>
      <c r="B187" s="290" t="s">
        <v>254</v>
      </c>
      <c r="C187" s="279" t="s">
        <v>255</v>
      </c>
      <c r="D187" s="955">
        <v>235530</v>
      </c>
      <c r="E187" s="843">
        <v>161662653</v>
      </c>
      <c r="F187" s="873">
        <v>80563130</v>
      </c>
      <c r="G187" s="873">
        <v>-3357550</v>
      </c>
      <c r="H187" s="873">
        <v>1855626</v>
      </c>
      <c r="I187" s="873">
        <v>-1501924</v>
      </c>
      <c r="J187" s="873">
        <v>-2867429</v>
      </c>
      <c r="K187" s="873">
        <v>-91540</v>
      </c>
      <c r="L187" s="873">
        <v>-592</v>
      </c>
      <c r="M187" s="873">
        <v>-112000</v>
      </c>
      <c r="N187" s="873">
        <v>-2007611</v>
      </c>
      <c r="O187" s="873">
        <v>-40694</v>
      </c>
      <c r="P187" s="873">
        <v>-487903</v>
      </c>
      <c r="Q187" s="873">
        <v>-2841</v>
      </c>
      <c r="R187" s="873">
        <v>-592</v>
      </c>
      <c r="S187" s="873">
        <v>0</v>
      </c>
      <c r="T187" s="873">
        <v>-43877</v>
      </c>
      <c r="U187" s="873">
        <v>-43877</v>
      </c>
      <c r="V187" s="873">
        <v>0</v>
      </c>
      <c r="W187" s="873">
        <v>-1000</v>
      </c>
      <c r="X187" s="873">
        <v>0</v>
      </c>
      <c r="Y187" s="873">
        <v>-680690</v>
      </c>
      <c r="Z187" s="873">
        <v>72614437</v>
      </c>
      <c r="AA187" s="873">
        <v>-3459581</v>
      </c>
      <c r="AB187" s="874"/>
      <c r="AC187" s="873">
        <v>184</v>
      </c>
      <c r="AD187" s="873">
        <v>12</v>
      </c>
      <c r="AE187" s="873">
        <v>2</v>
      </c>
      <c r="AF187" s="873">
        <v>0</v>
      </c>
      <c r="AG187" s="873">
        <v>790</v>
      </c>
      <c r="AH187" s="873">
        <v>55</v>
      </c>
      <c r="AI187" s="873">
        <v>28</v>
      </c>
      <c r="AJ187" s="873">
        <v>2</v>
      </c>
      <c r="AK187" s="873">
        <v>2</v>
      </c>
      <c r="AL187" s="873">
        <v>0</v>
      </c>
      <c r="AM187" s="873">
        <v>1</v>
      </c>
      <c r="AN187" s="873">
        <v>0</v>
      </c>
      <c r="AO187" s="873">
        <v>1984</v>
      </c>
      <c r="AP187" s="873">
        <v>1943</v>
      </c>
      <c r="AQ187" s="873">
        <v>1496</v>
      </c>
      <c r="AR187" s="873">
        <v>447</v>
      </c>
      <c r="AS187" s="873">
        <v>1518</v>
      </c>
      <c r="AT187" s="843">
        <v>5455</v>
      </c>
      <c r="AU187" s="663"/>
      <c r="AV187" s="663"/>
      <c r="AX187" s="666"/>
      <c r="AY187" s="666"/>
      <c r="AZ187" s="666"/>
      <c r="BA187" s="666"/>
      <c r="BB187" s="666"/>
      <c r="BD187" s="666"/>
      <c r="BE187" s="666"/>
      <c r="BG187" s="666"/>
      <c r="BI187" s="666"/>
      <c r="BJ187" s="666"/>
      <c r="BK187" s="666"/>
    </row>
    <row r="188" spans="1:63" ht="12.75" x14ac:dyDescent="0.2">
      <c r="A188" s="288">
        <v>181</v>
      </c>
      <c r="B188" s="290" t="s">
        <v>256</v>
      </c>
      <c r="C188" s="279" t="s">
        <v>257</v>
      </c>
      <c r="D188" s="955">
        <v>180409</v>
      </c>
      <c r="E188" s="843">
        <v>96222476</v>
      </c>
      <c r="F188" s="873">
        <v>46368842</v>
      </c>
      <c r="G188" s="873">
        <v>-2610538</v>
      </c>
      <c r="H188" s="873">
        <v>866331</v>
      </c>
      <c r="I188" s="873">
        <v>-1744207</v>
      </c>
      <c r="J188" s="873">
        <v>-2524690</v>
      </c>
      <c r="K188" s="873">
        <v>-108682</v>
      </c>
      <c r="L188" s="873">
        <v>-19570</v>
      </c>
      <c r="M188" s="873">
        <v>-4700</v>
      </c>
      <c r="N188" s="873">
        <v>-1714899</v>
      </c>
      <c r="O188" s="873">
        <v>-104764</v>
      </c>
      <c r="P188" s="873">
        <v>-169187</v>
      </c>
      <c r="Q188" s="873">
        <v>-15180</v>
      </c>
      <c r="R188" s="873">
        <v>-12841</v>
      </c>
      <c r="S188" s="873">
        <v>-641</v>
      </c>
      <c r="T188" s="873">
        <v>0</v>
      </c>
      <c r="U188" s="873">
        <v>0</v>
      </c>
      <c r="V188" s="873">
        <v>0</v>
      </c>
      <c r="W188" s="873">
        <v>0</v>
      </c>
      <c r="X188" s="873">
        <v>0</v>
      </c>
      <c r="Y188" s="873">
        <v>-709514</v>
      </c>
      <c r="Z188" s="873">
        <v>39239967</v>
      </c>
      <c r="AA188" s="873">
        <v>-475000</v>
      </c>
      <c r="AB188" s="874"/>
      <c r="AC188" s="873">
        <v>243</v>
      </c>
      <c r="AD188" s="873">
        <v>12</v>
      </c>
      <c r="AE188" s="873">
        <v>9</v>
      </c>
      <c r="AF188" s="873">
        <v>4</v>
      </c>
      <c r="AG188" s="873">
        <v>520</v>
      </c>
      <c r="AH188" s="873">
        <v>77</v>
      </c>
      <c r="AI188" s="873">
        <v>38</v>
      </c>
      <c r="AJ188" s="873">
        <v>7</v>
      </c>
      <c r="AK188" s="873">
        <v>11</v>
      </c>
      <c r="AL188" s="873">
        <v>0</v>
      </c>
      <c r="AM188" s="873">
        <v>0</v>
      </c>
      <c r="AN188" s="873">
        <v>0</v>
      </c>
      <c r="AO188" s="873">
        <v>1583</v>
      </c>
      <c r="AP188" s="873">
        <v>1258</v>
      </c>
      <c r="AQ188" s="873">
        <v>713</v>
      </c>
      <c r="AR188" s="873">
        <v>545</v>
      </c>
      <c r="AS188" s="873">
        <v>1362</v>
      </c>
      <c r="AT188" s="843">
        <v>4245</v>
      </c>
      <c r="AU188" s="663"/>
      <c r="AV188" s="663"/>
      <c r="AX188" s="666"/>
      <c r="AY188" s="666"/>
      <c r="AZ188" s="666"/>
      <c r="BA188" s="666"/>
      <c r="BB188" s="666"/>
      <c r="BD188" s="666"/>
      <c r="BE188" s="666"/>
      <c r="BG188" s="666"/>
      <c r="BI188" s="666"/>
      <c r="BJ188" s="666"/>
      <c r="BK188" s="666"/>
    </row>
    <row r="189" spans="1:63" ht="12.75" x14ac:dyDescent="0.2">
      <c r="A189" s="288">
        <v>182</v>
      </c>
      <c r="B189" s="290" t="s">
        <v>258</v>
      </c>
      <c r="C189" s="279" t="s">
        <v>259</v>
      </c>
      <c r="D189" s="955">
        <v>124592</v>
      </c>
      <c r="E189" s="843">
        <v>62720058</v>
      </c>
      <c r="F189" s="873">
        <v>30548717</v>
      </c>
      <c r="G189" s="873">
        <v>-2243820</v>
      </c>
      <c r="H189" s="873">
        <v>647208</v>
      </c>
      <c r="I189" s="873">
        <v>-1596612</v>
      </c>
      <c r="J189" s="873">
        <v>-1621690</v>
      </c>
      <c r="K189" s="873">
        <v>-45218</v>
      </c>
      <c r="L189" s="873">
        <v>-46368</v>
      </c>
      <c r="M189" s="873">
        <v>0</v>
      </c>
      <c r="N189" s="873">
        <v>-592774</v>
      </c>
      <c r="O189" s="873">
        <v>-63228</v>
      </c>
      <c r="P189" s="873">
        <v>-25331</v>
      </c>
      <c r="Q189" s="873">
        <v>0</v>
      </c>
      <c r="R189" s="873">
        <v>-8264</v>
      </c>
      <c r="S189" s="873">
        <v>-131</v>
      </c>
      <c r="T189" s="873">
        <v>0</v>
      </c>
      <c r="U189" s="873">
        <v>0</v>
      </c>
      <c r="V189" s="873">
        <v>0</v>
      </c>
      <c r="W189" s="873">
        <v>-12989</v>
      </c>
      <c r="X189" s="873">
        <v>-64831</v>
      </c>
      <c r="Y189" s="873">
        <v>-231616</v>
      </c>
      <c r="Z189" s="873">
        <v>26239665</v>
      </c>
      <c r="AA189" s="873">
        <v>-373787</v>
      </c>
      <c r="AB189" s="874"/>
      <c r="AC189" s="873">
        <v>183</v>
      </c>
      <c r="AD189" s="873">
        <v>5</v>
      </c>
      <c r="AE189" s="873">
        <v>38</v>
      </c>
      <c r="AF189" s="873">
        <v>0</v>
      </c>
      <c r="AG189" s="873">
        <v>303</v>
      </c>
      <c r="AH189" s="873">
        <v>117</v>
      </c>
      <c r="AI189" s="873">
        <v>5</v>
      </c>
      <c r="AJ189" s="873">
        <v>0</v>
      </c>
      <c r="AK189" s="873">
        <v>11</v>
      </c>
      <c r="AL189" s="873">
        <v>0</v>
      </c>
      <c r="AM189" s="873">
        <v>0</v>
      </c>
      <c r="AN189" s="873">
        <v>0</v>
      </c>
      <c r="AO189" s="873">
        <v>1334</v>
      </c>
      <c r="AP189" s="873">
        <v>1597</v>
      </c>
      <c r="AQ189" s="873">
        <v>1106</v>
      </c>
      <c r="AR189" s="873">
        <v>491</v>
      </c>
      <c r="AS189" s="873">
        <v>763</v>
      </c>
      <c r="AT189" s="843">
        <v>3109</v>
      </c>
      <c r="AU189" s="663"/>
      <c r="AV189" s="663"/>
      <c r="AX189" s="666"/>
      <c r="AY189" s="666"/>
      <c r="AZ189" s="666"/>
      <c r="BA189" s="666"/>
      <c r="BB189" s="666"/>
      <c r="BD189" s="666"/>
      <c r="BE189" s="666"/>
      <c r="BG189" s="666"/>
      <c r="BI189" s="666"/>
      <c r="BJ189" s="666"/>
      <c r="BK189" s="666"/>
    </row>
    <row r="190" spans="1:63" ht="12.75" x14ac:dyDescent="0.2">
      <c r="A190" s="288">
        <v>183</v>
      </c>
      <c r="B190" s="290" t="s">
        <v>260</v>
      </c>
      <c r="C190" s="279" t="s">
        <v>261</v>
      </c>
      <c r="D190" s="955">
        <v>253641</v>
      </c>
      <c r="E190" s="843">
        <v>217100814</v>
      </c>
      <c r="F190" s="873">
        <v>101683193</v>
      </c>
      <c r="G190" s="873">
        <v>-3475136</v>
      </c>
      <c r="H190" s="873">
        <v>2532149</v>
      </c>
      <c r="I190" s="873">
        <v>-942987</v>
      </c>
      <c r="J190" s="873">
        <v>-2258782</v>
      </c>
      <c r="K190" s="873">
        <v>-36748</v>
      </c>
      <c r="L190" s="873">
        <v>-23302</v>
      </c>
      <c r="M190" s="873">
        <v>-40000</v>
      </c>
      <c r="N190" s="873">
        <v>-1768452</v>
      </c>
      <c r="O190" s="873">
        <v>-79239</v>
      </c>
      <c r="P190" s="873">
        <v>-91807</v>
      </c>
      <c r="Q190" s="873">
        <v>-4287</v>
      </c>
      <c r="R190" s="873">
        <v>-20989</v>
      </c>
      <c r="S190" s="873">
        <v>-2248</v>
      </c>
      <c r="T190" s="873">
        <v>0</v>
      </c>
      <c r="U190" s="873">
        <v>0</v>
      </c>
      <c r="V190" s="873">
        <v>0</v>
      </c>
      <c r="W190" s="873">
        <v>0</v>
      </c>
      <c r="X190" s="873">
        <v>-4000</v>
      </c>
      <c r="Y190" s="873">
        <v>-621300</v>
      </c>
      <c r="Z190" s="873">
        <v>95774052</v>
      </c>
      <c r="AA190" s="873">
        <v>-4500000</v>
      </c>
      <c r="AB190" s="874"/>
      <c r="AC190" s="873">
        <v>207</v>
      </c>
      <c r="AD190" s="873">
        <v>11</v>
      </c>
      <c r="AE190" s="873">
        <v>12</v>
      </c>
      <c r="AF190" s="873">
        <v>0</v>
      </c>
      <c r="AG190" s="873">
        <v>679</v>
      </c>
      <c r="AH190" s="873">
        <v>115</v>
      </c>
      <c r="AI190" s="873">
        <v>31</v>
      </c>
      <c r="AJ190" s="873">
        <v>9</v>
      </c>
      <c r="AK190" s="873">
        <v>11</v>
      </c>
      <c r="AL190" s="873">
        <v>3</v>
      </c>
      <c r="AM190" s="873">
        <v>0</v>
      </c>
      <c r="AN190" s="873">
        <v>0</v>
      </c>
      <c r="AO190" s="873">
        <v>1861</v>
      </c>
      <c r="AP190" s="873">
        <v>2114</v>
      </c>
      <c r="AQ190" s="873">
        <v>1632</v>
      </c>
      <c r="AR190" s="873">
        <v>482</v>
      </c>
      <c r="AS190" s="873">
        <v>1432</v>
      </c>
      <c r="AT190" s="843">
        <v>5453</v>
      </c>
      <c r="AU190" s="663"/>
      <c r="AV190" s="663"/>
      <c r="AX190" s="666"/>
      <c r="AY190" s="666"/>
      <c r="AZ190" s="666"/>
      <c r="BA190" s="666"/>
      <c r="BB190" s="666"/>
      <c r="BD190" s="666"/>
      <c r="BE190" s="666"/>
      <c r="BG190" s="666"/>
      <c r="BI190" s="666"/>
      <c r="BJ190" s="666"/>
      <c r="BK190" s="666"/>
    </row>
    <row r="191" spans="1:63" ht="12.75" x14ac:dyDescent="0.2">
      <c r="A191" s="288">
        <v>184</v>
      </c>
      <c r="B191" s="290" t="s">
        <v>262</v>
      </c>
      <c r="C191" s="279" t="s">
        <v>263</v>
      </c>
      <c r="D191" s="955">
        <v>242025</v>
      </c>
      <c r="E191" s="843">
        <v>66260265</v>
      </c>
      <c r="F191" s="873">
        <v>31481023</v>
      </c>
      <c r="G191" s="873">
        <v>-3649483</v>
      </c>
      <c r="H191" s="873">
        <v>580008</v>
      </c>
      <c r="I191" s="873">
        <v>-3069475</v>
      </c>
      <c r="J191" s="873">
        <v>-1474324</v>
      </c>
      <c r="K191" s="873">
        <v>-59850</v>
      </c>
      <c r="L191" s="873">
        <v>-105625</v>
      </c>
      <c r="M191" s="873">
        <v>0</v>
      </c>
      <c r="N191" s="873">
        <v>-321137</v>
      </c>
      <c r="O191" s="873">
        <v>-23816</v>
      </c>
      <c r="P191" s="873">
        <v>-185375</v>
      </c>
      <c r="Q191" s="873">
        <v>0</v>
      </c>
      <c r="R191" s="873">
        <v>-6098</v>
      </c>
      <c r="S191" s="873">
        <v>0</v>
      </c>
      <c r="T191" s="873">
        <v>0</v>
      </c>
      <c r="U191" s="873">
        <v>0</v>
      </c>
      <c r="V191" s="873">
        <v>0</v>
      </c>
      <c r="W191" s="873">
        <v>-25883</v>
      </c>
      <c r="X191" s="873">
        <v>0</v>
      </c>
      <c r="Y191" s="873">
        <v>-819095</v>
      </c>
      <c r="Z191" s="873">
        <v>25058340</v>
      </c>
      <c r="AA191" s="873">
        <v>-390000</v>
      </c>
      <c r="AB191" s="874"/>
      <c r="AC191" s="873">
        <v>351</v>
      </c>
      <c r="AD191" s="873">
        <v>34</v>
      </c>
      <c r="AE191" s="873">
        <v>69</v>
      </c>
      <c r="AF191" s="873">
        <v>0</v>
      </c>
      <c r="AG191" s="873">
        <v>196</v>
      </c>
      <c r="AH191" s="873">
        <v>42</v>
      </c>
      <c r="AI191" s="873">
        <v>6</v>
      </c>
      <c r="AJ191" s="873">
        <v>0</v>
      </c>
      <c r="AK191" s="873">
        <v>4</v>
      </c>
      <c r="AL191" s="873">
        <v>0</v>
      </c>
      <c r="AM191" s="873">
        <v>0</v>
      </c>
      <c r="AN191" s="873">
        <v>0</v>
      </c>
      <c r="AO191" s="873">
        <v>1285</v>
      </c>
      <c r="AP191" s="873">
        <v>3232</v>
      </c>
      <c r="AQ191" s="873">
        <v>2722</v>
      </c>
      <c r="AR191" s="873">
        <v>510</v>
      </c>
      <c r="AS191" s="873">
        <v>1932</v>
      </c>
      <c r="AT191" s="843">
        <v>6584</v>
      </c>
      <c r="AU191" s="663"/>
      <c r="AV191" s="663"/>
      <c r="AX191" s="666"/>
      <c r="AY191" s="666"/>
      <c r="AZ191" s="666"/>
      <c r="BA191" s="666"/>
      <c r="BB191" s="666"/>
      <c r="BD191" s="666"/>
      <c r="BE191" s="666"/>
      <c r="BG191" s="666"/>
      <c r="BI191" s="666"/>
      <c r="BJ191" s="666"/>
      <c r="BK191" s="666"/>
    </row>
    <row r="192" spans="1:63" ht="12.75" x14ac:dyDescent="0.2">
      <c r="A192" s="288">
        <v>185</v>
      </c>
      <c r="B192" s="290" t="s">
        <v>264</v>
      </c>
      <c r="C192" s="279" t="s">
        <v>265</v>
      </c>
      <c r="D192" s="955">
        <v>262705</v>
      </c>
      <c r="E192" s="843">
        <v>150559353</v>
      </c>
      <c r="F192" s="873">
        <v>71305688</v>
      </c>
      <c r="G192" s="873">
        <v>-3936726</v>
      </c>
      <c r="H192" s="873">
        <v>1585361</v>
      </c>
      <c r="I192" s="873">
        <v>-2351365</v>
      </c>
      <c r="J192" s="873">
        <v>-4248171</v>
      </c>
      <c r="K192" s="873">
        <v>-113690</v>
      </c>
      <c r="L192" s="873">
        <v>-15180</v>
      </c>
      <c r="M192" s="873">
        <v>-5126</v>
      </c>
      <c r="N192" s="873">
        <v>-1780430</v>
      </c>
      <c r="O192" s="873">
        <v>-62923</v>
      </c>
      <c r="P192" s="873">
        <v>-683733</v>
      </c>
      <c r="Q192" s="873">
        <v>0</v>
      </c>
      <c r="R192" s="873">
        <v>-4565</v>
      </c>
      <c r="S192" s="873">
        <v>-1922</v>
      </c>
      <c r="T192" s="873">
        <v>0</v>
      </c>
      <c r="U192" s="873">
        <v>0</v>
      </c>
      <c r="V192" s="873">
        <v>0</v>
      </c>
      <c r="W192" s="873">
        <v>-118266</v>
      </c>
      <c r="X192" s="873">
        <v>-4499</v>
      </c>
      <c r="Y192" s="873">
        <v>-622266</v>
      </c>
      <c r="Z192" s="873">
        <v>61293552</v>
      </c>
      <c r="AA192" s="873">
        <v>-2228224</v>
      </c>
      <c r="AB192" s="874"/>
      <c r="AC192" s="873">
        <v>333</v>
      </c>
      <c r="AD192" s="873">
        <v>17</v>
      </c>
      <c r="AE192" s="873">
        <v>13</v>
      </c>
      <c r="AF192" s="873">
        <v>0</v>
      </c>
      <c r="AG192" s="873">
        <v>341</v>
      </c>
      <c r="AH192" s="873">
        <v>96</v>
      </c>
      <c r="AI192" s="873">
        <v>107</v>
      </c>
      <c r="AJ192" s="873">
        <v>0</v>
      </c>
      <c r="AK192" s="873">
        <v>6</v>
      </c>
      <c r="AL192" s="873">
        <v>1</v>
      </c>
      <c r="AM192" s="873">
        <v>0</v>
      </c>
      <c r="AN192" s="873">
        <v>0</v>
      </c>
      <c r="AO192" s="873">
        <v>2144</v>
      </c>
      <c r="AP192" s="873">
        <v>2099</v>
      </c>
      <c r="AQ192" s="873">
        <v>1323</v>
      </c>
      <c r="AR192" s="873">
        <v>776</v>
      </c>
      <c r="AS192" s="873">
        <v>1849</v>
      </c>
      <c r="AT192" s="843">
        <v>6090</v>
      </c>
      <c r="AU192" s="663"/>
      <c r="AV192" s="663"/>
      <c r="AX192" s="666"/>
      <c r="AY192" s="666"/>
      <c r="AZ192" s="666"/>
      <c r="BA192" s="666"/>
      <c r="BB192" s="666"/>
      <c r="BD192" s="666"/>
      <c r="BE192" s="666"/>
      <c r="BG192" s="666"/>
      <c r="BI192" s="666"/>
      <c r="BJ192" s="666"/>
      <c r="BK192" s="666"/>
    </row>
    <row r="193" spans="1:63" ht="12.75" x14ac:dyDescent="0.2">
      <c r="A193" s="288">
        <v>186</v>
      </c>
      <c r="B193" s="290" t="s">
        <v>266</v>
      </c>
      <c r="C193" s="279" t="s">
        <v>267</v>
      </c>
      <c r="D193" s="955">
        <v>230884</v>
      </c>
      <c r="E193" s="843">
        <v>146676595</v>
      </c>
      <c r="F193" s="873">
        <v>70053189</v>
      </c>
      <c r="G193" s="873">
        <v>-3468014</v>
      </c>
      <c r="H193" s="873">
        <v>1695989</v>
      </c>
      <c r="I193" s="873">
        <v>-1772025</v>
      </c>
      <c r="J193" s="873">
        <v>-4221466</v>
      </c>
      <c r="K193" s="873">
        <v>-60240</v>
      </c>
      <c r="L193" s="873">
        <v>0</v>
      </c>
      <c r="M193" s="873">
        <v>-300000</v>
      </c>
      <c r="N193" s="873">
        <v>-2800000</v>
      </c>
      <c r="O193" s="873">
        <v>-309849</v>
      </c>
      <c r="P193" s="873">
        <v>-33608</v>
      </c>
      <c r="Q193" s="873">
        <v>-15060</v>
      </c>
      <c r="R193" s="873">
        <v>0</v>
      </c>
      <c r="S193" s="873">
        <v>0</v>
      </c>
      <c r="T193" s="873">
        <v>-74062</v>
      </c>
      <c r="U193" s="873">
        <v>0</v>
      </c>
      <c r="V193" s="873">
        <v>0</v>
      </c>
      <c r="W193" s="873">
        <v>0</v>
      </c>
      <c r="X193" s="873">
        <v>-80000</v>
      </c>
      <c r="Y193" s="873">
        <v>-1150000</v>
      </c>
      <c r="Z193" s="873">
        <v>59286879</v>
      </c>
      <c r="AA193" s="873">
        <v>-1000000</v>
      </c>
      <c r="AB193" s="874"/>
      <c r="AC193" s="873">
        <v>267</v>
      </c>
      <c r="AD193" s="873">
        <v>12</v>
      </c>
      <c r="AE193" s="873">
        <v>0</v>
      </c>
      <c r="AF193" s="873">
        <v>6</v>
      </c>
      <c r="AG193" s="873">
        <v>670</v>
      </c>
      <c r="AH193" s="873">
        <v>156</v>
      </c>
      <c r="AI193" s="873">
        <v>14</v>
      </c>
      <c r="AJ193" s="873">
        <v>12</v>
      </c>
      <c r="AK193" s="873">
        <v>0</v>
      </c>
      <c r="AL193" s="873">
        <v>0</v>
      </c>
      <c r="AM193" s="873">
        <v>3</v>
      </c>
      <c r="AN193" s="873">
        <v>7</v>
      </c>
      <c r="AO193" s="873">
        <v>1958</v>
      </c>
      <c r="AP193" s="873">
        <v>1901</v>
      </c>
      <c r="AQ193" s="873">
        <v>1300</v>
      </c>
      <c r="AR193" s="873">
        <v>601</v>
      </c>
      <c r="AS193" s="873">
        <v>1531</v>
      </c>
      <c r="AT193" s="843">
        <v>5463</v>
      </c>
      <c r="AU193" s="663"/>
      <c r="AV193" s="663"/>
      <c r="AX193" s="666"/>
      <c r="AY193" s="666"/>
      <c r="AZ193" s="666"/>
      <c r="BA193" s="666"/>
      <c r="BB193" s="666"/>
      <c r="BD193" s="666"/>
      <c r="BE193" s="666"/>
      <c r="BG193" s="666"/>
      <c r="BI193" s="666"/>
      <c r="BJ193" s="666"/>
      <c r="BK193" s="666"/>
    </row>
    <row r="194" spans="1:63" ht="12.75" x14ac:dyDescent="0.2">
      <c r="A194" s="288">
        <v>187</v>
      </c>
      <c r="B194" s="290" t="s">
        <v>268</v>
      </c>
      <c r="C194" s="279" t="s">
        <v>269</v>
      </c>
      <c r="D194" s="955">
        <v>109891</v>
      </c>
      <c r="E194" s="843">
        <v>98143988</v>
      </c>
      <c r="F194" s="873">
        <v>47093379</v>
      </c>
      <c r="G194" s="873">
        <v>-1317370</v>
      </c>
      <c r="H194" s="873">
        <v>1006762</v>
      </c>
      <c r="I194" s="873">
        <v>-310608</v>
      </c>
      <c r="J194" s="873">
        <v>-827876</v>
      </c>
      <c r="K194" s="873">
        <v>-28618</v>
      </c>
      <c r="L194" s="873">
        <v>-16664</v>
      </c>
      <c r="M194" s="873">
        <v>-100000</v>
      </c>
      <c r="N194" s="873">
        <v>-1205999</v>
      </c>
      <c r="O194" s="873">
        <v>-29964</v>
      </c>
      <c r="P194" s="873">
        <v>-600</v>
      </c>
      <c r="Q194" s="873">
        <v>-1353</v>
      </c>
      <c r="R194" s="873">
        <v>-9264</v>
      </c>
      <c r="S194" s="873">
        <v>0</v>
      </c>
      <c r="T194" s="873">
        <v>0</v>
      </c>
      <c r="U194" s="873">
        <v>0</v>
      </c>
      <c r="V194" s="873">
        <v>0</v>
      </c>
      <c r="W194" s="873">
        <v>0</v>
      </c>
      <c r="X194" s="873">
        <v>-2752</v>
      </c>
      <c r="Y194" s="873">
        <v>-297000</v>
      </c>
      <c r="Z194" s="873">
        <v>44233497</v>
      </c>
      <c r="AA194" s="873">
        <v>-1000000</v>
      </c>
      <c r="AB194" s="874"/>
      <c r="AC194" s="873">
        <v>109</v>
      </c>
      <c r="AD194" s="873">
        <v>12</v>
      </c>
      <c r="AE194" s="873">
        <v>16</v>
      </c>
      <c r="AF194" s="873">
        <v>3</v>
      </c>
      <c r="AG194" s="873">
        <v>400</v>
      </c>
      <c r="AH194" s="873">
        <v>26</v>
      </c>
      <c r="AI194" s="873">
        <v>1</v>
      </c>
      <c r="AJ194" s="873">
        <v>2</v>
      </c>
      <c r="AK194" s="873">
        <v>0</v>
      </c>
      <c r="AL194" s="873">
        <v>0</v>
      </c>
      <c r="AM194" s="873">
        <v>0</v>
      </c>
      <c r="AN194" s="873">
        <v>0</v>
      </c>
      <c r="AO194" s="873">
        <v>938</v>
      </c>
      <c r="AP194" s="873">
        <v>756</v>
      </c>
      <c r="AQ194" s="873">
        <v>530</v>
      </c>
      <c r="AR194" s="873">
        <v>226</v>
      </c>
      <c r="AS194" s="873">
        <v>584</v>
      </c>
      <c r="AT194" s="843">
        <v>2254</v>
      </c>
      <c r="AU194" s="663"/>
      <c r="AV194" s="663"/>
      <c r="AX194" s="666"/>
      <c r="AY194" s="666"/>
      <c r="AZ194" s="666"/>
      <c r="BA194" s="666"/>
      <c r="BB194" s="666"/>
      <c r="BD194" s="666"/>
      <c r="BE194" s="666"/>
      <c r="BG194" s="666"/>
      <c r="BI194" s="666"/>
      <c r="BJ194" s="666"/>
      <c r="BK194" s="666"/>
    </row>
    <row r="195" spans="1:63" ht="12.75" x14ac:dyDescent="0.2">
      <c r="A195" s="288">
        <v>188</v>
      </c>
      <c r="B195" s="290" t="s">
        <v>286</v>
      </c>
      <c r="C195" s="279" t="s">
        <v>287</v>
      </c>
      <c r="D195" s="955">
        <v>145731</v>
      </c>
      <c r="E195" s="843">
        <v>116884636</v>
      </c>
      <c r="F195" s="873">
        <v>55867613</v>
      </c>
      <c r="G195" s="873">
        <v>-1872924</v>
      </c>
      <c r="H195" s="873">
        <v>1376076</v>
      </c>
      <c r="I195" s="873">
        <v>-496848</v>
      </c>
      <c r="J195" s="873">
        <v>-1405825</v>
      </c>
      <c r="K195" s="873">
        <v>-14829</v>
      </c>
      <c r="L195" s="873">
        <v>-10481</v>
      </c>
      <c r="M195" s="873">
        <v>-200000</v>
      </c>
      <c r="N195" s="873">
        <v>-717880</v>
      </c>
      <c r="O195" s="873">
        <v>-48772</v>
      </c>
      <c r="P195" s="873">
        <v>-77435</v>
      </c>
      <c r="Q195" s="873">
        <v>-1300</v>
      </c>
      <c r="R195" s="873">
        <v>-9347</v>
      </c>
      <c r="S195" s="873">
        <v>-238</v>
      </c>
      <c r="T195" s="873">
        <v>0</v>
      </c>
      <c r="U195" s="873">
        <v>0</v>
      </c>
      <c r="V195" s="873">
        <v>0</v>
      </c>
      <c r="W195" s="873">
        <v>0</v>
      </c>
      <c r="X195" s="873">
        <v>0</v>
      </c>
      <c r="Y195" s="873">
        <v>-287347</v>
      </c>
      <c r="Z195" s="873">
        <v>51727311</v>
      </c>
      <c r="AA195" s="873">
        <v>-860000</v>
      </c>
      <c r="AB195" s="874"/>
      <c r="AC195" s="873">
        <v>125</v>
      </c>
      <c r="AD195" s="873">
        <v>7</v>
      </c>
      <c r="AE195" s="873">
        <v>12</v>
      </c>
      <c r="AF195" s="873">
        <v>0</v>
      </c>
      <c r="AG195" s="873">
        <v>223</v>
      </c>
      <c r="AH195" s="873">
        <v>69</v>
      </c>
      <c r="AI195" s="873">
        <v>25</v>
      </c>
      <c r="AJ195" s="873">
        <v>3</v>
      </c>
      <c r="AK195" s="873">
        <v>11</v>
      </c>
      <c r="AL195" s="873">
        <v>0</v>
      </c>
      <c r="AM195" s="873">
        <v>0</v>
      </c>
      <c r="AN195" s="873">
        <v>0</v>
      </c>
      <c r="AO195" s="873">
        <v>1293</v>
      </c>
      <c r="AP195" s="873">
        <v>1123</v>
      </c>
      <c r="AQ195" s="873">
        <v>871</v>
      </c>
      <c r="AR195" s="873">
        <v>252</v>
      </c>
      <c r="AS195" s="873">
        <v>798</v>
      </c>
      <c r="AT195" s="843">
        <v>3210</v>
      </c>
      <c r="AU195" s="663"/>
      <c r="AV195" s="663"/>
      <c r="AX195" s="666"/>
      <c r="AY195" s="666"/>
      <c r="AZ195" s="666"/>
      <c r="BA195" s="666"/>
      <c r="BB195" s="666"/>
      <c r="BD195" s="666"/>
      <c r="BE195" s="666"/>
      <c r="BG195" s="666"/>
      <c r="BI195" s="666"/>
      <c r="BJ195" s="666"/>
      <c r="BK195" s="666"/>
    </row>
    <row r="196" spans="1:63" ht="12.75" x14ac:dyDescent="0.2">
      <c r="A196" s="288">
        <v>189</v>
      </c>
      <c r="B196" s="290" t="s">
        <v>288</v>
      </c>
      <c r="C196" s="279" t="s">
        <v>289</v>
      </c>
      <c r="D196" s="955">
        <v>295579</v>
      </c>
      <c r="E196" s="843">
        <v>245092141</v>
      </c>
      <c r="F196" s="873">
        <v>116895131</v>
      </c>
      <c r="G196" s="873">
        <v>-3658380</v>
      </c>
      <c r="H196" s="873">
        <v>2481142</v>
      </c>
      <c r="I196" s="873">
        <v>-1177238</v>
      </c>
      <c r="J196" s="873">
        <v>-6992913</v>
      </c>
      <c r="K196" s="873">
        <v>-15732</v>
      </c>
      <c r="L196" s="873">
        <v>0</v>
      </c>
      <c r="M196" s="873">
        <v>-814280</v>
      </c>
      <c r="N196" s="873">
        <v>-4358619</v>
      </c>
      <c r="O196" s="873">
        <v>-230465</v>
      </c>
      <c r="P196" s="873">
        <v>-204944</v>
      </c>
      <c r="Q196" s="873">
        <v>-2950</v>
      </c>
      <c r="R196" s="873">
        <v>0</v>
      </c>
      <c r="S196" s="873">
        <v>0</v>
      </c>
      <c r="T196" s="873">
        <v>-2041284</v>
      </c>
      <c r="U196" s="873">
        <v>-2041284</v>
      </c>
      <c r="V196" s="873">
        <v>0</v>
      </c>
      <c r="W196" s="873">
        <v>0</v>
      </c>
      <c r="X196" s="873">
        <v>-42158</v>
      </c>
      <c r="Y196" s="873">
        <v>-1165477</v>
      </c>
      <c r="Z196" s="873">
        <v>99849071</v>
      </c>
      <c r="AA196" s="873">
        <v>-982054</v>
      </c>
      <c r="AB196" s="874"/>
      <c r="AC196" s="873">
        <v>285</v>
      </c>
      <c r="AD196" s="873">
        <v>4</v>
      </c>
      <c r="AE196" s="873">
        <v>0</v>
      </c>
      <c r="AF196" s="873">
        <v>16</v>
      </c>
      <c r="AG196" s="873">
        <v>792</v>
      </c>
      <c r="AH196" s="873">
        <v>134</v>
      </c>
      <c r="AI196" s="873">
        <v>36</v>
      </c>
      <c r="AJ196" s="873">
        <v>3</v>
      </c>
      <c r="AK196" s="873">
        <v>0</v>
      </c>
      <c r="AL196" s="873">
        <v>0</v>
      </c>
      <c r="AM196" s="873">
        <v>128</v>
      </c>
      <c r="AN196" s="873">
        <v>0</v>
      </c>
      <c r="AO196" s="873">
        <v>2814</v>
      </c>
      <c r="AP196" s="873">
        <v>1877</v>
      </c>
      <c r="AQ196" s="873">
        <v>1078</v>
      </c>
      <c r="AR196" s="873">
        <v>799</v>
      </c>
      <c r="AS196" s="873">
        <v>1629</v>
      </c>
      <c r="AT196" s="843">
        <v>6317</v>
      </c>
      <c r="AU196" s="663"/>
      <c r="AV196" s="663"/>
      <c r="AX196" s="666"/>
      <c r="AY196" s="666"/>
      <c r="AZ196" s="666"/>
      <c r="BA196" s="666"/>
      <c r="BB196" s="666"/>
      <c r="BD196" s="666"/>
      <c r="BE196" s="666"/>
      <c r="BG196" s="666"/>
      <c r="BI196" s="666"/>
      <c r="BJ196" s="666"/>
      <c r="BK196" s="666"/>
    </row>
    <row r="197" spans="1:63" ht="12.75" x14ac:dyDescent="0.2">
      <c r="A197" s="288">
        <v>190</v>
      </c>
      <c r="B197" s="290" t="s">
        <v>290</v>
      </c>
      <c r="C197" s="279" t="s">
        <v>291</v>
      </c>
      <c r="D197" s="955">
        <v>478025</v>
      </c>
      <c r="E197" s="843">
        <v>202110080</v>
      </c>
      <c r="F197" s="873">
        <v>98678967</v>
      </c>
      <c r="G197" s="873">
        <v>-8045697</v>
      </c>
      <c r="H197" s="873">
        <v>2111259</v>
      </c>
      <c r="I197" s="873">
        <v>-5934438</v>
      </c>
      <c r="J197" s="873">
        <v>-6050834</v>
      </c>
      <c r="K197" s="873">
        <v>-196234</v>
      </c>
      <c r="L197" s="873">
        <v>-91259</v>
      </c>
      <c r="M197" s="873">
        <v>-100000</v>
      </c>
      <c r="N197" s="873">
        <v>-2800000</v>
      </c>
      <c r="O197" s="873">
        <v>-549766</v>
      </c>
      <c r="P197" s="873">
        <v>-423328</v>
      </c>
      <c r="Q197" s="873">
        <v>-19717</v>
      </c>
      <c r="R197" s="873">
        <v>-12366</v>
      </c>
      <c r="S197" s="873">
        <v>-9908</v>
      </c>
      <c r="T197" s="873">
        <v>-234056</v>
      </c>
      <c r="U197" s="873">
        <v>-84056</v>
      </c>
      <c r="V197" s="873">
        <v>0</v>
      </c>
      <c r="W197" s="873">
        <v>-100000</v>
      </c>
      <c r="X197" s="873">
        <v>-31363</v>
      </c>
      <c r="Y197" s="873">
        <v>-1700000</v>
      </c>
      <c r="Z197" s="873">
        <v>80425698</v>
      </c>
      <c r="AA197" s="873">
        <v>-2409206</v>
      </c>
      <c r="AB197" s="874"/>
      <c r="AC197" s="873">
        <v>726</v>
      </c>
      <c r="AD197" s="873">
        <v>59</v>
      </c>
      <c r="AE197" s="873">
        <v>87</v>
      </c>
      <c r="AF197" s="873">
        <v>1</v>
      </c>
      <c r="AG197" s="873">
        <v>1139</v>
      </c>
      <c r="AH197" s="873">
        <v>411</v>
      </c>
      <c r="AI197" s="873">
        <v>96</v>
      </c>
      <c r="AJ197" s="873">
        <v>27</v>
      </c>
      <c r="AK197" s="873">
        <v>14</v>
      </c>
      <c r="AL197" s="873">
        <v>6</v>
      </c>
      <c r="AM197" s="873">
        <v>8</v>
      </c>
      <c r="AN197" s="873">
        <v>0</v>
      </c>
      <c r="AO197" s="873">
        <v>3725</v>
      </c>
      <c r="AP197" s="873">
        <v>4777</v>
      </c>
      <c r="AQ197" s="873">
        <v>3624</v>
      </c>
      <c r="AR197" s="873">
        <v>1153</v>
      </c>
      <c r="AS197" s="873">
        <v>3581</v>
      </c>
      <c r="AT197" s="843">
        <v>12306</v>
      </c>
      <c r="AU197" s="663"/>
      <c r="AV197" s="663"/>
      <c r="AX197" s="666"/>
      <c r="AY197" s="666"/>
      <c r="AZ197" s="666"/>
      <c r="BA197" s="666"/>
      <c r="BB197" s="666"/>
      <c r="BD197" s="666"/>
      <c r="BE197" s="666"/>
      <c r="BG197" s="666"/>
      <c r="BI197" s="666"/>
      <c r="BJ197" s="666"/>
      <c r="BK197" s="666"/>
    </row>
    <row r="198" spans="1:63" ht="12.75" x14ac:dyDescent="0.2">
      <c r="A198" s="288">
        <v>191</v>
      </c>
      <c r="B198" s="290" t="s">
        <v>292</v>
      </c>
      <c r="C198" s="279" t="s">
        <v>293</v>
      </c>
      <c r="D198" s="955">
        <v>271241</v>
      </c>
      <c r="E198" s="843">
        <v>191894176</v>
      </c>
      <c r="F198" s="873">
        <v>91177628</v>
      </c>
      <c r="G198" s="873">
        <v>-3299738</v>
      </c>
      <c r="H198" s="873">
        <v>2210139</v>
      </c>
      <c r="I198" s="873">
        <v>-1089599</v>
      </c>
      <c r="J198" s="873">
        <v>-5462387</v>
      </c>
      <c r="K198" s="873">
        <v>-24630</v>
      </c>
      <c r="L198" s="873">
        <v>0</v>
      </c>
      <c r="M198" s="873">
        <v>-15300</v>
      </c>
      <c r="N198" s="873">
        <v>-3893264</v>
      </c>
      <c r="O198" s="873">
        <v>-116244</v>
      </c>
      <c r="P198" s="873">
        <v>-39509</v>
      </c>
      <c r="Q198" s="873">
        <v>0</v>
      </c>
      <c r="R198" s="873">
        <v>0</v>
      </c>
      <c r="S198" s="873">
        <v>0</v>
      </c>
      <c r="T198" s="873">
        <v>0</v>
      </c>
      <c r="U198" s="873">
        <v>0</v>
      </c>
      <c r="V198" s="873">
        <v>0</v>
      </c>
      <c r="W198" s="873">
        <v>0</v>
      </c>
      <c r="X198" s="873">
        <v>0</v>
      </c>
      <c r="Y198" s="873">
        <v>-1423205</v>
      </c>
      <c r="Z198" s="873">
        <v>79113490</v>
      </c>
      <c r="AA198" s="873">
        <v>-1293300</v>
      </c>
      <c r="AB198" s="874"/>
      <c r="AC198" s="873">
        <v>306</v>
      </c>
      <c r="AD198" s="873">
        <v>3</v>
      </c>
      <c r="AE198" s="873">
        <v>0</v>
      </c>
      <c r="AF198" s="873">
        <v>3</v>
      </c>
      <c r="AG198" s="873">
        <v>731</v>
      </c>
      <c r="AH198" s="873">
        <v>56</v>
      </c>
      <c r="AI198" s="873">
        <v>3</v>
      </c>
      <c r="AJ198" s="873">
        <v>0</v>
      </c>
      <c r="AK198" s="873">
        <v>0</v>
      </c>
      <c r="AL198" s="873">
        <v>0</v>
      </c>
      <c r="AM198" s="873">
        <v>0</v>
      </c>
      <c r="AN198" s="873">
        <v>0</v>
      </c>
      <c r="AO198" s="873">
        <v>3066</v>
      </c>
      <c r="AP198" s="873">
        <v>1749</v>
      </c>
      <c r="AQ198" s="873">
        <v>1023</v>
      </c>
      <c r="AR198" s="873">
        <v>726</v>
      </c>
      <c r="AS198" s="873">
        <v>1330</v>
      </c>
      <c r="AT198" s="843">
        <v>6226</v>
      </c>
      <c r="AU198" s="663"/>
      <c r="AV198" s="663"/>
      <c r="AX198" s="666"/>
      <c r="AY198" s="666"/>
      <c r="AZ198" s="666"/>
      <c r="BA198" s="666"/>
      <c r="BB198" s="666"/>
      <c r="BD198" s="666"/>
      <c r="BE198" s="666"/>
      <c r="BG198" s="666"/>
      <c r="BI198" s="666"/>
      <c r="BJ198" s="666"/>
      <c r="BK198" s="666"/>
    </row>
    <row r="199" spans="1:63" ht="12.75" x14ac:dyDescent="0.2">
      <c r="A199" s="288">
        <v>192</v>
      </c>
      <c r="B199" s="290" t="s">
        <v>294</v>
      </c>
      <c r="C199" s="279" t="s">
        <v>295</v>
      </c>
      <c r="D199" s="955">
        <v>488769</v>
      </c>
      <c r="E199" s="843">
        <v>318285119</v>
      </c>
      <c r="F199" s="873">
        <v>153070709</v>
      </c>
      <c r="G199" s="873">
        <v>-5342000</v>
      </c>
      <c r="H199" s="873">
        <v>3700000</v>
      </c>
      <c r="I199" s="873">
        <v>-1642000</v>
      </c>
      <c r="J199" s="873">
        <v>-12718714</v>
      </c>
      <c r="K199" s="873">
        <v>-46342</v>
      </c>
      <c r="L199" s="873">
        <v>0</v>
      </c>
      <c r="M199" s="873">
        <v>-95000</v>
      </c>
      <c r="N199" s="873">
        <v>-7040000</v>
      </c>
      <c r="O199" s="873">
        <v>-169100</v>
      </c>
      <c r="P199" s="873">
        <v>-587450</v>
      </c>
      <c r="Q199" s="873">
        <v>-838</v>
      </c>
      <c r="R199" s="873">
        <v>0</v>
      </c>
      <c r="S199" s="873">
        <v>0</v>
      </c>
      <c r="T199" s="873">
        <v>-19966</v>
      </c>
      <c r="U199" s="873">
        <v>0</v>
      </c>
      <c r="V199" s="873">
        <v>0</v>
      </c>
      <c r="W199" s="873">
        <v>-110000</v>
      </c>
      <c r="X199" s="873">
        <v>-50000</v>
      </c>
      <c r="Y199" s="873">
        <v>-1375980</v>
      </c>
      <c r="Z199" s="873">
        <v>129215319</v>
      </c>
      <c r="AA199" s="873">
        <v>-4015000</v>
      </c>
      <c r="AB199" s="874"/>
      <c r="AC199" s="873">
        <v>594</v>
      </c>
      <c r="AD199" s="873">
        <v>8</v>
      </c>
      <c r="AE199" s="873">
        <v>0</v>
      </c>
      <c r="AF199" s="873">
        <v>4</v>
      </c>
      <c r="AG199" s="873">
        <v>1744</v>
      </c>
      <c r="AH199" s="873">
        <v>158</v>
      </c>
      <c r="AI199" s="873">
        <v>81</v>
      </c>
      <c r="AJ199" s="873">
        <v>1</v>
      </c>
      <c r="AK199" s="873">
        <v>0</v>
      </c>
      <c r="AL199" s="873">
        <v>0</v>
      </c>
      <c r="AM199" s="873">
        <v>0</v>
      </c>
      <c r="AN199" s="873">
        <v>1</v>
      </c>
      <c r="AO199" s="873">
        <v>5129</v>
      </c>
      <c r="AP199" s="873">
        <v>3616</v>
      </c>
      <c r="AQ199" s="873">
        <v>2747</v>
      </c>
      <c r="AR199" s="873">
        <v>869</v>
      </c>
      <c r="AS199" s="873">
        <v>2820</v>
      </c>
      <c r="AT199" s="843">
        <v>11314</v>
      </c>
      <c r="AU199" s="663"/>
      <c r="AV199" s="663"/>
      <c r="AX199" s="666"/>
      <c r="AY199" s="666"/>
      <c r="AZ199" s="666"/>
      <c r="BA199" s="666"/>
      <c r="BB199" s="666"/>
      <c r="BD199" s="666"/>
      <c r="BE199" s="666"/>
      <c r="BG199" s="666"/>
      <c r="BI199" s="666"/>
      <c r="BJ199" s="666"/>
      <c r="BK199" s="666"/>
    </row>
    <row r="200" spans="1:63" ht="12.75" x14ac:dyDescent="0.2">
      <c r="A200" s="288">
        <v>193</v>
      </c>
      <c r="B200" s="290" t="s">
        <v>296</v>
      </c>
      <c r="C200" s="279" t="s">
        <v>297</v>
      </c>
      <c r="D200" s="955">
        <v>133244</v>
      </c>
      <c r="E200" s="843">
        <v>84510747</v>
      </c>
      <c r="F200" s="873">
        <v>40501387</v>
      </c>
      <c r="G200" s="873">
        <v>-1882924</v>
      </c>
      <c r="H200" s="873">
        <v>934296</v>
      </c>
      <c r="I200" s="873">
        <v>-948628</v>
      </c>
      <c r="J200" s="873">
        <v>-2010824</v>
      </c>
      <c r="K200" s="873">
        <v>-24965</v>
      </c>
      <c r="L200" s="873">
        <v>0</v>
      </c>
      <c r="M200" s="873">
        <v>-30000</v>
      </c>
      <c r="N200" s="873">
        <v>-1100000</v>
      </c>
      <c r="O200" s="873">
        <v>-38421</v>
      </c>
      <c r="P200" s="873">
        <v>-41673</v>
      </c>
      <c r="Q200" s="873">
        <v>0</v>
      </c>
      <c r="R200" s="873">
        <v>0</v>
      </c>
      <c r="S200" s="873">
        <v>0</v>
      </c>
      <c r="T200" s="873">
        <v>-50000</v>
      </c>
      <c r="U200" s="873">
        <v>0</v>
      </c>
      <c r="V200" s="873">
        <v>0</v>
      </c>
      <c r="W200" s="873">
        <v>-16392</v>
      </c>
      <c r="X200" s="873">
        <v>-22616</v>
      </c>
      <c r="Y200" s="873">
        <v>-600000</v>
      </c>
      <c r="Z200" s="873">
        <v>35617868</v>
      </c>
      <c r="AA200" s="873">
        <v>-268458</v>
      </c>
      <c r="AB200" s="874"/>
      <c r="AC200" s="873">
        <v>135</v>
      </c>
      <c r="AD200" s="873">
        <v>5</v>
      </c>
      <c r="AE200" s="873">
        <v>0</v>
      </c>
      <c r="AF200" s="873">
        <v>0</v>
      </c>
      <c r="AG200" s="873">
        <v>164</v>
      </c>
      <c r="AH200" s="873">
        <v>16</v>
      </c>
      <c r="AI200" s="873">
        <v>11</v>
      </c>
      <c r="AJ200" s="873">
        <v>0</v>
      </c>
      <c r="AK200" s="873">
        <v>0</v>
      </c>
      <c r="AL200" s="873">
        <v>0</v>
      </c>
      <c r="AM200" s="873">
        <v>0</v>
      </c>
      <c r="AN200" s="873">
        <v>0</v>
      </c>
      <c r="AO200" s="873">
        <v>1227</v>
      </c>
      <c r="AP200" s="873">
        <v>1030</v>
      </c>
      <c r="AQ200" s="873">
        <v>692</v>
      </c>
      <c r="AR200" s="873">
        <v>338</v>
      </c>
      <c r="AS200" s="873">
        <v>839</v>
      </c>
      <c r="AT200" s="843">
        <v>3071</v>
      </c>
      <c r="AU200" s="663"/>
      <c r="AV200" s="663"/>
      <c r="AX200" s="666"/>
      <c r="AY200" s="666"/>
      <c r="AZ200" s="666"/>
      <c r="BA200" s="666"/>
      <c r="BB200" s="666"/>
      <c r="BD200" s="666"/>
      <c r="BE200" s="666"/>
      <c r="BG200" s="666"/>
      <c r="BI200" s="666"/>
      <c r="BJ200" s="666"/>
      <c r="BK200" s="666"/>
    </row>
    <row r="201" spans="1:63" ht="12.75" x14ac:dyDescent="0.2">
      <c r="A201" s="288">
        <v>194</v>
      </c>
      <c r="B201" s="290" t="s">
        <v>298</v>
      </c>
      <c r="C201" s="279" t="s">
        <v>299</v>
      </c>
      <c r="D201" s="955">
        <v>56547</v>
      </c>
      <c r="E201" s="843">
        <v>31327919</v>
      </c>
      <c r="F201" s="873">
        <v>14965232</v>
      </c>
      <c r="G201" s="873">
        <v>-980579</v>
      </c>
      <c r="H201" s="873">
        <v>314739</v>
      </c>
      <c r="I201" s="873">
        <v>-665840</v>
      </c>
      <c r="J201" s="873">
        <v>-1277457</v>
      </c>
      <c r="K201" s="873">
        <v>0</v>
      </c>
      <c r="L201" s="873">
        <v>0</v>
      </c>
      <c r="M201" s="873">
        <v>-5000</v>
      </c>
      <c r="N201" s="873">
        <v>-676801</v>
      </c>
      <c r="O201" s="873">
        <v>-49327</v>
      </c>
      <c r="P201" s="873">
        <v>-13418</v>
      </c>
      <c r="Q201" s="873">
        <v>0</v>
      </c>
      <c r="R201" s="873">
        <v>0</v>
      </c>
      <c r="S201" s="873">
        <v>0</v>
      </c>
      <c r="T201" s="873">
        <v>0</v>
      </c>
      <c r="U201" s="873">
        <v>0</v>
      </c>
      <c r="V201" s="873">
        <v>0</v>
      </c>
      <c r="W201" s="873">
        <v>0</v>
      </c>
      <c r="X201" s="873">
        <v>-10000</v>
      </c>
      <c r="Y201" s="873">
        <v>-218895</v>
      </c>
      <c r="Z201" s="873">
        <v>12048494</v>
      </c>
      <c r="AA201" s="873">
        <v>-96395</v>
      </c>
      <c r="AB201" s="874"/>
      <c r="AC201" s="873">
        <v>61</v>
      </c>
      <c r="AD201" s="873">
        <v>0</v>
      </c>
      <c r="AE201" s="873">
        <v>0</v>
      </c>
      <c r="AF201" s="873">
        <v>0</v>
      </c>
      <c r="AG201" s="873">
        <v>116</v>
      </c>
      <c r="AH201" s="873">
        <v>29</v>
      </c>
      <c r="AI201" s="873">
        <v>4</v>
      </c>
      <c r="AJ201" s="873">
        <v>0</v>
      </c>
      <c r="AK201" s="873">
        <v>0</v>
      </c>
      <c r="AL201" s="873">
        <v>0</v>
      </c>
      <c r="AM201" s="873">
        <v>0</v>
      </c>
      <c r="AN201" s="873">
        <v>0</v>
      </c>
      <c r="AO201" s="873">
        <v>458</v>
      </c>
      <c r="AP201" s="873">
        <v>528</v>
      </c>
      <c r="AQ201" s="873">
        <v>357</v>
      </c>
      <c r="AR201" s="873">
        <v>171</v>
      </c>
      <c r="AS201" s="873">
        <v>376</v>
      </c>
      <c r="AT201" s="843">
        <v>1383</v>
      </c>
      <c r="AU201" s="663"/>
      <c r="AV201" s="663"/>
      <c r="AX201" s="666"/>
      <c r="AY201" s="666"/>
      <c r="AZ201" s="666"/>
      <c r="BA201" s="666"/>
      <c r="BB201" s="666"/>
      <c r="BD201" s="666"/>
      <c r="BE201" s="666"/>
      <c r="BG201" s="666"/>
      <c r="BI201" s="666"/>
      <c r="BJ201" s="666"/>
      <c r="BK201" s="666"/>
    </row>
    <row r="202" spans="1:63" ht="12.75" x14ac:dyDescent="0.2">
      <c r="A202" s="288">
        <v>195</v>
      </c>
      <c r="B202" s="290" t="s">
        <v>300</v>
      </c>
      <c r="C202" s="279" t="s">
        <v>301</v>
      </c>
      <c r="D202" s="955">
        <v>311406</v>
      </c>
      <c r="E202" s="843">
        <v>156458532</v>
      </c>
      <c r="F202" s="873">
        <v>76255577</v>
      </c>
      <c r="G202" s="873">
        <v>-5731777</v>
      </c>
      <c r="H202" s="873">
        <v>1686750</v>
      </c>
      <c r="I202" s="873">
        <v>-4045027</v>
      </c>
      <c r="J202" s="873">
        <v>-5730587</v>
      </c>
      <c r="K202" s="873">
        <v>-89302</v>
      </c>
      <c r="L202" s="873">
        <v>-9712</v>
      </c>
      <c r="M202" s="873">
        <v>-20000</v>
      </c>
      <c r="N202" s="873">
        <v>-2745419</v>
      </c>
      <c r="O202" s="873">
        <v>-240249</v>
      </c>
      <c r="P202" s="873">
        <v>-74080</v>
      </c>
      <c r="Q202" s="873">
        <v>-353</v>
      </c>
      <c r="R202" s="873">
        <v>-1656</v>
      </c>
      <c r="S202" s="873">
        <v>0</v>
      </c>
      <c r="T202" s="873">
        <v>0</v>
      </c>
      <c r="U202" s="873">
        <v>0</v>
      </c>
      <c r="V202" s="873">
        <v>0</v>
      </c>
      <c r="W202" s="873">
        <v>0</v>
      </c>
      <c r="X202" s="873">
        <v>-17511</v>
      </c>
      <c r="Y202" s="873">
        <v>-1130311</v>
      </c>
      <c r="Z202" s="873">
        <v>62151370</v>
      </c>
      <c r="AA202" s="873">
        <v>-1609286</v>
      </c>
      <c r="AB202" s="874"/>
      <c r="AC202" s="873">
        <v>314</v>
      </c>
      <c r="AD202" s="873">
        <v>17</v>
      </c>
      <c r="AE202" s="873">
        <v>7</v>
      </c>
      <c r="AF202" s="873">
        <v>0</v>
      </c>
      <c r="AG202" s="873">
        <v>814</v>
      </c>
      <c r="AH202" s="873">
        <v>101</v>
      </c>
      <c r="AI202" s="873">
        <v>13</v>
      </c>
      <c r="AJ202" s="873">
        <v>2</v>
      </c>
      <c r="AK202" s="873">
        <v>9</v>
      </c>
      <c r="AL202" s="873">
        <v>0</v>
      </c>
      <c r="AM202" s="873">
        <v>0</v>
      </c>
      <c r="AN202" s="873">
        <v>0</v>
      </c>
      <c r="AO202" s="873">
        <v>2716</v>
      </c>
      <c r="AP202" s="873">
        <v>3042</v>
      </c>
      <c r="AQ202" s="873">
        <v>2147</v>
      </c>
      <c r="AR202" s="873">
        <v>895</v>
      </c>
      <c r="AS202" s="873">
        <v>1745</v>
      </c>
      <c r="AT202" s="843">
        <v>7619</v>
      </c>
      <c r="AU202" s="663"/>
      <c r="AV202" s="663"/>
      <c r="AX202" s="666"/>
      <c r="AY202" s="666"/>
      <c r="AZ202" s="666"/>
      <c r="BA202" s="666"/>
      <c r="BB202" s="666"/>
      <c r="BD202" s="666"/>
      <c r="BE202" s="666"/>
      <c r="BG202" s="666"/>
      <c r="BI202" s="666"/>
      <c r="BJ202" s="666"/>
      <c r="BK202" s="666"/>
    </row>
    <row r="203" spans="1:63" ht="12.75" x14ac:dyDescent="0.2">
      <c r="A203" s="288">
        <v>196</v>
      </c>
      <c r="B203" s="290" t="s">
        <v>302</v>
      </c>
      <c r="C203" s="279" t="s">
        <v>303</v>
      </c>
      <c r="D203" s="955">
        <v>220410</v>
      </c>
      <c r="E203" s="843">
        <v>229538517</v>
      </c>
      <c r="F203" s="873">
        <v>107739153</v>
      </c>
      <c r="G203" s="873">
        <v>-1169621</v>
      </c>
      <c r="H203" s="873">
        <v>2833309</v>
      </c>
      <c r="I203" s="873">
        <v>1663688</v>
      </c>
      <c r="J203" s="873">
        <v>-19877698</v>
      </c>
      <c r="K203" s="873">
        <v>-34601</v>
      </c>
      <c r="L203" s="873">
        <v>0</v>
      </c>
      <c r="M203" s="873">
        <v>-70000</v>
      </c>
      <c r="N203" s="873">
        <v>-1482982</v>
      </c>
      <c r="O203" s="873">
        <v>0</v>
      </c>
      <c r="P203" s="873">
        <v>-47216</v>
      </c>
      <c r="Q203" s="873">
        <v>0</v>
      </c>
      <c r="R203" s="873">
        <v>0</v>
      </c>
      <c r="S203" s="873">
        <v>0</v>
      </c>
      <c r="T203" s="873">
        <v>0</v>
      </c>
      <c r="U203" s="873">
        <v>0</v>
      </c>
      <c r="V203" s="873">
        <v>0</v>
      </c>
      <c r="W203" s="873">
        <v>-20000</v>
      </c>
      <c r="X203" s="873">
        <v>-20000</v>
      </c>
      <c r="Y203" s="873">
        <v>-1223715</v>
      </c>
      <c r="Z203" s="873">
        <v>86626629</v>
      </c>
      <c r="AA203" s="873">
        <v>-958732</v>
      </c>
      <c r="AB203" s="874"/>
      <c r="AC203" s="873">
        <v>510</v>
      </c>
      <c r="AD203" s="873">
        <v>6</v>
      </c>
      <c r="AE203" s="873">
        <v>0</v>
      </c>
      <c r="AF203" s="873">
        <v>2</v>
      </c>
      <c r="AG203" s="873">
        <v>145</v>
      </c>
      <c r="AH203" s="873">
        <v>8</v>
      </c>
      <c r="AI203" s="873">
        <v>0</v>
      </c>
      <c r="AJ203" s="873">
        <v>0</v>
      </c>
      <c r="AK203" s="873">
        <v>0</v>
      </c>
      <c r="AL203" s="873">
        <v>0</v>
      </c>
      <c r="AM203" s="873">
        <v>0</v>
      </c>
      <c r="AN203" s="873">
        <v>0</v>
      </c>
      <c r="AO203" s="873">
        <v>2302</v>
      </c>
      <c r="AP203" s="873">
        <v>590</v>
      </c>
      <c r="AQ203" s="873">
        <v>306</v>
      </c>
      <c r="AR203" s="873">
        <v>284</v>
      </c>
      <c r="AS203" s="873">
        <v>1051</v>
      </c>
      <c r="AT203" s="843">
        <v>4004</v>
      </c>
      <c r="AU203" s="663"/>
      <c r="AV203" s="663"/>
      <c r="AX203" s="666"/>
      <c r="AY203" s="666"/>
      <c r="AZ203" s="666"/>
      <c r="BA203" s="666"/>
      <c r="BB203" s="666"/>
      <c r="BD203" s="666"/>
      <c r="BE203" s="666"/>
      <c r="BG203" s="666"/>
      <c r="BI203" s="666"/>
      <c r="BJ203" s="666"/>
      <c r="BK203" s="666"/>
    </row>
    <row r="204" spans="1:63" ht="12.75" x14ac:dyDescent="0.2">
      <c r="A204" s="288">
        <v>197</v>
      </c>
      <c r="B204" s="290" t="s">
        <v>304</v>
      </c>
      <c r="C204" s="279" t="s">
        <v>305</v>
      </c>
      <c r="D204" s="955">
        <v>136498</v>
      </c>
      <c r="E204" s="843">
        <v>52498166</v>
      </c>
      <c r="F204" s="873">
        <v>25250242</v>
      </c>
      <c r="G204" s="873">
        <v>-2736147</v>
      </c>
      <c r="H204" s="873">
        <v>517224</v>
      </c>
      <c r="I204" s="873">
        <v>-2218923</v>
      </c>
      <c r="J204" s="873">
        <v>-1043816</v>
      </c>
      <c r="K204" s="873">
        <v>0</v>
      </c>
      <c r="L204" s="873">
        <v>-918</v>
      </c>
      <c r="M204" s="873">
        <v>0</v>
      </c>
      <c r="N204" s="873">
        <v>-835152</v>
      </c>
      <c r="O204" s="873">
        <v>-121514</v>
      </c>
      <c r="P204" s="873">
        <v>-116370</v>
      </c>
      <c r="Q204" s="873">
        <v>0</v>
      </c>
      <c r="R204" s="873">
        <v>-918</v>
      </c>
      <c r="S204" s="873">
        <v>0</v>
      </c>
      <c r="T204" s="873">
        <v>0</v>
      </c>
      <c r="U204" s="873">
        <v>0</v>
      </c>
      <c r="V204" s="873">
        <v>0</v>
      </c>
      <c r="W204" s="873">
        <v>0</v>
      </c>
      <c r="X204" s="873">
        <v>0</v>
      </c>
      <c r="Y204" s="873">
        <v>-351239</v>
      </c>
      <c r="Z204" s="873">
        <v>20474640</v>
      </c>
      <c r="AA204" s="873">
        <v>-500000</v>
      </c>
      <c r="AB204" s="874"/>
      <c r="AC204" s="873">
        <v>122</v>
      </c>
      <c r="AD204" s="873">
        <v>0</v>
      </c>
      <c r="AE204" s="873">
        <v>2</v>
      </c>
      <c r="AF204" s="873">
        <v>0</v>
      </c>
      <c r="AG204" s="873">
        <v>369</v>
      </c>
      <c r="AH204" s="873">
        <v>68</v>
      </c>
      <c r="AI204" s="873">
        <v>28</v>
      </c>
      <c r="AJ204" s="873">
        <v>0</v>
      </c>
      <c r="AK204" s="873">
        <v>2</v>
      </c>
      <c r="AL204" s="873">
        <v>0</v>
      </c>
      <c r="AM204" s="873">
        <v>0</v>
      </c>
      <c r="AN204" s="873">
        <v>0</v>
      </c>
      <c r="AO204" s="873">
        <v>955</v>
      </c>
      <c r="AP204" s="873">
        <v>1656</v>
      </c>
      <c r="AQ204" s="873">
        <v>1320</v>
      </c>
      <c r="AR204" s="873">
        <v>336</v>
      </c>
      <c r="AS204" s="873">
        <v>916</v>
      </c>
      <c r="AT204" s="843">
        <v>3565</v>
      </c>
      <c r="AU204" s="663"/>
      <c r="AV204" s="663"/>
      <c r="AX204" s="666"/>
      <c r="AY204" s="666"/>
      <c r="AZ204" s="666"/>
      <c r="BA204" s="666"/>
      <c r="BB204" s="666"/>
      <c r="BD204" s="666"/>
      <c r="BE204" s="666"/>
      <c r="BG204" s="666"/>
      <c r="BI204" s="666"/>
      <c r="BJ204" s="666"/>
      <c r="BK204" s="666"/>
    </row>
    <row r="205" spans="1:63" ht="12.75" x14ac:dyDescent="0.2">
      <c r="A205" s="288">
        <v>198</v>
      </c>
      <c r="B205" s="290" t="s">
        <v>306</v>
      </c>
      <c r="C205" s="279" t="s">
        <v>307</v>
      </c>
      <c r="D205" s="955">
        <v>274686</v>
      </c>
      <c r="E205" s="843">
        <v>231262639</v>
      </c>
      <c r="F205" s="873">
        <v>112276447</v>
      </c>
      <c r="G205" s="873">
        <v>-3058442</v>
      </c>
      <c r="H205" s="873">
        <v>2639002</v>
      </c>
      <c r="I205" s="873">
        <v>-419440</v>
      </c>
      <c r="J205" s="873">
        <v>-6362897</v>
      </c>
      <c r="K205" s="873">
        <v>-57218</v>
      </c>
      <c r="L205" s="873">
        <v>-16885</v>
      </c>
      <c r="M205" s="873">
        <v>-108000</v>
      </c>
      <c r="N205" s="873">
        <v>-1779605</v>
      </c>
      <c r="O205" s="873">
        <v>-296649</v>
      </c>
      <c r="P205" s="873">
        <v>-68067</v>
      </c>
      <c r="Q205" s="873">
        <v>-2854</v>
      </c>
      <c r="R205" s="873">
        <v>-6582</v>
      </c>
      <c r="S205" s="873">
        <v>-958</v>
      </c>
      <c r="T205" s="873">
        <v>0</v>
      </c>
      <c r="U205" s="873">
        <v>0</v>
      </c>
      <c r="V205" s="873">
        <v>0</v>
      </c>
      <c r="W205" s="873">
        <v>0</v>
      </c>
      <c r="X205" s="873">
        <v>-16269</v>
      </c>
      <c r="Y205" s="873">
        <v>-975731</v>
      </c>
      <c r="Z205" s="873">
        <v>99959997</v>
      </c>
      <c r="AA205" s="873">
        <v>-2367000</v>
      </c>
      <c r="AB205" s="874"/>
      <c r="AC205" s="873">
        <v>325</v>
      </c>
      <c r="AD205" s="873">
        <v>5</v>
      </c>
      <c r="AE205" s="873">
        <v>11</v>
      </c>
      <c r="AF205" s="873">
        <v>0</v>
      </c>
      <c r="AG205" s="873">
        <v>244</v>
      </c>
      <c r="AH205" s="873">
        <v>119</v>
      </c>
      <c r="AI205" s="873">
        <v>12</v>
      </c>
      <c r="AJ205" s="873">
        <v>3</v>
      </c>
      <c r="AK205" s="873">
        <v>5</v>
      </c>
      <c r="AL205" s="873">
        <v>2</v>
      </c>
      <c r="AM205" s="873">
        <v>0</v>
      </c>
      <c r="AN205" s="873">
        <v>0</v>
      </c>
      <c r="AO205" s="873">
        <v>2563</v>
      </c>
      <c r="AP205" s="873">
        <v>1588</v>
      </c>
      <c r="AQ205" s="873">
        <v>958</v>
      </c>
      <c r="AR205" s="873">
        <v>630</v>
      </c>
      <c r="AS205" s="873">
        <v>1491</v>
      </c>
      <c r="AT205" s="843">
        <v>5674</v>
      </c>
      <c r="AU205" s="663"/>
      <c r="AV205" s="663"/>
      <c r="AX205" s="666"/>
      <c r="AY205" s="666"/>
      <c r="AZ205" s="666"/>
      <c r="BA205" s="666"/>
      <c r="BB205" s="666"/>
      <c r="BD205" s="666"/>
      <c r="BE205" s="666"/>
      <c r="BG205" s="666"/>
      <c r="BI205" s="666"/>
      <c r="BJ205" s="666"/>
      <c r="BK205" s="666"/>
    </row>
    <row r="206" spans="1:63" ht="12.75" x14ac:dyDescent="0.2">
      <c r="A206" s="288">
        <v>199</v>
      </c>
      <c r="B206" s="290" t="s">
        <v>308</v>
      </c>
      <c r="C206" s="279" t="s">
        <v>309</v>
      </c>
      <c r="D206" s="955">
        <v>315039</v>
      </c>
      <c r="E206" s="843">
        <v>225670632</v>
      </c>
      <c r="F206" s="873">
        <v>108030201</v>
      </c>
      <c r="G206" s="873">
        <v>-4398650</v>
      </c>
      <c r="H206" s="873">
        <v>2141712</v>
      </c>
      <c r="I206" s="873">
        <v>-2256938</v>
      </c>
      <c r="J206" s="873">
        <v>-9086358</v>
      </c>
      <c r="K206" s="873">
        <v>-13477</v>
      </c>
      <c r="L206" s="873">
        <v>0</v>
      </c>
      <c r="M206" s="873">
        <v>-45636</v>
      </c>
      <c r="N206" s="873">
        <v>-1825619</v>
      </c>
      <c r="O206" s="873">
        <v>-140570</v>
      </c>
      <c r="P206" s="873">
        <v>-156439</v>
      </c>
      <c r="Q206" s="873">
        <v>0</v>
      </c>
      <c r="R206" s="873">
        <v>0</v>
      </c>
      <c r="S206" s="873">
        <v>0</v>
      </c>
      <c r="T206" s="873">
        <v>-6770</v>
      </c>
      <c r="U206" s="873">
        <v>0</v>
      </c>
      <c r="V206" s="873">
        <v>0</v>
      </c>
      <c r="W206" s="873">
        <v>0</v>
      </c>
      <c r="X206" s="873">
        <v>-25133</v>
      </c>
      <c r="Y206" s="873">
        <v>-895203</v>
      </c>
      <c r="Z206" s="873">
        <v>93027352</v>
      </c>
      <c r="AA206" s="873">
        <v>-197289</v>
      </c>
      <c r="AB206" s="874"/>
      <c r="AC206" s="873">
        <v>527</v>
      </c>
      <c r="AD206" s="873">
        <v>6</v>
      </c>
      <c r="AE206" s="873">
        <v>0</v>
      </c>
      <c r="AF206" s="873">
        <v>3</v>
      </c>
      <c r="AG206" s="873">
        <v>624</v>
      </c>
      <c r="AH206" s="873">
        <v>37</v>
      </c>
      <c r="AI206" s="873">
        <v>7</v>
      </c>
      <c r="AJ206" s="873">
        <v>0</v>
      </c>
      <c r="AK206" s="873">
        <v>0</v>
      </c>
      <c r="AL206" s="873">
        <v>0</v>
      </c>
      <c r="AM206" s="873">
        <v>0</v>
      </c>
      <c r="AN206" s="873">
        <v>0</v>
      </c>
      <c r="AO206" s="873">
        <v>2696</v>
      </c>
      <c r="AP206" s="873">
        <v>2291</v>
      </c>
      <c r="AQ206" s="873">
        <v>1451</v>
      </c>
      <c r="AR206" s="873">
        <v>840</v>
      </c>
      <c r="AS206" s="873">
        <v>2117</v>
      </c>
      <c r="AT206" s="843">
        <v>7204</v>
      </c>
      <c r="AU206" s="663"/>
      <c r="AV206" s="663"/>
      <c r="AX206" s="666"/>
      <c r="AY206" s="666"/>
      <c r="AZ206" s="666"/>
      <c r="BA206" s="666"/>
      <c r="BB206" s="666"/>
      <c r="BD206" s="666"/>
      <c r="BE206" s="666"/>
      <c r="BG206" s="666"/>
      <c r="BI206" s="666"/>
      <c r="BJ206" s="666"/>
      <c r="BK206" s="666"/>
    </row>
    <row r="207" spans="1:63" ht="12.75" x14ac:dyDescent="0.2">
      <c r="A207" s="288">
        <v>200</v>
      </c>
      <c r="B207" s="290" t="s">
        <v>310</v>
      </c>
      <c r="C207" s="279" t="s">
        <v>311</v>
      </c>
      <c r="D207" s="955">
        <v>235170</v>
      </c>
      <c r="E207" s="843">
        <v>152296864</v>
      </c>
      <c r="F207" s="873">
        <v>69021032</v>
      </c>
      <c r="G207" s="873">
        <v>-3009324</v>
      </c>
      <c r="H207" s="873">
        <v>1724812</v>
      </c>
      <c r="I207" s="873">
        <v>-1284512</v>
      </c>
      <c r="J207" s="873">
        <v>-4817710</v>
      </c>
      <c r="K207" s="873">
        <v>-41866</v>
      </c>
      <c r="L207" s="873">
        <v>0</v>
      </c>
      <c r="M207" s="873">
        <v>0</v>
      </c>
      <c r="N207" s="873">
        <v>-1120476</v>
      </c>
      <c r="O207" s="873">
        <v>-273679</v>
      </c>
      <c r="P207" s="873">
        <v>-44765</v>
      </c>
      <c r="Q207" s="873">
        <v>-2810</v>
      </c>
      <c r="R207" s="873">
        <v>0</v>
      </c>
      <c r="S207" s="873">
        <v>0</v>
      </c>
      <c r="T207" s="873">
        <v>0</v>
      </c>
      <c r="U207" s="873">
        <v>0</v>
      </c>
      <c r="V207" s="873">
        <v>0</v>
      </c>
      <c r="W207" s="873">
        <v>0</v>
      </c>
      <c r="X207" s="873">
        <v>0</v>
      </c>
      <c r="Y207" s="873">
        <v>-705507</v>
      </c>
      <c r="Z207" s="873">
        <v>60729707</v>
      </c>
      <c r="AA207" s="873">
        <v>-800000</v>
      </c>
      <c r="AB207" s="874"/>
      <c r="AC207" s="873">
        <v>170</v>
      </c>
      <c r="AD207" s="873">
        <v>8</v>
      </c>
      <c r="AE207" s="873">
        <v>0</v>
      </c>
      <c r="AF207" s="873">
        <v>0</v>
      </c>
      <c r="AG207" s="873">
        <v>206</v>
      </c>
      <c r="AH207" s="873">
        <v>62</v>
      </c>
      <c r="AI207" s="873">
        <v>11</v>
      </c>
      <c r="AJ207" s="873">
        <v>5</v>
      </c>
      <c r="AK207" s="873">
        <v>0</v>
      </c>
      <c r="AL207" s="873">
        <v>0</v>
      </c>
      <c r="AM207" s="873">
        <v>0</v>
      </c>
      <c r="AN207" s="873">
        <v>0</v>
      </c>
      <c r="AO207" s="873">
        <v>1866</v>
      </c>
      <c r="AP207" s="873">
        <v>2383</v>
      </c>
      <c r="AQ207" s="873">
        <v>1769</v>
      </c>
      <c r="AR207" s="873">
        <v>614</v>
      </c>
      <c r="AS207" s="873">
        <v>1316</v>
      </c>
      <c r="AT207" s="843">
        <v>5536</v>
      </c>
      <c r="AU207" s="663"/>
      <c r="AV207" s="663"/>
      <c r="AX207" s="666"/>
      <c r="AY207" s="666"/>
      <c r="AZ207" s="666"/>
      <c r="BA207" s="666"/>
      <c r="BB207" s="666"/>
      <c r="BD207" s="666"/>
      <c r="BE207" s="666"/>
      <c r="BG207" s="666"/>
      <c r="BI207" s="666"/>
      <c r="BJ207" s="666"/>
      <c r="BK207" s="666"/>
    </row>
    <row r="208" spans="1:63" ht="12.75" x14ac:dyDescent="0.2">
      <c r="A208" s="288">
        <v>201</v>
      </c>
      <c r="B208" s="290" t="s">
        <v>312</v>
      </c>
      <c r="C208" s="279" t="s">
        <v>313</v>
      </c>
      <c r="D208" s="955">
        <v>276989</v>
      </c>
      <c r="E208" s="843">
        <v>200481497</v>
      </c>
      <c r="F208" s="873">
        <v>96637559</v>
      </c>
      <c r="G208" s="873">
        <v>-3629517</v>
      </c>
      <c r="H208" s="873">
        <v>1988073</v>
      </c>
      <c r="I208" s="873">
        <v>-1641444</v>
      </c>
      <c r="J208" s="873">
        <v>-6582784</v>
      </c>
      <c r="K208" s="873">
        <v>-33986</v>
      </c>
      <c r="L208" s="873">
        <v>0</v>
      </c>
      <c r="M208" s="873">
        <v>-99615</v>
      </c>
      <c r="N208" s="873">
        <v>-1443016</v>
      </c>
      <c r="O208" s="873">
        <v>-242900</v>
      </c>
      <c r="P208" s="873">
        <v>-11400</v>
      </c>
      <c r="Q208" s="873">
        <v>-2500</v>
      </c>
      <c r="R208" s="873">
        <v>0</v>
      </c>
      <c r="S208" s="873">
        <v>0</v>
      </c>
      <c r="T208" s="873">
        <v>0</v>
      </c>
      <c r="U208" s="873">
        <v>0</v>
      </c>
      <c r="V208" s="873">
        <v>0</v>
      </c>
      <c r="W208" s="873">
        <v>-2000</v>
      </c>
      <c r="X208" s="873">
        <v>-10000</v>
      </c>
      <c r="Y208" s="873">
        <v>-1148700</v>
      </c>
      <c r="Z208" s="873">
        <v>84719214</v>
      </c>
      <c r="AA208" s="873">
        <v>-2594700</v>
      </c>
      <c r="AB208" s="874"/>
      <c r="AC208" s="873">
        <v>316</v>
      </c>
      <c r="AD208" s="873">
        <v>10</v>
      </c>
      <c r="AE208" s="873">
        <v>0</v>
      </c>
      <c r="AF208" s="873">
        <v>3</v>
      </c>
      <c r="AG208" s="873">
        <v>193</v>
      </c>
      <c r="AH208" s="873">
        <v>74</v>
      </c>
      <c r="AI208" s="873">
        <v>1</v>
      </c>
      <c r="AJ208" s="873">
        <v>2</v>
      </c>
      <c r="AK208" s="873">
        <v>0</v>
      </c>
      <c r="AL208" s="873">
        <v>0</v>
      </c>
      <c r="AM208" s="873">
        <v>0</v>
      </c>
      <c r="AN208" s="873">
        <v>0</v>
      </c>
      <c r="AO208" s="873">
        <v>2256</v>
      </c>
      <c r="AP208" s="873">
        <v>1838</v>
      </c>
      <c r="AQ208" s="873">
        <v>1071</v>
      </c>
      <c r="AR208" s="873">
        <v>767</v>
      </c>
      <c r="AS208" s="873">
        <v>1919</v>
      </c>
      <c r="AT208" s="843">
        <v>6026</v>
      </c>
      <c r="AU208" s="663"/>
      <c r="AV208" s="663"/>
      <c r="AX208" s="666"/>
      <c r="AY208" s="666"/>
      <c r="AZ208" s="666"/>
      <c r="BA208" s="666"/>
      <c r="BB208" s="666"/>
      <c r="BD208" s="666"/>
      <c r="BE208" s="666"/>
      <c r="BG208" s="666"/>
      <c r="BI208" s="666"/>
      <c r="BJ208" s="666"/>
      <c r="BK208" s="666"/>
    </row>
    <row r="209" spans="1:63" ht="12.75" x14ac:dyDescent="0.2">
      <c r="A209" s="288">
        <v>202</v>
      </c>
      <c r="B209" s="290" t="s">
        <v>314</v>
      </c>
      <c r="C209" s="279" t="s">
        <v>315</v>
      </c>
      <c r="D209" s="955">
        <v>238529</v>
      </c>
      <c r="E209" s="843">
        <v>169683773</v>
      </c>
      <c r="F209" s="873">
        <v>80887082</v>
      </c>
      <c r="G209" s="873">
        <v>-3432374</v>
      </c>
      <c r="H209" s="873">
        <v>1935360</v>
      </c>
      <c r="I209" s="873">
        <v>-1497014</v>
      </c>
      <c r="J209" s="873">
        <v>-4762239</v>
      </c>
      <c r="K209" s="873">
        <v>-95101</v>
      </c>
      <c r="L209" s="873">
        <v>0</v>
      </c>
      <c r="M209" s="873">
        <v>0</v>
      </c>
      <c r="N209" s="873">
        <v>-2221612</v>
      </c>
      <c r="O209" s="873">
        <v>-43394</v>
      </c>
      <c r="P209" s="873">
        <v>-17805</v>
      </c>
      <c r="Q209" s="873">
        <v>-5432</v>
      </c>
      <c r="R209" s="873">
        <v>0</v>
      </c>
      <c r="S209" s="873">
        <v>0</v>
      </c>
      <c r="T209" s="873">
        <v>0</v>
      </c>
      <c r="U209" s="873">
        <v>0</v>
      </c>
      <c r="V209" s="873">
        <v>0</v>
      </c>
      <c r="W209" s="873">
        <v>0</v>
      </c>
      <c r="X209" s="873">
        <v>-203248</v>
      </c>
      <c r="Y209" s="873">
        <v>-1018405</v>
      </c>
      <c r="Z209" s="873">
        <v>70697832</v>
      </c>
      <c r="AA209" s="873">
        <v>-2987860</v>
      </c>
      <c r="AB209" s="874"/>
      <c r="AC209" s="873">
        <v>258</v>
      </c>
      <c r="AD209" s="873">
        <v>12</v>
      </c>
      <c r="AE209" s="873">
        <v>0</v>
      </c>
      <c r="AF209" s="873">
        <v>0</v>
      </c>
      <c r="AG209" s="873">
        <v>859</v>
      </c>
      <c r="AH209" s="873">
        <v>47</v>
      </c>
      <c r="AI209" s="873">
        <v>3</v>
      </c>
      <c r="AJ209" s="873">
        <v>2</v>
      </c>
      <c r="AK209" s="873">
        <v>0</v>
      </c>
      <c r="AL209" s="873">
        <v>0</v>
      </c>
      <c r="AM209" s="873">
        <v>0</v>
      </c>
      <c r="AN209" s="873">
        <v>0</v>
      </c>
      <c r="AO209" s="873">
        <v>2351</v>
      </c>
      <c r="AP209" s="873">
        <v>1766</v>
      </c>
      <c r="AQ209" s="873">
        <v>1151</v>
      </c>
      <c r="AR209" s="873">
        <v>615</v>
      </c>
      <c r="AS209" s="873">
        <v>1289</v>
      </c>
      <c r="AT209" s="843">
        <v>5466</v>
      </c>
      <c r="AU209" s="663"/>
      <c r="AV209" s="663"/>
      <c r="AX209" s="666"/>
      <c r="AY209" s="666"/>
      <c r="AZ209" s="666"/>
      <c r="BA209" s="666"/>
      <c r="BB209" s="666"/>
      <c r="BD209" s="666"/>
      <c r="BE209" s="666"/>
      <c r="BG209" s="666"/>
      <c r="BI209" s="666"/>
      <c r="BJ209" s="666"/>
      <c r="BK209" s="666"/>
    </row>
    <row r="210" spans="1:63" ht="12.75" x14ac:dyDescent="0.2">
      <c r="A210" s="288">
        <v>203</v>
      </c>
      <c r="B210" s="290" t="s">
        <v>316</v>
      </c>
      <c r="C210" s="279" t="s">
        <v>317</v>
      </c>
      <c r="D210" s="955">
        <v>97816</v>
      </c>
      <c r="E210" s="843">
        <v>42490126</v>
      </c>
      <c r="F210" s="873">
        <v>20391560</v>
      </c>
      <c r="G210" s="873">
        <v>-1771053</v>
      </c>
      <c r="H210" s="873">
        <v>440660</v>
      </c>
      <c r="I210" s="873">
        <v>-1330393</v>
      </c>
      <c r="J210" s="873">
        <v>-753000</v>
      </c>
      <c r="K210" s="873">
        <v>-45849</v>
      </c>
      <c r="L210" s="873">
        <v>-9022</v>
      </c>
      <c r="M210" s="873">
        <v>0</v>
      </c>
      <c r="N210" s="873">
        <v>-701686</v>
      </c>
      <c r="O210" s="873">
        <v>-16781</v>
      </c>
      <c r="P210" s="873">
        <v>-6329</v>
      </c>
      <c r="Q210" s="873">
        <v>-1686</v>
      </c>
      <c r="R210" s="873">
        <v>-4129</v>
      </c>
      <c r="S210" s="873">
        <v>0</v>
      </c>
      <c r="T210" s="873">
        <v>0</v>
      </c>
      <c r="U210" s="873">
        <v>0</v>
      </c>
      <c r="V210" s="873">
        <v>0</v>
      </c>
      <c r="W210" s="873">
        <v>0</v>
      </c>
      <c r="X210" s="873">
        <v>0</v>
      </c>
      <c r="Y210" s="873">
        <v>-329172</v>
      </c>
      <c r="Z210" s="873">
        <v>17193513</v>
      </c>
      <c r="AA210" s="873">
        <v>-50000</v>
      </c>
      <c r="AB210" s="874"/>
      <c r="AC210" s="873">
        <v>125</v>
      </c>
      <c r="AD210" s="873">
        <v>7</v>
      </c>
      <c r="AE210" s="873">
        <v>6</v>
      </c>
      <c r="AF210" s="873">
        <v>0</v>
      </c>
      <c r="AG210" s="873">
        <v>145</v>
      </c>
      <c r="AH210" s="873">
        <v>60</v>
      </c>
      <c r="AI210" s="873">
        <v>5</v>
      </c>
      <c r="AJ210" s="873">
        <v>4</v>
      </c>
      <c r="AK210" s="873">
        <v>6</v>
      </c>
      <c r="AL210" s="873">
        <v>0</v>
      </c>
      <c r="AM210" s="873">
        <v>0</v>
      </c>
      <c r="AN210" s="873">
        <v>0</v>
      </c>
      <c r="AO210" s="873">
        <v>567</v>
      </c>
      <c r="AP210" s="873">
        <v>1305</v>
      </c>
      <c r="AQ210" s="873">
        <v>979</v>
      </c>
      <c r="AR210" s="873">
        <v>326</v>
      </c>
      <c r="AS210" s="873">
        <v>595</v>
      </c>
      <c r="AT210" s="843">
        <v>2507</v>
      </c>
      <c r="AU210" s="663"/>
      <c r="AV210" s="663"/>
      <c r="AX210" s="666"/>
      <c r="AY210" s="666"/>
      <c r="AZ210" s="666"/>
      <c r="BA210" s="666"/>
      <c r="BB210" s="666"/>
      <c r="BD210" s="666"/>
      <c r="BE210" s="666"/>
      <c r="BG210" s="666"/>
      <c r="BI210" s="666"/>
      <c r="BJ210" s="666"/>
      <c r="BK210" s="666"/>
    </row>
    <row r="211" spans="1:63" ht="12.75" x14ac:dyDescent="0.2">
      <c r="A211" s="288">
        <v>204</v>
      </c>
      <c r="B211" s="290" t="s">
        <v>318</v>
      </c>
      <c r="C211" s="279" t="s">
        <v>319</v>
      </c>
      <c r="D211" s="955">
        <v>272050</v>
      </c>
      <c r="E211" s="843">
        <v>249624171</v>
      </c>
      <c r="F211" s="873">
        <v>118092803</v>
      </c>
      <c r="G211" s="873">
        <v>-1802530</v>
      </c>
      <c r="H211" s="873">
        <v>2994401</v>
      </c>
      <c r="I211" s="873">
        <v>1191871</v>
      </c>
      <c r="J211" s="873">
        <v>-3969774</v>
      </c>
      <c r="K211" s="873">
        <v>-6784</v>
      </c>
      <c r="L211" s="873">
        <v>0</v>
      </c>
      <c r="M211" s="873">
        <v>0</v>
      </c>
      <c r="N211" s="873">
        <v>-2484678</v>
      </c>
      <c r="O211" s="873">
        <v>-53307</v>
      </c>
      <c r="P211" s="873">
        <v>0</v>
      </c>
      <c r="Q211" s="873">
        <v>0</v>
      </c>
      <c r="R211" s="873">
        <v>0</v>
      </c>
      <c r="S211" s="873">
        <v>0</v>
      </c>
      <c r="T211" s="873">
        <v>0</v>
      </c>
      <c r="U211" s="873">
        <v>0</v>
      </c>
      <c r="V211" s="873">
        <v>0</v>
      </c>
      <c r="W211" s="873">
        <v>0</v>
      </c>
      <c r="X211" s="873">
        <v>0</v>
      </c>
      <c r="Y211" s="873">
        <v>-519621</v>
      </c>
      <c r="Z211" s="873">
        <v>112250510</v>
      </c>
      <c r="AA211" s="873">
        <v>-5500000</v>
      </c>
      <c r="AB211" s="874"/>
      <c r="AC211" s="873">
        <v>261</v>
      </c>
      <c r="AD211" s="873">
        <v>6</v>
      </c>
      <c r="AE211" s="873">
        <v>0</v>
      </c>
      <c r="AF211" s="873">
        <v>0</v>
      </c>
      <c r="AG211" s="873">
        <v>634</v>
      </c>
      <c r="AH211" s="873">
        <v>37</v>
      </c>
      <c r="AI211" s="873">
        <v>0</v>
      </c>
      <c r="AJ211" s="873">
        <v>0</v>
      </c>
      <c r="AK211" s="873">
        <v>0</v>
      </c>
      <c r="AL211" s="873">
        <v>0</v>
      </c>
      <c r="AM211" s="873">
        <v>0</v>
      </c>
      <c r="AN211" s="873">
        <v>0</v>
      </c>
      <c r="AO211" s="873">
        <v>2513</v>
      </c>
      <c r="AP211" s="873">
        <v>886</v>
      </c>
      <c r="AQ211" s="873">
        <v>384</v>
      </c>
      <c r="AR211" s="873">
        <v>502</v>
      </c>
      <c r="AS211" s="873">
        <v>1568</v>
      </c>
      <c r="AT211" s="843">
        <v>5078</v>
      </c>
      <c r="AU211" s="663"/>
      <c r="AV211" s="663"/>
      <c r="AX211" s="666"/>
      <c r="AY211" s="666"/>
      <c r="AZ211" s="666"/>
      <c r="BA211" s="666"/>
      <c r="BB211" s="666"/>
      <c r="BD211" s="666"/>
      <c r="BE211" s="666"/>
      <c r="BG211" s="666"/>
      <c r="BI211" s="666"/>
      <c r="BJ211" s="666"/>
      <c r="BK211" s="666"/>
    </row>
    <row r="212" spans="1:63" ht="12.75" x14ac:dyDescent="0.2">
      <c r="A212" s="288">
        <v>205</v>
      </c>
      <c r="B212" s="290" t="s">
        <v>320</v>
      </c>
      <c r="C212" s="279" t="s">
        <v>321</v>
      </c>
      <c r="D212" s="955">
        <v>282286</v>
      </c>
      <c r="E212" s="843">
        <v>137017578</v>
      </c>
      <c r="F212" s="873">
        <v>66355457</v>
      </c>
      <c r="G212" s="873">
        <v>-3662236</v>
      </c>
      <c r="H212" s="873">
        <v>1286448</v>
      </c>
      <c r="I212" s="873">
        <v>-2375788</v>
      </c>
      <c r="J212" s="873">
        <v>-4727032</v>
      </c>
      <c r="K212" s="873">
        <v>-112532</v>
      </c>
      <c r="L212" s="873">
        <v>0</v>
      </c>
      <c r="M212" s="873">
        <v>0</v>
      </c>
      <c r="N212" s="873">
        <v>-888043</v>
      </c>
      <c r="O212" s="873">
        <v>-124371</v>
      </c>
      <c r="P212" s="873">
        <v>-15360</v>
      </c>
      <c r="Q212" s="873">
        <v>0</v>
      </c>
      <c r="R212" s="873">
        <v>0</v>
      </c>
      <c r="S212" s="873">
        <v>0</v>
      </c>
      <c r="T212" s="873">
        <v>0</v>
      </c>
      <c r="U212" s="873">
        <v>0</v>
      </c>
      <c r="V212" s="873">
        <v>0</v>
      </c>
      <c r="W212" s="873">
        <v>0</v>
      </c>
      <c r="X212" s="873">
        <v>0</v>
      </c>
      <c r="Y212" s="873">
        <v>-1934677</v>
      </c>
      <c r="Z212" s="873">
        <v>56177654</v>
      </c>
      <c r="AA212" s="873">
        <v>-2086745</v>
      </c>
      <c r="AB212" s="874"/>
      <c r="AC212" s="873">
        <v>282</v>
      </c>
      <c r="AD212" s="873">
        <v>19</v>
      </c>
      <c r="AE212" s="873">
        <v>0</v>
      </c>
      <c r="AF212" s="873">
        <v>0</v>
      </c>
      <c r="AG212" s="873">
        <v>643</v>
      </c>
      <c r="AH212" s="873">
        <v>0</v>
      </c>
      <c r="AI212" s="873">
        <v>9</v>
      </c>
      <c r="AJ212" s="873">
        <v>0</v>
      </c>
      <c r="AK212" s="873">
        <v>0</v>
      </c>
      <c r="AL212" s="873">
        <v>0</v>
      </c>
      <c r="AM212" s="873">
        <v>0</v>
      </c>
      <c r="AN212" s="873">
        <v>0</v>
      </c>
      <c r="AO212" s="873">
        <v>1868</v>
      </c>
      <c r="AP212" s="873">
        <v>1889</v>
      </c>
      <c r="AQ212" s="873">
        <v>891</v>
      </c>
      <c r="AR212" s="873">
        <v>998</v>
      </c>
      <c r="AS212" s="873">
        <v>2642</v>
      </c>
      <c r="AT212" s="843">
        <v>6498</v>
      </c>
      <c r="AU212" s="663"/>
      <c r="AV212" s="663"/>
      <c r="AX212" s="666"/>
      <c r="AY212" s="666"/>
      <c r="AZ212" s="666"/>
      <c r="BA212" s="666"/>
      <c r="BB212" s="666"/>
      <c r="BD212" s="666"/>
      <c r="BE212" s="666"/>
      <c r="BG212" s="666"/>
      <c r="BI212" s="666"/>
      <c r="BJ212" s="666"/>
      <c r="BK212" s="666"/>
    </row>
    <row r="213" spans="1:63" ht="12.75" x14ac:dyDescent="0.2">
      <c r="A213" s="288">
        <v>206</v>
      </c>
      <c r="B213" s="290" t="s">
        <v>322</v>
      </c>
      <c r="C213" s="279" t="s">
        <v>323</v>
      </c>
      <c r="D213" s="955">
        <v>168457</v>
      </c>
      <c r="E213" s="843">
        <v>115579075</v>
      </c>
      <c r="F213" s="873">
        <v>54621064</v>
      </c>
      <c r="G213" s="873">
        <v>-2474065</v>
      </c>
      <c r="H213" s="873">
        <v>1351358</v>
      </c>
      <c r="I213" s="873">
        <v>-1122707</v>
      </c>
      <c r="J213" s="873">
        <v>-2348195</v>
      </c>
      <c r="K213" s="873">
        <v>-64861</v>
      </c>
      <c r="L213" s="873">
        <v>-1676</v>
      </c>
      <c r="M213" s="873">
        <v>0</v>
      </c>
      <c r="N213" s="873">
        <v>-724580</v>
      </c>
      <c r="O213" s="873">
        <v>-41073</v>
      </c>
      <c r="P213" s="873">
        <v>-274778</v>
      </c>
      <c r="Q213" s="873">
        <v>0</v>
      </c>
      <c r="R213" s="873">
        <v>0</v>
      </c>
      <c r="S213" s="873">
        <v>0</v>
      </c>
      <c r="T213" s="873">
        <v>0</v>
      </c>
      <c r="U213" s="873">
        <v>0</v>
      </c>
      <c r="V213" s="873">
        <v>0</v>
      </c>
      <c r="W213" s="873">
        <v>0</v>
      </c>
      <c r="X213" s="873">
        <v>-855650</v>
      </c>
      <c r="Y213" s="873">
        <v>-374711</v>
      </c>
      <c r="Z213" s="873">
        <v>48812833</v>
      </c>
      <c r="AA213" s="873">
        <v>-1000000</v>
      </c>
      <c r="AB213" s="874"/>
      <c r="AC213" s="873">
        <v>175</v>
      </c>
      <c r="AD213" s="873">
        <v>13</v>
      </c>
      <c r="AE213" s="873">
        <v>3</v>
      </c>
      <c r="AF213" s="873">
        <v>0</v>
      </c>
      <c r="AG213" s="873">
        <v>303</v>
      </c>
      <c r="AH213" s="873">
        <v>28</v>
      </c>
      <c r="AI213" s="873">
        <v>19</v>
      </c>
      <c r="AJ213" s="873">
        <v>0</v>
      </c>
      <c r="AK213" s="873">
        <v>0</v>
      </c>
      <c r="AL213" s="873">
        <v>0</v>
      </c>
      <c r="AM213" s="873">
        <v>1</v>
      </c>
      <c r="AN213" s="873">
        <v>0</v>
      </c>
      <c r="AO213" s="873">
        <v>1252</v>
      </c>
      <c r="AP213" s="873">
        <v>1580</v>
      </c>
      <c r="AQ213" s="873">
        <v>1250</v>
      </c>
      <c r="AR213" s="873">
        <v>330</v>
      </c>
      <c r="AS213" s="873">
        <v>1097</v>
      </c>
      <c r="AT213" s="843">
        <v>3902</v>
      </c>
      <c r="AU213" s="663"/>
      <c r="AV213" s="663"/>
      <c r="AX213" s="666"/>
      <c r="AY213" s="666"/>
      <c r="AZ213" s="666"/>
      <c r="BA213" s="666"/>
      <c r="BB213" s="666"/>
      <c r="BD213" s="666"/>
      <c r="BE213" s="666"/>
      <c r="BG213" s="666"/>
      <c r="BI213" s="666"/>
      <c r="BJ213" s="666"/>
      <c r="BK213" s="666"/>
    </row>
    <row r="214" spans="1:63" ht="12.75" x14ac:dyDescent="0.2">
      <c r="A214" s="288">
        <v>207</v>
      </c>
      <c r="B214" s="290" t="s">
        <v>324</v>
      </c>
      <c r="C214" s="279" t="s">
        <v>325</v>
      </c>
      <c r="D214" s="955">
        <v>110398</v>
      </c>
      <c r="E214" s="843">
        <v>84334173</v>
      </c>
      <c r="F214" s="873">
        <v>40281446</v>
      </c>
      <c r="G214" s="873">
        <v>-1343103</v>
      </c>
      <c r="H214" s="873">
        <v>974355.58</v>
      </c>
      <c r="I214" s="873">
        <v>-368747.42</v>
      </c>
      <c r="J214" s="873">
        <v>-1228015.6000000001</v>
      </c>
      <c r="K214" s="873">
        <v>-13665.96</v>
      </c>
      <c r="L214" s="873">
        <v>-1405.05</v>
      </c>
      <c r="M214" s="873">
        <v>-53000</v>
      </c>
      <c r="N214" s="873">
        <v>-688815.72</v>
      </c>
      <c r="O214" s="873">
        <v>-29355.69</v>
      </c>
      <c r="P214" s="873">
        <v>-50751.47</v>
      </c>
      <c r="Q214" s="873">
        <v>0</v>
      </c>
      <c r="R214" s="873">
        <v>0</v>
      </c>
      <c r="S214" s="873">
        <v>0</v>
      </c>
      <c r="T214" s="873">
        <v>0</v>
      </c>
      <c r="U214" s="873">
        <v>0</v>
      </c>
      <c r="V214" s="873">
        <v>0</v>
      </c>
      <c r="W214" s="873">
        <v>0</v>
      </c>
      <c r="X214" s="873">
        <v>-8257.75</v>
      </c>
      <c r="Y214" s="873">
        <v>-137474.49</v>
      </c>
      <c r="Z214" s="873">
        <v>37701956.700000003</v>
      </c>
      <c r="AA214" s="873">
        <v>-491632</v>
      </c>
      <c r="AB214" s="874"/>
      <c r="AC214" s="873">
        <v>89</v>
      </c>
      <c r="AD214" s="873">
        <v>2</v>
      </c>
      <c r="AE214" s="873">
        <v>1</v>
      </c>
      <c r="AF214" s="873">
        <v>0</v>
      </c>
      <c r="AG214" s="873">
        <v>165</v>
      </c>
      <c r="AH214" s="873">
        <v>30</v>
      </c>
      <c r="AI214" s="873">
        <v>10</v>
      </c>
      <c r="AJ214" s="873">
        <v>0</v>
      </c>
      <c r="AK214" s="873">
        <v>0</v>
      </c>
      <c r="AL214" s="873">
        <v>0</v>
      </c>
      <c r="AM214" s="873">
        <v>0</v>
      </c>
      <c r="AN214" s="873">
        <v>0</v>
      </c>
      <c r="AO214" s="873">
        <v>1141</v>
      </c>
      <c r="AP214" s="873">
        <v>715</v>
      </c>
      <c r="AQ214" s="873">
        <v>449</v>
      </c>
      <c r="AR214" s="873">
        <v>266</v>
      </c>
      <c r="AS214" s="873">
        <v>582</v>
      </c>
      <c r="AT214" s="843">
        <v>2473</v>
      </c>
      <c r="AU214" s="663"/>
      <c r="AV214" s="663"/>
      <c r="AX214" s="666"/>
      <c r="AY214" s="666"/>
      <c r="AZ214" s="666"/>
      <c r="BA214" s="666"/>
      <c r="BB214" s="666"/>
      <c r="BD214" s="666"/>
      <c r="BE214" s="666"/>
      <c r="BG214" s="666"/>
      <c r="BI214" s="666"/>
      <c r="BJ214" s="666"/>
      <c r="BK214" s="666"/>
    </row>
    <row r="215" spans="1:63" ht="12.75" x14ac:dyDescent="0.2">
      <c r="A215" s="288">
        <v>208</v>
      </c>
      <c r="B215" s="290" t="s">
        <v>326</v>
      </c>
      <c r="C215" s="279" t="s">
        <v>327</v>
      </c>
      <c r="D215" s="955">
        <v>172098</v>
      </c>
      <c r="E215" s="843">
        <v>118610091</v>
      </c>
      <c r="F215" s="873">
        <v>56758795</v>
      </c>
      <c r="G215" s="873">
        <v>-1969567</v>
      </c>
      <c r="H215" s="873">
        <v>1394511</v>
      </c>
      <c r="I215" s="873">
        <v>-575056</v>
      </c>
      <c r="J215" s="873">
        <v>-3359080</v>
      </c>
      <c r="K215" s="873">
        <v>-60422</v>
      </c>
      <c r="L215" s="873">
        <v>0</v>
      </c>
      <c r="M215" s="873">
        <v>-43000</v>
      </c>
      <c r="N215" s="873">
        <v>-1132403</v>
      </c>
      <c r="O215" s="873">
        <v>-71559</v>
      </c>
      <c r="P215" s="873">
        <v>-33043</v>
      </c>
      <c r="Q215" s="873">
        <v>-2266</v>
      </c>
      <c r="R215" s="873">
        <v>-3151</v>
      </c>
      <c r="S215" s="873">
        <v>0</v>
      </c>
      <c r="T215" s="873">
        <v>0</v>
      </c>
      <c r="U215" s="873">
        <v>0</v>
      </c>
      <c r="V215" s="873">
        <v>0</v>
      </c>
      <c r="W215" s="873">
        <v>-2000</v>
      </c>
      <c r="X215" s="873">
        <v>-5000</v>
      </c>
      <c r="Y215" s="873">
        <v>-691150</v>
      </c>
      <c r="Z215" s="873">
        <v>50050665</v>
      </c>
      <c r="AA215" s="873">
        <v>-952858</v>
      </c>
      <c r="AB215" s="874"/>
      <c r="AC215" s="873">
        <v>199</v>
      </c>
      <c r="AD215" s="873">
        <v>23</v>
      </c>
      <c r="AE215" s="873">
        <v>0</v>
      </c>
      <c r="AF215" s="873">
        <v>0</v>
      </c>
      <c r="AG215" s="873">
        <v>372</v>
      </c>
      <c r="AH215" s="873">
        <v>22</v>
      </c>
      <c r="AI215" s="873">
        <v>1</v>
      </c>
      <c r="AJ215" s="873">
        <v>3</v>
      </c>
      <c r="AK215" s="873">
        <v>1</v>
      </c>
      <c r="AL215" s="873">
        <v>0</v>
      </c>
      <c r="AM215" s="873">
        <v>0</v>
      </c>
      <c r="AN215" s="873">
        <v>0</v>
      </c>
      <c r="AO215" s="873">
        <v>1591</v>
      </c>
      <c r="AP215" s="873">
        <v>978</v>
      </c>
      <c r="AQ215" s="873">
        <v>513</v>
      </c>
      <c r="AR215" s="873">
        <v>465</v>
      </c>
      <c r="AS215" s="873">
        <v>956</v>
      </c>
      <c r="AT215" s="843">
        <v>3497</v>
      </c>
      <c r="AU215" s="663"/>
      <c r="AV215" s="663"/>
      <c r="AX215" s="666"/>
      <c r="AY215" s="666"/>
      <c r="AZ215" s="666"/>
      <c r="BA215" s="666"/>
      <c r="BB215" s="666"/>
      <c r="BD215" s="666"/>
      <c r="BE215" s="666"/>
      <c r="BG215" s="666"/>
      <c r="BI215" s="666"/>
      <c r="BJ215" s="666"/>
      <c r="BK215" s="666"/>
    </row>
    <row r="216" spans="1:63" ht="12.75" x14ac:dyDescent="0.2">
      <c r="A216" s="288">
        <v>209</v>
      </c>
      <c r="B216" s="290" t="s">
        <v>328</v>
      </c>
      <c r="C216" s="279" t="s">
        <v>329</v>
      </c>
      <c r="D216" s="955">
        <v>89974</v>
      </c>
      <c r="E216" s="843">
        <v>37861949</v>
      </c>
      <c r="F216" s="873">
        <v>18286000</v>
      </c>
      <c r="G216" s="873">
        <v>-1964875</v>
      </c>
      <c r="H216" s="873">
        <v>366777</v>
      </c>
      <c r="I216" s="873">
        <v>-1598098</v>
      </c>
      <c r="J216" s="873">
        <v>-951647</v>
      </c>
      <c r="K216" s="873">
        <v>-26637</v>
      </c>
      <c r="L216" s="873">
        <v>-28531</v>
      </c>
      <c r="M216" s="873">
        <v>0</v>
      </c>
      <c r="N216" s="873">
        <v>-319474</v>
      </c>
      <c r="O216" s="873">
        <v>-30557</v>
      </c>
      <c r="P216" s="873">
        <v>-10345</v>
      </c>
      <c r="Q216" s="873">
        <v>0</v>
      </c>
      <c r="R216" s="873">
        <v>-5429</v>
      </c>
      <c r="S216" s="873">
        <v>-1622</v>
      </c>
      <c r="T216" s="873">
        <v>0</v>
      </c>
      <c r="U216" s="873">
        <v>0</v>
      </c>
      <c r="V216" s="873">
        <v>0</v>
      </c>
      <c r="W216" s="873">
        <v>-20000</v>
      </c>
      <c r="X216" s="873">
        <v>-20000</v>
      </c>
      <c r="Y216" s="873">
        <v>-440820</v>
      </c>
      <c r="Z216" s="873">
        <v>14832840</v>
      </c>
      <c r="AA216" s="873">
        <v>-57524</v>
      </c>
      <c r="AB216" s="874"/>
      <c r="AC216" s="873">
        <v>127</v>
      </c>
      <c r="AD216" s="873">
        <v>3</v>
      </c>
      <c r="AE216" s="873">
        <v>20</v>
      </c>
      <c r="AF216" s="873">
        <v>0</v>
      </c>
      <c r="AG216" s="873">
        <v>168</v>
      </c>
      <c r="AH216" s="873">
        <v>51</v>
      </c>
      <c r="AI216" s="873">
        <v>5</v>
      </c>
      <c r="AJ216" s="873">
        <v>0</v>
      </c>
      <c r="AK216" s="873">
        <v>6</v>
      </c>
      <c r="AL216" s="873">
        <v>1</v>
      </c>
      <c r="AM216" s="873">
        <v>0</v>
      </c>
      <c r="AN216" s="873">
        <v>0</v>
      </c>
      <c r="AO216" s="873">
        <v>655</v>
      </c>
      <c r="AP216" s="873">
        <v>1102</v>
      </c>
      <c r="AQ216" s="873">
        <v>761</v>
      </c>
      <c r="AR216" s="873">
        <v>341</v>
      </c>
      <c r="AS216" s="873">
        <v>560</v>
      </c>
      <c r="AT216" s="843">
        <v>2318</v>
      </c>
      <c r="AU216" s="663"/>
      <c r="AV216" s="663"/>
      <c r="AX216" s="666"/>
      <c r="AY216" s="666"/>
      <c r="AZ216" s="666"/>
      <c r="BA216" s="666"/>
      <c r="BB216" s="666"/>
      <c r="BD216" s="666"/>
      <c r="BE216" s="666"/>
      <c r="BG216" s="666"/>
      <c r="BI216" s="666"/>
      <c r="BJ216" s="666"/>
      <c r="BK216" s="666"/>
    </row>
    <row r="217" spans="1:63" ht="12.75" x14ac:dyDescent="0.2">
      <c r="A217" s="288">
        <v>210</v>
      </c>
      <c r="B217" s="290" t="s">
        <v>330</v>
      </c>
      <c r="C217" s="279" t="s">
        <v>331</v>
      </c>
      <c r="D217" s="955">
        <v>292908</v>
      </c>
      <c r="E217" s="843">
        <v>204530084</v>
      </c>
      <c r="F217" s="873">
        <v>98876328</v>
      </c>
      <c r="G217" s="873">
        <v>-2322233</v>
      </c>
      <c r="H217" s="873">
        <v>2156893</v>
      </c>
      <c r="I217" s="873">
        <v>-165340</v>
      </c>
      <c r="J217" s="873">
        <v>-8309649</v>
      </c>
      <c r="K217" s="873">
        <v>-52854</v>
      </c>
      <c r="L217" s="873">
        <v>0</v>
      </c>
      <c r="M217" s="873">
        <v>0</v>
      </c>
      <c r="N217" s="873">
        <v>-1979918</v>
      </c>
      <c r="O217" s="873">
        <v>-253584</v>
      </c>
      <c r="P217" s="873">
        <v>-160000</v>
      </c>
      <c r="Q217" s="873">
        <v>-4018</v>
      </c>
      <c r="R217" s="873">
        <v>0</v>
      </c>
      <c r="S217" s="873">
        <v>0</v>
      </c>
      <c r="T217" s="873">
        <v>0</v>
      </c>
      <c r="U217" s="873">
        <v>0</v>
      </c>
      <c r="V217" s="873">
        <v>0</v>
      </c>
      <c r="W217" s="873">
        <v>0</v>
      </c>
      <c r="X217" s="873">
        <v>0</v>
      </c>
      <c r="Y217" s="873">
        <v>-1052997</v>
      </c>
      <c r="Z217" s="873">
        <v>86897968</v>
      </c>
      <c r="AA217" s="873">
        <v>-4390138</v>
      </c>
      <c r="AB217" s="874"/>
      <c r="AC217" s="873">
        <v>291</v>
      </c>
      <c r="AD217" s="873">
        <v>10</v>
      </c>
      <c r="AE217" s="873">
        <v>0</v>
      </c>
      <c r="AF217" s="873">
        <v>0</v>
      </c>
      <c r="AG217" s="873">
        <v>366</v>
      </c>
      <c r="AH217" s="873">
        <v>91</v>
      </c>
      <c r="AI217" s="873">
        <v>40</v>
      </c>
      <c r="AJ217" s="873">
        <v>2</v>
      </c>
      <c r="AK217" s="873">
        <v>0</v>
      </c>
      <c r="AL217" s="873">
        <v>0</v>
      </c>
      <c r="AM217" s="873">
        <v>0</v>
      </c>
      <c r="AN217" s="873">
        <v>0</v>
      </c>
      <c r="AO217" s="873">
        <v>2166</v>
      </c>
      <c r="AP217" s="873">
        <v>1189</v>
      </c>
      <c r="AQ217" s="873">
        <v>466</v>
      </c>
      <c r="AR217" s="873">
        <v>723</v>
      </c>
      <c r="AS217" s="873">
        <v>2480</v>
      </c>
      <c r="AT217" s="843">
        <v>5873</v>
      </c>
      <c r="AU217" s="663"/>
      <c r="AV217" s="663"/>
      <c r="AX217" s="666"/>
      <c r="AY217" s="666"/>
      <c r="AZ217" s="666"/>
      <c r="BA217" s="666"/>
      <c r="BB217" s="666"/>
      <c r="BD217" s="666"/>
      <c r="BE217" s="666"/>
      <c r="BG217" s="666"/>
      <c r="BI217" s="666"/>
      <c r="BJ217" s="666"/>
      <c r="BK217" s="666"/>
    </row>
    <row r="218" spans="1:63" ht="12.75" x14ac:dyDescent="0.2">
      <c r="A218" s="288">
        <v>211</v>
      </c>
      <c r="B218" s="290" t="s">
        <v>332</v>
      </c>
      <c r="C218" s="279" t="s">
        <v>333</v>
      </c>
      <c r="D218" s="955">
        <v>97217</v>
      </c>
      <c r="E218" s="843">
        <v>32704255</v>
      </c>
      <c r="F218" s="873">
        <v>15667544</v>
      </c>
      <c r="G218" s="873">
        <v>-1818424</v>
      </c>
      <c r="H218" s="873">
        <v>318157</v>
      </c>
      <c r="I218" s="873">
        <v>-1500267</v>
      </c>
      <c r="J218" s="873">
        <v>-608259</v>
      </c>
      <c r="K218" s="873">
        <v>-43416</v>
      </c>
      <c r="L218" s="873">
        <v>-48429</v>
      </c>
      <c r="M218" s="873">
        <v>0</v>
      </c>
      <c r="N218" s="873">
        <v>-249270</v>
      </c>
      <c r="O218" s="873">
        <v>-52443</v>
      </c>
      <c r="P218" s="873">
        <v>-7138</v>
      </c>
      <c r="Q218" s="873">
        <v>-1388</v>
      </c>
      <c r="R218" s="873">
        <v>-23897</v>
      </c>
      <c r="S218" s="873">
        <v>0</v>
      </c>
      <c r="T218" s="873">
        <v>0</v>
      </c>
      <c r="U218" s="873">
        <v>0</v>
      </c>
      <c r="V218" s="873">
        <v>0</v>
      </c>
      <c r="W218" s="873">
        <v>-6240</v>
      </c>
      <c r="X218" s="873">
        <v>0</v>
      </c>
      <c r="Y218" s="873">
        <v>-274536</v>
      </c>
      <c r="Z218" s="873">
        <v>12852261</v>
      </c>
      <c r="AA218" s="873">
        <v>-350000</v>
      </c>
      <c r="AB218" s="874"/>
      <c r="AC218" s="873">
        <v>131</v>
      </c>
      <c r="AD218" s="873">
        <v>6</v>
      </c>
      <c r="AE218" s="873">
        <v>42</v>
      </c>
      <c r="AF218" s="873">
        <v>0</v>
      </c>
      <c r="AG218" s="873">
        <v>226</v>
      </c>
      <c r="AH218" s="873">
        <v>87</v>
      </c>
      <c r="AI218" s="873">
        <v>4</v>
      </c>
      <c r="AJ218" s="873">
        <v>2</v>
      </c>
      <c r="AK218" s="873">
        <v>32</v>
      </c>
      <c r="AL218" s="873">
        <v>0</v>
      </c>
      <c r="AM218" s="873">
        <v>0</v>
      </c>
      <c r="AN218" s="873">
        <v>0</v>
      </c>
      <c r="AO218" s="873">
        <v>584</v>
      </c>
      <c r="AP218" s="873">
        <v>1218</v>
      </c>
      <c r="AQ218" s="873">
        <v>1020</v>
      </c>
      <c r="AR218" s="873">
        <v>198</v>
      </c>
      <c r="AS218" s="873">
        <v>805</v>
      </c>
      <c r="AT218" s="843">
        <v>2585</v>
      </c>
      <c r="AU218" s="663"/>
      <c r="AV218" s="663"/>
      <c r="AX218" s="666"/>
      <c r="AY218" s="666"/>
      <c r="AZ218" s="666"/>
      <c r="BA218" s="666"/>
      <c r="BB218" s="666"/>
      <c r="BD218" s="666"/>
      <c r="BE218" s="666"/>
      <c r="BG218" s="666"/>
      <c r="BI218" s="666"/>
      <c r="BJ218" s="666"/>
      <c r="BK218" s="666"/>
    </row>
    <row r="219" spans="1:63" ht="12.75" x14ac:dyDescent="0.2">
      <c r="A219" s="288">
        <v>212</v>
      </c>
      <c r="B219" s="290" t="s">
        <v>334</v>
      </c>
      <c r="C219" s="279" t="s">
        <v>335</v>
      </c>
      <c r="D219" s="955">
        <v>287386</v>
      </c>
      <c r="E219" s="843">
        <v>165648499</v>
      </c>
      <c r="F219" s="873">
        <v>77935563</v>
      </c>
      <c r="G219" s="873">
        <v>-5248595</v>
      </c>
      <c r="H219" s="873">
        <v>1816116</v>
      </c>
      <c r="I219" s="873">
        <v>-3432479</v>
      </c>
      <c r="J219" s="873">
        <v>-3358328</v>
      </c>
      <c r="K219" s="873">
        <v>-96184</v>
      </c>
      <c r="L219" s="873">
        <v>0</v>
      </c>
      <c r="M219" s="873">
        <v>-5196</v>
      </c>
      <c r="N219" s="873">
        <v>-2073192</v>
      </c>
      <c r="O219" s="873">
        <v>-250219</v>
      </c>
      <c r="P219" s="873">
        <v>-79205</v>
      </c>
      <c r="Q219" s="873">
        <v>-8928</v>
      </c>
      <c r="R219" s="873">
        <v>0</v>
      </c>
      <c r="S219" s="873">
        <v>0</v>
      </c>
      <c r="T219" s="873">
        <v>0</v>
      </c>
      <c r="U219" s="873">
        <v>0</v>
      </c>
      <c r="V219" s="873">
        <v>0</v>
      </c>
      <c r="W219" s="873">
        <v>-16516</v>
      </c>
      <c r="X219" s="873">
        <v>-70397</v>
      </c>
      <c r="Y219" s="873">
        <v>-1151871</v>
      </c>
      <c r="Z219" s="873">
        <v>64613048</v>
      </c>
      <c r="AA219" s="873">
        <v>-1250000</v>
      </c>
      <c r="AB219" s="874"/>
      <c r="AC219" s="873">
        <v>318</v>
      </c>
      <c r="AD219" s="873">
        <v>13</v>
      </c>
      <c r="AE219" s="873">
        <v>0</v>
      </c>
      <c r="AF219" s="873">
        <v>3</v>
      </c>
      <c r="AG219" s="873">
        <v>1267</v>
      </c>
      <c r="AH219" s="873">
        <v>62</v>
      </c>
      <c r="AI219" s="873">
        <v>15</v>
      </c>
      <c r="AJ219" s="873">
        <v>7</v>
      </c>
      <c r="AK219" s="873">
        <v>0</v>
      </c>
      <c r="AL219" s="873">
        <v>0</v>
      </c>
      <c r="AM219" s="873">
        <v>0</v>
      </c>
      <c r="AN219" s="873">
        <v>0</v>
      </c>
      <c r="AO219" s="873">
        <v>2456</v>
      </c>
      <c r="AP219" s="873">
        <v>2757</v>
      </c>
      <c r="AQ219" s="873">
        <v>1924</v>
      </c>
      <c r="AR219" s="873">
        <v>833</v>
      </c>
      <c r="AS219" s="873">
        <v>1636</v>
      </c>
      <c r="AT219" s="843">
        <v>6823</v>
      </c>
      <c r="AU219" s="663"/>
      <c r="AV219" s="663"/>
      <c r="AX219" s="666"/>
      <c r="AY219" s="666"/>
      <c r="AZ219" s="666"/>
      <c r="BA219" s="666"/>
      <c r="BB219" s="666"/>
      <c r="BD219" s="666"/>
      <c r="BE219" s="666"/>
      <c r="BG219" s="666"/>
      <c r="BI219" s="666"/>
      <c r="BJ219" s="666"/>
      <c r="BK219" s="666"/>
    </row>
    <row r="220" spans="1:63" ht="12.75" x14ac:dyDescent="0.2">
      <c r="A220" s="288">
        <v>213</v>
      </c>
      <c r="B220" s="290" t="s">
        <v>336</v>
      </c>
      <c r="C220" s="279" t="s">
        <v>337</v>
      </c>
      <c r="D220" s="955">
        <v>85715</v>
      </c>
      <c r="E220" s="843">
        <v>41007100</v>
      </c>
      <c r="F220" s="873">
        <v>19591831</v>
      </c>
      <c r="G220" s="873">
        <v>-1605568</v>
      </c>
      <c r="H220" s="873">
        <v>392423</v>
      </c>
      <c r="I220" s="873">
        <v>-1213145</v>
      </c>
      <c r="J220" s="873">
        <v>-987459</v>
      </c>
      <c r="K220" s="873">
        <v>-13518</v>
      </c>
      <c r="L220" s="873">
        <v>-265</v>
      </c>
      <c r="M220" s="873">
        <v>0</v>
      </c>
      <c r="N220" s="873">
        <v>-324427</v>
      </c>
      <c r="O220" s="873">
        <v>-22877</v>
      </c>
      <c r="P220" s="873">
        <v>0</v>
      </c>
      <c r="Q220" s="873">
        <v>-345</v>
      </c>
      <c r="R220" s="873">
        <v>0</v>
      </c>
      <c r="S220" s="873">
        <v>0</v>
      </c>
      <c r="T220" s="873">
        <v>0</v>
      </c>
      <c r="U220" s="873">
        <v>0</v>
      </c>
      <c r="V220" s="873">
        <v>0</v>
      </c>
      <c r="W220" s="873">
        <v>0</v>
      </c>
      <c r="X220" s="873">
        <v>0</v>
      </c>
      <c r="Y220" s="873">
        <v>-289544</v>
      </c>
      <c r="Z220" s="873">
        <v>16523154</v>
      </c>
      <c r="AA220" s="873">
        <v>-129445</v>
      </c>
      <c r="AB220" s="874"/>
      <c r="AC220" s="873">
        <v>87</v>
      </c>
      <c r="AD220" s="873">
        <v>5</v>
      </c>
      <c r="AE220" s="873">
        <v>1</v>
      </c>
      <c r="AF220" s="873">
        <v>0</v>
      </c>
      <c r="AG220" s="873">
        <v>103</v>
      </c>
      <c r="AH220" s="873">
        <v>21</v>
      </c>
      <c r="AI220" s="873">
        <v>0</v>
      </c>
      <c r="AJ220" s="873">
        <v>1</v>
      </c>
      <c r="AK220" s="873">
        <v>0</v>
      </c>
      <c r="AL220" s="873">
        <v>0</v>
      </c>
      <c r="AM220" s="873">
        <v>0</v>
      </c>
      <c r="AN220" s="873">
        <v>0</v>
      </c>
      <c r="AO220" s="873">
        <v>646</v>
      </c>
      <c r="AP220" s="873">
        <v>835</v>
      </c>
      <c r="AQ220" s="873">
        <v>479</v>
      </c>
      <c r="AR220" s="873">
        <v>356</v>
      </c>
      <c r="AS220" s="873">
        <v>624</v>
      </c>
      <c r="AT220" s="843">
        <v>2127</v>
      </c>
      <c r="AU220" s="663"/>
      <c r="AV220" s="663"/>
      <c r="AX220" s="666"/>
      <c r="AY220" s="666"/>
      <c r="AZ220" s="666"/>
      <c r="BA220" s="666"/>
      <c r="BB220" s="666"/>
      <c r="BD220" s="666"/>
      <c r="BE220" s="666"/>
      <c r="BG220" s="666"/>
      <c r="BI220" s="666"/>
      <c r="BJ220" s="666"/>
      <c r="BK220" s="666"/>
    </row>
    <row r="221" spans="1:63" ht="12.75" x14ac:dyDescent="0.2">
      <c r="A221" s="288">
        <v>214</v>
      </c>
      <c r="B221" s="290" t="s">
        <v>338</v>
      </c>
      <c r="C221" s="279" t="s">
        <v>339</v>
      </c>
      <c r="D221" s="955">
        <v>99066</v>
      </c>
      <c r="E221" s="843">
        <v>36506022</v>
      </c>
      <c r="F221" s="873">
        <v>17569369</v>
      </c>
      <c r="G221" s="873">
        <v>-2093201</v>
      </c>
      <c r="H221" s="873">
        <v>358583</v>
      </c>
      <c r="I221" s="873">
        <v>-1734618</v>
      </c>
      <c r="J221" s="873">
        <v>-477700</v>
      </c>
      <c r="K221" s="873">
        <v>-46700</v>
      </c>
      <c r="L221" s="873">
        <v>0</v>
      </c>
      <c r="M221" s="873">
        <v>0</v>
      </c>
      <c r="N221" s="873">
        <v>-604640</v>
      </c>
      <c r="O221" s="873">
        <v>-44716</v>
      </c>
      <c r="P221" s="873">
        <v>-28177</v>
      </c>
      <c r="Q221" s="873">
        <v>-2780</v>
      </c>
      <c r="R221" s="873">
        <v>0</v>
      </c>
      <c r="S221" s="873">
        <v>0</v>
      </c>
      <c r="T221" s="873">
        <v>0</v>
      </c>
      <c r="U221" s="873">
        <v>0</v>
      </c>
      <c r="V221" s="873">
        <v>0</v>
      </c>
      <c r="W221" s="873">
        <v>-10000</v>
      </c>
      <c r="X221" s="873">
        <v>-3000</v>
      </c>
      <c r="Y221" s="873">
        <v>-316000</v>
      </c>
      <c r="Z221" s="873">
        <v>14182038</v>
      </c>
      <c r="AA221" s="873">
        <v>-50000</v>
      </c>
      <c r="AB221" s="874"/>
      <c r="AC221" s="873">
        <v>81</v>
      </c>
      <c r="AD221" s="873">
        <v>11</v>
      </c>
      <c r="AE221" s="873">
        <v>0</v>
      </c>
      <c r="AF221" s="873">
        <v>0</v>
      </c>
      <c r="AG221" s="873">
        <v>366</v>
      </c>
      <c r="AH221" s="873">
        <v>47</v>
      </c>
      <c r="AI221" s="873">
        <v>8</v>
      </c>
      <c r="AJ221" s="873">
        <v>7</v>
      </c>
      <c r="AK221" s="873">
        <v>0</v>
      </c>
      <c r="AL221" s="873">
        <v>0</v>
      </c>
      <c r="AM221" s="873">
        <v>0</v>
      </c>
      <c r="AN221" s="873">
        <v>0</v>
      </c>
      <c r="AO221" s="873">
        <v>879</v>
      </c>
      <c r="AP221" s="873">
        <v>1173</v>
      </c>
      <c r="AQ221" s="873">
        <v>912</v>
      </c>
      <c r="AR221" s="873">
        <v>261</v>
      </c>
      <c r="AS221" s="873">
        <v>563</v>
      </c>
      <c r="AT221" s="843">
        <v>2603</v>
      </c>
      <c r="AU221" s="663"/>
      <c r="AV221" s="663"/>
      <c r="AX221" s="666"/>
      <c r="AY221" s="666"/>
      <c r="AZ221" s="666"/>
      <c r="BA221" s="666"/>
      <c r="BB221" s="666"/>
      <c r="BD221" s="666"/>
      <c r="BE221" s="666"/>
      <c r="BG221" s="666"/>
      <c r="BI221" s="666"/>
      <c r="BJ221" s="666"/>
      <c r="BK221" s="666"/>
    </row>
    <row r="222" spans="1:63" ht="12.75" x14ac:dyDescent="0.2">
      <c r="A222" s="288">
        <v>215</v>
      </c>
      <c r="B222" s="290" t="s">
        <v>340</v>
      </c>
      <c r="C222" s="279" t="s">
        <v>341</v>
      </c>
      <c r="D222" s="955">
        <v>146592</v>
      </c>
      <c r="E222" s="843">
        <v>48172318</v>
      </c>
      <c r="F222" s="873">
        <v>22869624</v>
      </c>
      <c r="G222" s="873">
        <v>-2869937</v>
      </c>
      <c r="H222" s="873">
        <v>428888</v>
      </c>
      <c r="I222" s="873">
        <v>-2441049</v>
      </c>
      <c r="J222" s="873">
        <v>-2148397</v>
      </c>
      <c r="K222" s="873">
        <v>-69306</v>
      </c>
      <c r="L222" s="873">
        <v>-37419</v>
      </c>
      <c r="M222" s="873">
        <v>0</v>
      </c>
      <c r="N222" s="873">
        <v>-349574</v>
      </c>
      <c r="O222" s="873">
        <v>-34572</v>
      </c>
      <c r="P222" s="873">
        <v>0</v>
      </c>
      <c r="Q222" s="873">
        <v>-4632</v>
      </c>
      <c r="R222" s="873">
        <v>-11536</v>
      </c>
      <c r="S222" s="873">
        <v>0</v>
      </c>
      <c r="T222" s="873">
        <v>0</v>
      </c>
      <c r="U222" s="873">
        <v>0</v>
      </c>
      <c r="V222" s="873">
        <v>0</v>
      </c>
      <c r="W222" s="873">
        <v>0</v>
      </c>
      <c r="X222" s="873">
        <v>-7561</v>
      </c>
      <c r="Y222" s="873">
        <v>-585986</v>
      </c>
      <c r="Z222" s="873">
        <v>17179592</v>
      </c>
      <c r="AA222" s="873">
        <v>-83000</v>
      </c>
      <c r="AB222" s="874"/>
      <c r="AC222" s="873">
        <v>233</v>
      </c>
      <c r="AD222" s="873">
        <v>27</v>
      </c>
      <c r="AE222" s="873">
        <v>27</v>
      </c>
      <c r="AF222" s="873">
        <v>0</v>
      </c>
      <c r="AG222" s="873">
        <v>426</v>
      </c>
      <c r="AH222" s="873">
        <v>32</v>
      </c>
      <c r="AI222" s="873">
        <v>0</v>
      </c>
      <c r="AJ222" s="873">
        <v>14</v>
      </c>
      <c r="AK222" s="873">
        <v>8</v>
      </c>
      <c r="AL222" s="873">
        <v>0</v>
      </c>
      <c r="AM222" s="873">
        <v>0</v>
      </c>
      <c r="AN222" s="873">
        <v>0</v>
      </c>
      <c r="AO222" s="873">
        <v>1191</v>
      </c>
      <c r="AP222" s="873">
        <v>1681</v>
      </c>
      <c r="AQ222" s="873">
        <v>1196</v>
      </c>
      <c r="AR222" s="873">
        <v>485</v>
      </c>
      <c r="AS222" s="873">
        <v>967</v>
      </c>
      <c r="AT222" s="843">
        <v>3870</v>
      </c>
      <c r="AU222" s="663"/>
      <c r="AV222" s="663"/>
      <c r="AX222" s="666"/>
      <c r="AY222" s="666"/>
      <c r="AZ222" s="666"/>
      <c r="BA222" s="666"/>
      <c r="BB222" s="666"/>
      <c r="BD222" s="666"/>
      <c r="BE222" s="666"/>
      <c r="BG222" s="666"/>
      <c r="BI222" s="666"/>
      <c r="BJ222" s="666"/>
      <c r="BK222" s="666"/>
    </row>
    <row r="223" spans="1:63" ht="12.75" x14ac:dyDescent="0.2">
      <c r="A223" s="288">
        <v>216</v>
      </c>
      <c r="B223" s="290" t="s">
        <v>342</v>
      </c>
      <c r="C223" s="279" t="s">
        <v>343</v>
      </c>
      <c r="D223" s="955">
        <v>311541</v>
      </c>
      <c r="E223" s="843">
        <v>188163303</v>
      </c>
      <c r="F223" s="873">
        <v>89039151</v>
      </c>
      <c r="G223" s="873">
        <v>-5108165</v>
      </c>
      <c r="H223" s="873">
        <v>1759309</v>
      </c>
      <c r="I223" s="873">
        <v>-3348856</v>
      </c>
      <c r="J223" s="873">
        <v>-3970443</v>
      </c>
      <c r="K223" s="873">
        <v>-14383</v>
      </c>
      <c r="L223" s="873">
        <v>-15358</v>
      </c>
      <c r="M223" s="873">
        <v>-5045</v>
      </c>
      <c r="N223" s="873">
        <v>-2280190</v>
      </c>
      <c r="O223" s="873">
        <v>-101767</v>
      </c>
      <c r="P223" s="873">
        <v>-631165</v>
      </c>
      <c r="Q223" s="873">
        <v>-3596</v>
      </c>
      <c r="R223" s="873">
        <v>0</v>
      </c>
      <c r="S223" s="873">
        <v>0</v>
      </c>
      <c r="T223" s="873">
        <v>-450809</v>
      </c>
      <c r="U223" s="873">
        <v>-298702</v>
      </c>
      <c r="V223" s="873">
        <v>0</v>
      </c>
      <c r="W223" s="873">
        <v>0</v>
      </c>
      <c r="X223" s="873">
        <v>-101385</v>
      </c>
      <c r="Y223" s="873">
        <v>-559169</v>
      </c>
      <c r="Z223" s="873">
        <v>77166359</v>
      </c>
      <c r="AA223" s="873">
        <v>-2100000</v>
      </c>
      <c r="AB223" s="874"/>
      <c r="AC223" s="873">
        <v>350</v>
      </c>
      <c r="AD223" s="873">
        <v>9</v>
      </c>
      <c r="AE223" s="873">
        <v>14</v>
      </c>
      <c r="AF223" s="873">
        <v>2</v>
      </c>
      <c r="AG223" s="873">
        <v>508</v>
      </c>
      <c r="AH223" s="873">
        <v>72</v>
      </c>
      <c r="AI223" s="873">
        <v>20</v>
      </c>
      <c r="AJ223" s="873">
        <v>9</v>
      </c>
      <c r="AK223" s="873">
        <v>0</v>
      </c>
      <c r="AL223" s="873">
        <v>0</v>
      </c>
      <c r="AM223" s="873">
        <v>55</v>
      </c>
      <c r="AN223" s="873">
        <v>0</v>
      </c>
      <c r="AO223" s="873">
        <v>2594</v>
      </c>
      <c r="AP223" s="873">
        <v>2979</v>
      </c>
      <c r="AQ223" s="873">
        <v>2211</v>
      </c>
      <c r="AR223" s="873">
        <v>768</v>
      </c>
      <c r="AS223" s="873">
        <v>1877</v>
      </c>
      <c r="AT223" s="843">
        <v>7467</v>
      </c>
      <c r="AU223" s="663"/>
      <c r="AV223" s="663"/>
      <c r="AX223" s="666"/>
      <c r="AY223" s="666"/>
      <c r="AZ223" s="666"/>
      <c r="BA223" s="666"/>
      <c r="BB223" s="666"/>
      <c r="BD223" s="666"/>
      <c r="BE223" s="666"/>
      <c r="BG223" s="666"/>
      <c r="BI223" s="666"/>
      <c r="BJ223" s="666"/>
      <c r="BK223" s="666"/>
    </row>
    <row r="224" spans="1:63" ht="12.75" x14ac:dyDescent="0.2">
      <c r="A224" s="288">
        <v>217</v>
      </c>
      <c r="B224" s="290" t="s">
        <v>344</v>
      </c>
      <c r="C224" s="279" t="s">
        <v>345</v>
      </c>
      <c r="D224" s="955">
        <v>137063</v>
      </c>
      <c r="E224" s="843">
        <v>107854529</v>
      </c>
      <c r="F224" s="873">
        <v>53519030</v>
      </c>
      <c r="G224" s="873">
        <v>-1812029.5</v>
      </c>
      <c r="H224" s="873">
        <v>1205119.6499999999</v>
      </c>
      <c r="I224" s="873">
        <v>-606909.88</v>
      </c>
      <c r="J224" s="873">
        <v>-2731556</v>
      </c>
      <c r="K224" s="873">
        <v>-75468.44</v>
      </c>
      <c r="L224" s="873">
        <v>-10738.79</v>
      </c>
      <c r="M224" s="873">
        <v>-200000</v>
      </c>
      <c r="N224" s="873">
        <v>-1859123</v>
      </c>
      <c r="O224" s="873">
        <v>-91359.32</v>
      </c>
      <c r="P224" s="873">
        <v>-10846</v>
      </c>
      <c r="Q224" s="873">
        <v>0</v>
      </c>
      <c r="R224" s="873">
        <v>0</v>
      </c>
      <c r="S224" s="873">
        <v>0</v>
      </c>
      <c r="T224" s="873">
        <v>0</v>
      </c>
      <c r="U224" s="873">
        <v>0</v>
      </c>
      <c r="V224" s="873">
        <v>0</v>
      </c>
      <c r="W224" s="873">
        <v>-101332</v>
      </c>
      <c r="X224" s="873">
        <v>0</v>
      </c>
      <c r="Y224" s="873">
        <v>-368357.3</v>
      </c>
      <c r="Z224" s="873">
        <v>47463339.200000003</v>
      </c>
      <c r="AA224" s="873">
        <v>-721761</v>
      </c>
      <c r="AB224" s="874"/>
      <c r="AC224" s="873">
        <v>178</v>
      </c>
      <c r="AD224" s="873">
        <v>11</v>
      </c>
      <c r="AE224" s="873">
        <v>9</v>
      </c>
      <c r="AF224" s="873">
        <v>3</v>
      </c>
      <c r="AG224" s="873">
        <v>259</v>
      </c>
      <c r="AH224" s="873">
        <v>60</v>
      </c>
      <c r="AI224" s="873">
        <v>1</v>
      </c>
      <c r="AJ224" s="873">
        <v>0</v>
      </c>
      <c r="AK224" s="873">
        <v>0</v>
      </c>
      <c r="AL224" s="873">
        <v>0</v>
      </c>
      <c r="AM224" s="873">
        <v>0</v>
      </c>
      <c r="AN224" s="873">
        <v>0</v>
      </c>
      <c r="AO224" s="873">
        <v>1207</v>
      </c>
      <c r="AP224" s="873">
        <v>1020</v>
      </c>
      <c r="AQ224" s="873">
        <v>710</v>
      </c>
      <c r="AR224" s="873">
        <v>310</v>
      </c>
      <c r="AS224" s="873">
        <v>694</v>
      </c>
      <c r="AT224" s="843">
        <v>2954</v>
      </c>
      <c r="AU224" s="663"/>
      <c r="AV224" s="663"/>
      <c r="AX224" s="666"/>
      <c r="AY224" s="666"/>
      <c r="AZ224" s="666"/>
      <c r="BA224" s="666"/>
      <c r="BB224" s="666"/>
      <c r="BD224" s="666"/>
      <c r="BE224" s="666"/>
      <c r="BG224" s="666"/>
      <c r="BI224" s="666"/>
      <c r="BJ224" s="666"/>
      <c r="BK224" s="666"/>
    </row>
    <row r="225" spans="1:63" ht="12.75" x14ac:dyDescent="0.2">
      <c r="A225" s="288">
        <v>218</v>
      </c>
      <c r="B225" s="290" t="s">
        <v>346</v>
      </c>
      <c r="C225" s="279" t="s">
        <v>347</v>
      </c>
      <c r="D225" s="955">
        <v>126790</v>
      </c>
      <c r="E225" s="843">
        <v>104971745</v>
      </c>
      <c r="F225" s="873">
        <v>50103382</v>
      </c>
      <c r="G225" s="873">
        <v>-1240573</v>
      </c>
      <c r="H225" s="873">
        <v>1243257</v>
      </c>
      <c r="I225" s="873">
        <v>2684</v>
      </c>
      <c r="J225" s="873">
        <v>-2938805</v>
      </c>
      <c r="K225" s="873">
        <v>-37632</v>
      </c>
      <c r="L225" s="873">
        <v>-1680</v>
      </c>
      <c r="M225" s="873">
        <v>-37000</v>
      </c>
      <c r="N225" s="873">
        <v>-1027710</v>
      </c>
      <c r="O225" s="873">
        <v>-20620</v>
      </c>
      <c r="P225" s="873">
        <v>-700</v>
      </c>
      <c r="Q225" s="873">
        <v>0</v>
      </c>
      <c r="R225" s="873">
        <v>-2530</v>
      </c>
      <c r="S225" s="873">
        <v>0</v>
      </c>
      <c r="T225" s="873">
        <v>0</v>
      </c>
      <c r="U225" s="873">
        <v>0</v>
      </c>
      <c r="V225" s="873">
        <v>0</v>
      </c>
      <c r="W225" s="873">
        <v>0</v>
      </c>
      <c r="X225" s="873">
        <v>-3232</v>
      </c>
      <c r="Y225" s="873">
        <v>-439720</v>
      </c>
      <c r="Z225" s="873">
        <v>45596437</v>
      </c>
      <c r="AA225" s="873">
        <v>-268500</v>
      </c>
      <c r="AB225" s="874"/>
      <c r="AC225" s="873">
        <v>116</v>
      </c>
      <c r="AD225" s="873">
        <v>11</v>
      </c>
      <c r="AE225" s="873">
        <v>1</v>
      </c>
      <c r="AF225" s="873">
        <v>0</v>
      </c>
      <c r="AG225" s="873">
        <v>286</v>
      </c>
      <c r="AH225" s="873">
        <v>31</v>
      </c>
      <c r="AI225" s="873">
        <v>3</v>
      </c>
      <c r="AJ225" s="873">
        <v>0</v>
      </c>
      <c r="AK225" s="873">
        <v>1</v>
      </c>
      <c r="AL225" s="873">
        <v>0</v>
      </c>
      <c r="AM225" s="873">
        <v>0</v>
      </c>
      <c r="AN225" s="873">
        <v>0</v>
      </c>
      <c r="AO225" s="873">
        <v>1050</v>
      </c>
      <c r="AP225" s="873">
        <v>644</v>
      </c>
      <c r="AQ225" s="873">
        <v>338</v>
      </c>
      <c r="AR225" s="873">
        <v>306</v>
      </c>
      <c r="AS225" s="873">
        <v>716</v>
      </c>
      <c r="AT225" s="843">
        <v>2404</v>
      </c>
      <c r="AU225" s="663"/>
      <c r="AV225" s="663"/>
      <c r="AX225" s="666"/>
      <c r="AY225" s="666"/>
      <c r="AZ225" s="666"/>
      <c r="BA225" s="666"/>
      <c r="BB225" s="666"/>
      <c r="BD225" s="666"/>
      <c r="BE225" s="666"/>
      <c r="BG225" s="666"/>
      <c r="BI225" s="666"/>
      <c r="BJ225" s="666"/>
      <c r="BK225" s="666"/>
    </row>
    <row r="226" spans="1:63" ht="12.75" x14ac:dyDescent="0.2">
      <c r="A226" s="288">
        <v>219</v>
      </c>
      <c r="B226" s="290" t="s">
        <v>348</v>
      </c>
      <c r="C226" s="279" t="s">
        <v>349</v>
      </c>
      <c r="D226" s="955">
        <v>111538</v>
      </c>
      <c r="E226" s="843">
        <v>69558177</v>
      </c>
      <c r="F226" s="873">
        <v>33343600</v>
      </c>
      <c r="G226" s="873">
        <v>-1886763</v>
      </c>
      <c r="H226" s="873">
        <v>758089</v>
      </c>
      <c r="I226" s="873">
        <v>-1128674</v>
      </c>
      <c r="J226" s="873">
        <v>-2671593</v>
      </c>
      <c r="K226" s="873">
        <v>-80771</v>
      </c>
      <c r="L226" s="873">
        <v>-7756</v>
      </c>
      <c r="M226" s="873">
        <v>0</v>
      </c>
      <c r="N226" s="873">
        <v>-281513</v>
      </c>
      <c r="O226" s="873">
        <v>-20739</v>
      </c>
      <c r="P226" s="873">
        <v>-386056</v>
      </c>
      <c r="Q226" s="873">
        <v>0</v>
      </c>
      <c r="R226" s="873">
        <v>-1029</v>
      </c>
      <c r="S226" s="873">
        <v>-1464</v>
      </c>
      <c r="T226" s="873">
        <v>0</v>
      </c>
      <c r="U226" s="873">
        <v>0</v>
      </c>
      <c r="V226" s="873">
        <v>0</v>
      </c>
      <c r="W226" s="873">
        <v>-10471</v>
      </c>
      <c r="X226" s="873">
        <v>-10000</v>
      </c>
      <c r="Y226" s="873">
        <v>-424200</v>
      </c>
      <c r="Z226" s="873">
        <v>28194698</v>
      </c>
      <c r="AA226" s="873">
        <v>-1246561</v>
      </c>
      <c r="AB226" s="874"/>
      <c r="AC226" s="873">
        <v>137</v>
      </c>
      <c r="AD226" s="873">
        <v>16</v>
      </c>
      <c r="AE226" s="873">
        <v>12</v>
      </c>
      <c r="AF226" s="873">
        <v>0</v>
      </c>
      <c r="AG226" s="873">
        <v>89</v>
      </c>
      <c r="AH226" s="873">
        <v>12</v>
      </c>
      <c r="AI226" s="873">
        <v>84</v>
      </c>
      <c r="AJ226" s="873">
        <v>0</v>
      </c>
      <c r="AK226" s="873">
        <v>2</v>
      </c>
      <c r="AL226" s="873">
        <v>2</v>
      </c>
      <c r="AM226" s="873">
        <v>0</v>
      </c>
      <c r="AN226" s="873">
        <v>0</v>
      </c>
      <c r="AO226" s="873">
        <v>725</v>
      </c>
      <c r="AP226" s="873">
        <v>1080</v>
      </c>
      <c r="AQ226" s="873">
        <v>774</v>
      </c>
      <c r="AR226" s="873">
        <v>306</v>
      </c>
      <c r="AS226" s="873">
        <v>733</v>
      </c>
      <c r="AT226" s="843">
        <v>2612</v>
      </c>
      <c r="AU226" s="663"/>
      <c r="AV226" s="663"/>
      <c r="AX226" s="666"/>
      <c r="AY226" s="666"/>
      <c r="AZ226" s="666"/>
      <c r="BA226" s="666"/>
      <c r="BB226" s="666"/>
      <c r="BD226" s="666"/>
      <c r="BE226" s="666"/>
      <c r="BG226" s="666"/>
      <c r="BI226" s="666"/>
      <c r="BJ226" s="666"/>
      <c r="BK226" s="666"/>
    </row>
    <row r="227" spans="1:63" ht="12.75" x14ac:dyDescent="0.2">
      <c r="A227" s="288">
        <v>220</v>
      </c>
      <c r="B227" s="290" t="s">
        <v>350</v>
      </c>
      <c r="C227" s="279" t="s">
        <v>351</v>
      </c>
      <c r="D227" s="955">
        <v>121838</v>
      </c>
      <c r="E227" s="843">
        <v>108351910</v>
      </c>
      <c r="F227" s="873">
        <v>51908018</v>
      </c>
      <c r="G227" s="873">
        <v>-1218268</v>
      </c>
      <c r="H227" s="873">
        <v>1284078</v>
      </c>
      <c r="I227" s="873">
        <v>65810</v>
      </c>
      <c r="J227" s="873">
        <v>-1568332</v>
      </c>
      <c r="K227" s="873">
        <v>-15658</v>
      </c>
      <c r="L227" s="873">
        <v>0</v>
      </c>
      <c r="M227" s="873">
        <v>-92000</v>
      </c>
      <c r="N227" s="873">
        <v>-1084933</v>
      </c>
      <c r="O227" s="873">
        <v>-55039</v>
      </c>
      <c r="P227" s="873">
        <v>-302674</v>
      </c>
      <c r="Q227" s="873">
        <v>-3914</v>
      </c>
      <c r="R227" s="873">
        <v>0</v>
      </c>
      <c r="S227" s="873">
        <v>0</v>
      </c>
      <c r="T227" s="873">
        <v>0</v>
      </c>
      <c r="U227" s="873">
        <v>0</v>
      </c>
      <c r="V227" s="873">
        <v>0</v>
      </c>
      <c r="W227" s="873">
        <v>0</v>
      </c>
      <c r="X227" s="873">
        <v>-33010</v>
      </c>
      <c r="Y227" s="873">
        <v>-393905</v>
      </c>
      <c r="Z227" s="873">
        <v>47896673</v>
      </c>
      <c r="AA227" s="873">
        <v>-978306</v>
      </c>
      <c r="AB227" s="874"/>
      <c r="AC227" s="873">
        <v>108</v>
      </c>
      <c r="AD227" s="873">
        <v>5</v>
      </c>
      <c r="AE227" s="873">
        <v>0</v>
      </c>
      <c r="AF227" s="873">
        <v>0</v>
      </c>
      <c r="AG227" s="873">
        <v>282</v>
      </c>
      <c r="AH227" s="873">
        <v>49</v>
      </c>
      <c r="AI227" s="873">
        <v>13</v>
      </c>
      <c r="AJ227" s="873">
        <v>5</v>
      </c>
      <c r="AK227" s="873">
        <v>0</v>
      </c>
      <c r="AL227" s="873">
        <v>0</v>
      </c>
      <c r="AM227" s="873">
        <v>0</v>
      </c>
      <c r="AN227" s="873">
        <v>0</v>
      </c>
      <c r="AO227" s="873">
        <v>1146</v>
      </c>
      <c r="AP227" s="873">
        <v>621</v>
      </c>
      <c r="AQ227" s="873">
        <v>372</v>
      </c>
      <c r="AR227" s="873">
        <v>249</v>
      </c>
      <c r="AS227" s="873">
        <v>724</v>
      </c>
      <c r="AT227" s="843">
        <v>2453</v>
      </c>
      <c r="AU227" s="663"/>
      <c r="AV227" s="663"/>
      <c r="AX227" s="666"/>
      <c r="AY227" s="666"/>
      <c r="AZ227" s="666"/>
      <c r="BA227" s="666"/>
      <c r="BB227" s="666"/>
      <c r="BD227" s="666"/>
      <c r="BE227" s="666"/>
      <c r="BG227" s="666"/>
      <c r="BI227" s="666"/>
      <c r="BJ227" s="666"/>
      <c r="BK227" s="666"/>
    </row>
    <row r="228" spans="1:63" ht="12.75" x14ac:dyDescent="0.2">
      <c r="A228" s="288">
        <v>221</v>
      </c>
      <c r="B228" s="290" t="s">
        <v>352</v>
      </c>
      <c r="C228" s="279" t="s">
        <v>353</v>
      </c>
      <c r="D228" s="955">
        <v>57455</v>
      </c>
      <c r="E228" s="843">
        <v>27159032</v>
      </c>
      <c r="F228" s="873">
        <v>12835700</v>
      </c>
      <c r="G228" s="873">
        <v>-923730</v>
      </c>
      <c r="H228" s="873">
        <v>270545</v>
      </c>
      <c r="I228" s="873">
        <v>-653185</v>
      </c>
      <c r="J228" s="873">
        <v>-1180815</v>
      </c>
      <c r="K228" s="873">
        <v>-17432</v>
      </c>
      <c r="L228" s="873">
        <v>-11408</v>
      </c>
      <c r="M228" s="873">
        <v>-60000</v>
      </c>
      <c r="N228" s="873">
        <v>-165731</v>
      </c>
      <c r="O228" s="873">
        <v>-36759</v>
      </c>
      <c r="P228" s="873">
        <v>-36982</v>
      </c>
      <c r="Q228" s="873">
        <v>-1625</v>
      </c>
      <c r="R228" s="873">
        <v>-11408</v>
      </c>
      <c r="S228" s="873">
        <v>-1560</v>
      </c>
      <c r="T228" s="873">
        <v>0</v>
      </c>
      <c r="U228" s="873">
        <v>0</v>
      </c>
      <c r="V228" s="873">
        <v>0</v>
      </c>
      <c r="W228" s="873">
        <v>-4500</v>
      </c>
      <c r="X228" s="873">
        <v>-12303</v>
      </c>
      <c r="Y228" s="873">
        <v>-165910</v>
      </c>
      <c r="Z228" s="873">
        <v>10476082</v>
      </c>
      <c r="AA228" s="873">
        <v>-147545</v>
      </c>
      <c r="AB228" s="874"/>
      <c r="AC228" s="873">
        <v>74</v>
      </c>
      <c r="AD228" s="873">
        <v>5</v>
      </c>
      <c r="AE228" s="873">
        <v>11</v>
      </c>
      <c r="AF228" s="873">
        <v>0</v>
      </c>
      <c r="AG228" s="873">
        <v>54</v>
      </c>
      <c r="AH228" s="873">
        <v>36</v>
      </c>
      <c r="AI228" s="873">
        <v>20</v>
      </c>
      <c r="AJ228" s="873">
        <v>0</v>
      </c>
      <c r="AK228" s="873">
        <v>11</v>
      </c>
      <c r="AL228" s="873">
        <v>1</v>
      </c>
      <c r="AM228" s="873">
        <v>0</v>
      </c>
      <c r="AN228" s="873">
        <v>0</v>
      </c>
      <c r="AO228" s="873">
        <v>365</v>
      </c>
      <c r="AP228" s="873">
        <v>537</v>
      </c>
      <c r="AQ228" s="873">
        <v>405</v>
      </c>
      <c r="AR228" s="873">
        <v>132</v>
      </c>
      <c r="AS228" s="873">
        <v>477</v>
      </c>
      <c r="AT228" s="843">
        <v>1451</v>
      </c>
      <c r="AU228" s="663"/>
      <c r="AV228" s="663"/>
      <c r="AX228" s="666"/>
      <c r="AY228" s="666"/>
      <c r="AZ228" s="666"/>
      <c r="BA228" s="666"/>
      <c r="BB228" s="666"/>
      <c r="BD228" s="666"/>
      <c r="BE228" s="666"/>
      <c r="BG228" s="666"/>
      <c r="BI228" s="666"/>
      <c r="BJ228" s="666"/>
      <c r="BK228" s="666"/>
    </row>
    <row r="229" spans="1:63" ht="12.75" x14ac:dyDescent="0.2">
      <c r="A229" s="288">
        <v>222</v>
      </c>
      <c r="B229" s="290" t="s">
        <v>354</v>
      </c>
      <c r="C229" s="279" t="s">
        <v>355</v>
      </c>
      <c r="D229" s="955">
        <v>110406</v>
      </c>
      <c r="E229" s="843">
        <v>42927062</v>
      </c>
      <c r="F229" s="873">
        <v>20864601</v>
      </c>
      <c r="G229" s="873">
        <v>-2226000</v>
      </c>
      <c r="H229" s="873">
        <v>410000</v>
      </c>
      <c r="I229" s="873">
        <v>-1816000</v>
      </c>
      <c r="J229" s="873">
        <v>-880000</v>
      </c>
      <c r="K229" s="873">
        <v>-30000</v>
      </c>
      <c r="L229" s="873">
        <v>-46000</v>
      </c>
      <c r="M229" s="873">
        <v>0</v>
      </c>
      <c r="N229" s="873">
        <v>-355000</v>
      </c>
      <c r="O229" s="873">
        <v>-87000</v>
      </c>
      <c r="P229" s="873">
        <v>-67000</v>
      </c>
      <c r="Q229" s="873">
        <v>-3000</v>
      </c>
      <c r="R229" s="873">
        <v>-5800</v>
      </c>
      <c r="S229" s="873">
        <v>-6300</v>
      </c>
      <c r="T229" s="873">
        <v>0</v>
      </c>
      <c r="U229" s="873">
        <v>0</v>
      </c>
      <c r="V229" s="873">
        <v>0</v>
      </c>
      <c r="W229" s="873">
        <v>0</v>
      </c>
      <c r="X229" s="873">
        <v>-25000</v>
      </c>
      <c r="Y229" s="873">
        <v>-485000</v>
      </c>
      <c r="Z229" s="873">
        <v>16983501</v>
      </c>
      <c r="AA229" s="873">
        <v>-280000</v>
      </c>
      <c r="AB229" s="874"/>
      <c r="AC229" s="873">
        <v>164</v>
      </c>
      <c r="AD229" s="873">
        <v>3</v>
      </c>
      <c r="AE229" s="873">
        <v>33</v>
      </c>
      <c r="AF229" s="873">
        <v>0</v>
      </c>
      <c r="AG229" s="873">
        <v>124</v>
      </c>
      <c r="AH229" s="873">
        <v>109</v>
      </c>
      <c r="AI229" s="873">
        <v>51</v>
      </c>
      <c r="AJ229" s="873">
        <v>2</v>
      </c>
      <c r="AK229" s="873">
        <v>8</v>
      </c>
      <c r="AL229" s="873">
        <v>2</v>
      </c>
      <c r="AM229" s="873">
        <v>0</v>
      </c>
      <c r="AN229" s="873">
        <v>0</v>
      </c>
      <c r="AO229" s="873">
        <v>779</v>
      </c>
      <c r="AP229" s="873">
        <v>1328</v>
      </c>
      <c r="AQ229" s="873">
        <v>1006</v>
      </c>
      <c r="AR229" s="873">
        <v>322</v>
      </c>
      <c r="AS229" s="873">
        <v>779</v>
      </c>
      <c r="AT229" s="843">
        <v>2879</v>
      </c>
      <c r="AU229" s="663"/>
      <c r="AV229" s="663"/>
      <c r="AX229" s="666"/>
      <c r="AY229" s="666"/>
      <c r="AZ229" s="666"/>
      <c r="BA229" s="666"/>
      <c r="BB229" s="666"/>
      <c r="BD229" s="666"/>
      <c r="BE229" s="666"/>
      <c r="BG229" s="666"/>
      <c r="BI229" s="666"/>
      <c r="BJ229" s="666"/>
      <c r="BK229" s="666"/>
    </row>
    <row r="230" spans="1:63" ht="12.75" x14ac:dyDescent="0.2">
      <c r="A230" s="288">
        <v>223</v>
      </c>
      <c r="B230" s="290" t="s">
        <v>356</v>
      </c>
      <c r="C230" s="279" t="s">
        <v>357</v>
      </c>
      <c r="D230" s="955">
        <v>447971</v>
      </c>
      <c r="E230" s="843">
        <v>244893464</v>
      </c>
      <c r="F230" s="873">
        <v>120396721</v>
      </c>
      <c r="G230" s="873">
        <v>-4515785</v>
      </c>
      <c r="H230" s="873">
        <v>2347343</v>
      </c>
      <c r="I230" s="873">
        <v>-2168442</v>
      </c>
      <c r="J230" s="873">
        <v>-6422893</v>
      </c>
      <c r="K230" s="873">
        <v>-88218</v>
      </c>
      <c r="L230" s="873">
        <v>0</v>
      </c>
      <c r="M230" s="873">
        <v>0</v>
      </c>
      <c r="N230" s="873">
        <v>-5600000</v>
      </c>
      <c r="O230" s="873">
        <v>-59501</v>
      </c>
      <c r="P230" s="873">
        <v>-32924</v>
      </c>
      <c r="Q230" s="873">
        <v>-19</v>
      </c>
      <c r="R230" s="873">
        <v>0</v>
      </c>
      <c r="S230" s="873">
        <v>0</v>
      </c>
      <c r="T230" s="873">
        <v>0</v>
      </c>
      <c r="U230" s="873">
        <v>0</v>
      </c>
      <c r="V230" s="873">
        <v>0</v>
      </c>
      <c r="W230" s="873">
        <v>0</v>
      </c>
      <c r="X230" s="873">
        <v>0</v>
      </c>
      <c r="Y230" s="873">
        <v>-1118167</v>
      </c>
      <c r="Z230" s="873">
        <v>104906557</v>
      </c>
      <c r="AA230" s="873">
        <v>-3160000</v>
      </c>
      <c r="AB230" s="874"/>
      <c r="AC230" s="873">
        <v>387</v>
      </c>
      <c r="AD230" s="873">
        <v>10</v>
      </c>
      <c r="AE230" s="873">
        <v>0</v>
      </c>
      <c r="AF230" s="873">
        <v>0</v>
      </c>
      <c r="AG230" s="873">
        <v>3180</v>
      </c>
      <c r="AH230" s="873">
        <v>91</v>
      </c>
      <c r="AI230" s="873">
        <v>13</v>
      </c>
      <c r="AJ230" s="873">
        <v>1</v>
      </c>
      <c r="AK230" s="873">
        <v>0</v>
      </c>
      <c r="AL230" s="873">
        <v>0</v>
      </c>
      <c r="AM230" s="873">
        <v>0</v>
      </c>
      <c r="AN230" s="873">
        <v>0</v>
      </c>
      <c r="AO230" s="873">
        <v>5406</v>
      </c>
      <c r="AP230" s="873">
        <v>2170</v>
      </c>
      <c r="AQ230" s="873">
        <v>1379</v>
      </c>
      <c r="AR230" s="873">
        <v>791</v>
      </c>
      <c r="AS230" s="873">
        <v>3101</v>
      </c>
      <c r="AT230" s="843">
        <v>10766</v>
      </c>
      <c r="AU230" s="663"/>
      <c r="AV230" s="663"/>
      <c r="AX230" s="666"/>
      <c r="AY230" s="666"/>
      <c r="AZ230" s="666"/>
      <c r="BA230" s="666"/>
      <c r="BB230" s="666"/>
      <c r="BD230" s="666"/>
      <c r="BE230" s="666"/>
      <c r="BG230" s="666"/>
      <c r="BI230" s="666"/>
      <c r="BJ230" s="666"/>
      <c r="BK230" s="666"/>
    </row>
    <row r="231" spans="1:63" ht="12.75" x14ac:dyDescent="0.2">
      <c r="A231" s="288">
        <v>224</v>
      </c>
      <c r="B231" s="290" t="s">
        <v>358</v>
      </c>
      <c r="C231" s="279" t="s">
        <v>359</v>
      </c>
      <c r="D231" s="955">
        <v>452663</v>
      </c>
      <c r="E231" s="843">
        <v>255796950</v>
      </c>
      <c r="F231" s="873">
        <v>122951383</v>
      </c>
      <c r="G231" s="873">
        <v>-7714561</v>
      </c>
      <c r="H231" s="873">
        <v>2670112</v>
      </c>
      <c r="I231" s="873">
        <v>-5044449</v>
      </c>
      <c r="J231" s="873">
        <v>-5514110</v>
      </c>
      <c r="K231" s="873">
        <v>-97634</v>
      </c>
      <c r="L231" s="873">
        <v>0</v>
      </c>
      <c r="M231" s="873">
        <v>-247914</v>
      </c>
      <c r="N231" s="873">
        <v>-3380929</v>
      </c>
      <c r="O231" s="873">
        <v>-436793</v>
      </c>
      <c r="P231" s="873">
        <v>-374490</v>
      </c>
      <c r="Q231" s="873">
        <v>-2426</v>
      </c>
      <c r="R231" s="873">
        <v>0</v>
      </c>
      <c r="S231" s="873">
        <v>0</v>
      </c>
      <c r="T231" s="873">
        <v>0</v>
      </c>
      <c r="U231" s="873">
        <v>0</v>
      </c>
      <c r="V231" s="873">
        <v>0</v>
      </c>
      <c r="W231" s="873">
        <v>-39808</v>
      </c>
      <c r="X231" s="873">
        <v>-18894</v>
      </c>
      <c r="Y231" s="873">
        <v>-1834951</v>
      </c>
      <c r="Z231" s="873">
        <v>105786585</v>
      </c>
      <c r="AA231" s="873">
        <v>-994925</v>
      </c>
      <c r="AB231" s="874"/>
      <c r="AC231" s="873">
        <v>321</v>
      </c>
      <c r="AD231" s="873">
        <v>9</v>
      </c>
      <c r="AE231" s="873">
        <v>0</v>
      </c>
      <c r="AF231" s="873">
        <v>21</v>
      </c>
      <c r="AG231" s="873">
        <v>1301</v>
      </c>
      <c r="AH231" s="873">
        <v>187</v>
      </c>
      <c r="AI231" s="873">
        <v>23</v>
      </c>
      <c r="AJ231" s="873">
        <v>2</v>
      </c>
      <c r="AK231" s="873">
        <v>0</v>
      </c>
      <c r="AL231" s="873">
        <v>0</v>
      </c>
      <c r="AM231" s="873">
        <v>0</v>
      </c>
      <c r="AN231" s="873">
        <v>0</v>
      </c>
      <c r="AO231" s="873">
        <v>3737</v>
      </c>
      <c r="AP231" s="873">
        <v>4010</v>
      </c>
      <c r="AQ231" s="873">
        <v>2646</v>
      </c>
      <c r="AR231" s="873">
        <v>1364</v>
      </c>
      <c r="AS231" s="873">
        <v>2998</v>
      </c>
      <c r="AT231" s="843">
        <v>10843</v>
      </c>
      <c r="AU231" s="663"/>
      <c r="AV231" s="663"/>
      <c r="AX231" s="666"/>
      <c r="AY231" s="666"/>
      <c r="AZ231" s="666"/>
      <c r="BA231" s="666"/>
      <c r="BB231" s="666"/>
      <c r="BD231" s="666"/>
      <c r="BE231" s="666"/>
      <c r="BG231" s="666"/>
      <c r="BI231" s="666"/>
      <c r="BJ231" s="666"/>
      <c r="BK231" s="666"/>
    </row>
    <row r="232" spans="1:63" ht="12.75" x14ac:dyDescent="0.2">
      <c r="A232" s="288">
        <v>225</v>
      </c>
      <c r="B232" s="290" t="s">
        <v>360</v>
      </c>
      <c r="C232" s="279" t="s">
        <v>361</v>
      </c>
      <c r="D232" s="955">
        <v>257962</v>
      </c>
      <c r="E232" s="843">
        <v>88538855</v>
      </c>
      <c r="F232" s="873">
        <v>42416498</v>
      </c>
      <c r="G232" s="873">
        <v>-5658504</v>
      </c>
      <c r="H232" s="873">
        <v>835213</v>
      </c>
      <c r="I232" s="873">
        <v>-4823291</v>
      </c>
      <c r="J232" s="873">
        <v>-1553546</v>
      </c>
      <c r="K232" s="873">
        <v>-145587</v>
      </c>
      <c r="L232" s="873">
        <v>-27633</v>
      </c>
      <c r="M232" s="873">
        <v>-3424</v>
      </c>
      <c r="N232" s="873">
        <v>-402991</v>
      </c>
      <c r="O232" s="873">
        <v>-132600</v>
      </c>
      <c r="P232" s="873">
        <v>-72797</v>
      </c>
      <c r="Q232" s="873">
        <v>0</v>
      </c>
      <c r="R232" s="873">
        <v>-3000</v>
      </c>
      <c r="S232" s="873">
        <v>0</v>
      </c>
      <c r="T232" s="873">
        <v>-15000</v>
      </c>
      <c r="U232" s="873">
        <v>0</v>
      </c>
      <c r="V232" s="873">
        <v>0</v>
      </c>
      <c r="W232" s="873">
        <v>-80000</v>
      </c>
      <c r="X232" s="873">
        <v>-10000</v>
      </c>
      <c r="Y232" s="873">
        <v>-1107442</v>
      </c>
      <c r="Z232" s="873">
        <v>33821314</v>
      </c>
      <c r="AA232" s="873">
        <v>-600000</v>
      </c>
      <c r="AB232" s="874"/>
      <c r="AC232" s="873">
        <v>277</v>
      </c>
      <c r="AD232" s="873">
        <v>29</v>
      </c>
      <c r="AE232" s="873">
        <v>20</v>
      </c>
      <c r="AF232" s="873">
        <v>1</v>
      </c>
      <c r="AG232" s="873">
        <v>257</v>
      </c>
      <c r="AH232" s="873">
        <v>158</v>
      </c>
      <c r="AI232" s="873">
        <v>66</v>
      </c>
      <c r="AJ232" s="873">
        <v>0</v>
      </c>
      <c r="AK232" s="873">
        <v>0</v>
      </c>
      <c r="AL232" s="873">
        <v>1</v>
      </c>
      <c r="AM232" s="873">
        <v>0</v>
      </c>
      <c r="AN232" s="873">
        <v>0</v>
      </c>
      <c r="AO232" s="873">
        <v>1504</v>
      </c>
      <c r="AP232" s="873">
        <v>3445</v>
      </c>
      <c r="AQ232" s="873">
        <v>2739</v>
      </c>
      <c r="AR232" s="873">
        <v>706</v>
      </c>
      <c r="AS232" s="873">
        <v>1825</v>
      </c>
      <c r="AT232" s="843">
        <v>6842</v>
      </c>
      <c r="AU232" s="663"/>
      <c r="AV232" s="663"/>
      <c r="AX232" s="666"/>
      <c r="AY232" s="666"/>
      <c r="AZ232" s="666"/>
      <c r="BA232" s="666"/>
      <c r="BB232" s="666"/>
      <c r="BD232" s="666"/>
      <c r="BE232" s="666"/>
      <c r="BG232" s="666"/>
      <c r="BI232" s="666"/>
      <c r="BJ232" s="666"/>
      <c r="BK232" s="666"/>
    </row>
    <row r="233" spans="1:63" ht="12.75" x14ac:dyDescent="0.2">
      <c r="A233" s="288">
        <v>226</v>
      </c>
      <c r="B233" s="290" t="s">
        <v>362</v>
      </c>
      <c r="C233" s="279" t="s">
        <v>363</v>
      </c>
      <c r="D233" s="955">
        <v>161084</v>
      </c>
      <c r="E233" s="843">
        <v>93807036</v>
      </c>
      <c r="F233" s="873">
        <v>44968291</v>
      </c>
      <c r="G233" s="873">
        <v>-2803205</v>
      </c>
      <c r="H233" s="873">
        <v>998639</v>
      </c>
      <c r="I233" s="873">
        <v>-1804566</v>
      </c>
      <c r="J233" s="873">
        <v>-2341835</v>
      </c>
      <c r="K233" s="873">
        <v>-31808</v>
      </c>
      <c r="L233" s="873">
        <v>-75024</v>
      </c>
      <c r="M233" s="873">
        <v>0</v>
      </c>
      <c r="N233" s="873">
        <v>-1107042</v>
      </c>
      <c r="O233" s="873">
        <v>-68371</v>
      </c>
      <c r="P233" s="873">
        <v>-22239</v>
      </c>
      <c r="Q233" s="873">
        <v>0</v>
      </c>
      <c r="R233" s="873">
        <v>-38818</v>
      </c>
      <c r="S233" s="873">
        <v>-365</v>
      </c>
      <c r="T233" s="873">
        <v>0</v>
      </c>
      <c r="U233" s="873">
        <v>0</v>
      </c>
      <c r="V233" s="873">
        <v>0</v>
      </c>
      <c r="W233" s="873">
        <v>-32180</v>
      </c>
      <c r="X233" s="873">
        <v>-15474</v>
      </c>
      <c r="Y233" s="873">
        <v>-594230</v>
      </c>
      <c r="Z233" s="873">
        <v>37958313</v>
      </c>
      <c r="AA233" s="873">
        <v>-681172</v>
      </c>
      <c r="AB233" s="874"/>
      <c r="AC233" s="873">
        <v>225</v>
      </c>
      <c r="AD233" s="873">
        <v>14</v>
      </c>
      <c r="AE233" s="873">
        <v>49</v>
      </c>
      <c r="AF233" s="873">
        <v>0</v>
      </c>
      <c r="AG233" s="873">
        <v>603</v>
      </c>
      <c r="AH233" s="873">
        <v>107</v>
      </c>
      <c r="AI233" s="873">
        <v>8</v>
      </c>
      <c r="AJ233" s="873">
        <v>0</v>
      </c>
      <c r="AK233" s="873">
        <v>42</v>
      </c>
      <c r="AL233" s="873">
        <v>0</v>
      </c>
      <c r="AM233" s="873">
        <v>0</v>
      </c>
      <c r="AN233" s="873">
        <v>0</v>
      </c>
      <c r="AO233" s="873">
        <v>1334</v>
      </c>
      <c r="AP233" s="873">
        <v>1607</v>
      </c>
      <c r="AQ233" s="873">
        <v>1156</v>
      </c>
      <c r="AR233" s="873">
        <v>451</v>
      </c>
      <c r="AS233" s="873">
        <v>986</v>
      </c>
      <c r="AT233" s="843">
        <v>3895</v>
      </c>
      <c r="AU233" s="663"/>
      <c r="AV233" s="663"/>
      <c r="AX233" s="666"/>
      <c r="AY233" s="666"/>
      <c r="AZ233" s="666"/>
      <c r="BA233" s="666"/>
      <c r="BB233" s="666"/>
      <c r="BD233" s="666"/>
      <c r="BE233" s="666"/>
      <c r="BG233" s="666"/>
      <c r="BI233" s="666"/>
      <c r="BJ233" s="666"/>
      <c r="BK233" s="666"/>
    </row>
    <row r="234" spans="1:63" ht="12.75" x14ac:dyDescent="0.2">
      <c r="A234" s="288">
        <v>227</v>
      </c>
      <c r="B234" s="290" t="s">
        <v>364</v>
      </c>
      <c r="C234" s="279" t="s">
        <v>365</v>
      </c>
      <c r="D234" s="955">
        <v>328553</v>
      </c>
      <c r="E234" s="843">
        <v>179116723</v>
      </c>
      <c r="F234" s="873">
        <v>84389894</v>
      </c>
      <c r="G234" s="873">
        <v>-5652486</v>
      </c>
      <c r="H234" s="873">
        <v>1943448</v>
      </c>
      <c r="I234" s="873">
        <v>-3709038</v>
      </c>
      <c r="J234" s="873">
        <v>-4460827</v>
      </c>
      <c r="K234" s="873">
        <v>-34108</v>
      </c>
      <c r="L234" s="873">
        <v>-1800</v>
      </c>
      <c r="M234" s="873">
        <v>0</v>
      </c>
      <c r="N234" s="873">
        <v>-2427935</v>
      </c>
      <c r="O234" s="873">
        <v>-226790</v>
      </c>
      <c r="P234" s="873">
        <v>-63995</v>
      </c>
      <c r="Q234" s="873">
        <v>0</v>
      </c>
      <c r="R234" s="873">
        <v>0</v>
      </c>
      <c r="S234" s="873">
        <v>0</v>
      </c>
      <c r="T234" s="873">
        <v>0</v>
      </c>
      <c r="U234" s="873">
        <v>0</v>
      </c>
      <c r="V234" s="873">
        <v>0</v>
      </c>
      <c r="W234" s="873">
        <v>0</v>
      </c>
      <c r="X234" s="873">
        <v>0</v>
      </c>
      <c r="Y234" s="873">
        <v>-796384</v>
      </c>
      <c r="Z234" s="873">
        <v>71261952</v>
      </c>
      <c r="AA234" s="873">
        <v>-3855376</v>
      </c>
      <c r="AB234" s="874"/>
      <c r="AC234" s="873">
        <v>328</v>
      </c>
      <c r="AD234" s="873">
        <v>17</v>
      </c>
      <c r="AE234" s="873">
        <v>2</v>
      </c>
      <c r="AF234" s="873">
        <v>0</v>
      </c>
      <c r="AG234" s="873">
        <v>1018</v>
      </c>
      <c r="AH234" s="873">
        <v>48</v>
      </c>
      <c r="AI234" s="873">
        <v>30</v>
      </c>
      <c r="AJ234" s="873">
        <v>0</v>
      </c>
      <c r="AK234" s="873">
        <v>0</v>
      </c>
      <c r="AL234" s="873">
        <v>0</v>
      </c>
      <c r="AM234" s="873">
        <v>0</v>
      </c>
      <c r="AN234" s="873">
        <v>0</v>
      </c>
      <c r="AO234" s="873">
        <v>2660</v>
      </c>
      <c r="AP234" s="873">
        <v>3205</v>
      </c>
      <c r="AQ234" s="873">
        <v>2354</v>
      </c>
      <c r="AR234" s="873">
        <v>851</v>
      </c>
      <c r="AS234" s="873">
        <v>2033</v>
      </c>
      <c r="AT234" s="843">
        <v>7991</v>
      </c>
      <c r="AU234" s="663"/>
      <c r="AV234" s="663"/>
      <c r="AX234" s="666"/>
      <c r="AY234" s="666"/>
      <c r="AZ234" s="666"/>
      <c r="BA234" s="666"/>
      <c r="BB234" s="666"/>
      <c r="BD234" s="666"/>
      <c r="BE234" s="666"/>
      <c r="BG234" s="666"/>
      <c r="BI234" s="666"/>
      <c r="BJ234" s="666"/>
      <c r="BK234" s="666"/>
    </row>
    <row r="235" spans="1:63" ht="12.75" x14ac:dyDescent="0.2">
      <c r="A235" s="288">
        <v>228</v>
      </c>
      <c r="B235" s="290" t="s">
        <v>366</v>
      </c>
      <c r="C235" s="279" t="s">
        <v>367</v>
      </c>
      <c r="D235" s="955">
        <v>118443</v>
      </c>
      <c r="E235" s="843">
        <v>100910127</v>
      </c>
      <c r="F235" s="873">
        <v>47353876</v>
      </c>
      <c r="G235" s="873">
        <v>-1594392</v>
      </c>
      <c r="H235" s="873">
        <v>989773</v>
      </c>
      <c r="I235" s="873">
        <v>-604619</v>
      </c>
      <c r="J235" s="873">
        <v>-1151543</v>
      </c>
      <c r="K235" s="873">
        <v>-52681</v>
      </c>
      <c r="L235" s="873">
        <v>-21548</v>
      </c>
      <c r="M235" s="873">
        <v>0</v>
      </c>
      <c r="N235" s="873">
        <v>-673073</v>
      </c>
      <c r="O235" s="873">
        <v>-42698</v>
      </c>
      <c r="P235" s="873">
        <v>-18746</v>
      </c>
      <c r="Q235" s="873">
        <v>-1347</v>
      </c>
      <c r="R235" s="873">
        <v>-13948</v>
      </c>
      <c r="S235" s="873">
        <v>-2791</v>
      </c>
      <c r="T235" s="873">
        <v>0</v>
      </c>
      <c r="U235" s="873">
        <v>0</v>
      </c>
      <c r="V235" s="873">
        <v>0</v>
      </c>
      <c r="W235" s="873">
        <v>-2593</v>
      </c>
      <c r="X235" s="873">
        <v>-3194</v>
      </c>
      <c r="Y235" s="873">
        <v>-230964</v>
      </c>
      <c r="Z235" s="873">
        <v>44512664</v>
      </c>
      <c r="AA235" s="873">
        <v>-1571249</v>
      </c>
      <c r="AB235" s="874"/>
      <c r="AC235" s="873">
        <v>127</v>
      </c>
      <c r="AD235" s="873">
        <v>16</v>
      </c>
      <c r="AE235" s="873">
        <v>19</v>
      </c>
      <c r="AF235" s="873">
        <v>0</v>
      </c>
      <c r="AG235" s="873">
        <v>451</v>
      </c>
      <c r="AH235" s="873">
        <v>67</v>
      </c>
      <c r="AI235" s="873">
        <v>13</v>
      </c>
      <c r="AJ235" s="873">
        <v>2</v>
      </c>
      <c r="AK235" s="873">
        <v>22</v>
      </c>
      <c r="AL235" s="873">
        <v>3</v>
      </c>
      <c r="AM235" s="873">
        <v>0</v>
      </c>
      <c r="AN235" s="873">
        <v>0</v>
      </c>
      <c r="AO235" s="873">
        <v>1558</v>
      </c>
      <c r="AP235" s="873">
        <v>933</v>
      </c>
      <c r="AQ235" s="873">
        <v>639</v>
      </c>
      <c r="AR235" s="873">
        <v>294</v>
      </c>
      <c r="AS235" s="873">
        <v>41</v>
      </c>
      <c r="AT235" s="843">
        <v>2551</v>
      </c>
      <c r="AU235" s="663"/>
      <c r="AV235" s="663"/>
      <c r="AX235" s="666"/>
      <c r="AY235" s="666"/>
      <c r="AZ235" s="666"/>
      <c r="BA235" s="666"/>
      <c r="BB235" s="666"/>
      <c r="BD235" s="666"/>
      <c r="BE235" s="666"/>
      <c r="BG235" s="666"/>
      <c r="BI235" s="666"/>
      <c r="BJ235" s="666"/>
      <c r="BK235" s="666"/>
    </row>
    <row r="236" spans="1:63" ht="12.75" x14ac:dyDescent="0.2">
      <c r="A236" s="288">
        <v>229</v>
      </c>
      <c r="B236" s="290" t="s">
        <v>368</v>
      </c>
      <c r="C236" s="279" t="s">
        <v>369</v>
      </c>
      <c r="D236" s="955">
        <v>165079</v>
      </c>
      <c r="E236" s="843">
        <v>89850884</v>
      </c>
      <c r="F236" s="873">
        <v>42761824</v>
      </c>
      <c r="G236" s="873">
        <v>-2347733</v>
      </c>
      <c r="H236" s="873">
        <v>943430</v>
      </c>
      <c r="I236" s="873">
        <v>-1404303</v>
      </c>
      <c r="J236" s="873">
        <v>-2584762</v>
      </c>
      <c r="K236" s="873">
        <v>-87649</v>
      </c>
      <c r="L236" s="873">
        <v>-15092</v>
      </c>
      <c r="M236" s="873">
        <v>0</v>
      </c>
      <c r="N236" s="873">
        <v>-1324243</v>
      </c>
      <c r="O236" s="873">
        <v>-126620</v>
      </c>
      <c r="P236" s="873">
        <v>-32087</v>
      </c>
      <c r="Q236" s="873">
        <v>0</v>
      </c>
      <c r="R236" s="873">
        <v>-8515</v>
      </c>
      <c r="S236" s="873">
        <v>0</v>
      </c>
      <c r="T236" s="873">
        <v>0</v>
      </c>
      <c r="U236" s="873">
        <v>0</v>
      </c>
      <c r="V236" s="873">
        <v>0</v>
      </c>
      <c r="W236" s="873">
        <v>0</v>
      </c>
      <c r="X236" s="873">
        <v>0</v>
      </c>
      <c r="Y236" s="873">
        <v>-491739</v>
      </c>
      <c r="Z236" s="873">
        <v>36686814</v>
      </c>
      <c r="AA236" s="873">
        <v>-612660</v>
      </c>
      <c r="AB236" s="874"/>
      <c r="AC236" s="873">
        <v>182</v>
      </c>
      <c r="AD236" s="873">
        <v>34</v>
      </c>
      <c r="AE236" s="873">
        <v>13</v>
      </c>
      <c r="AF236" s="873">
        <v>0</v>
      </c>
      <c r="AG236" s="873">
        <v>414</v>
      </c>
      <c r="AH236" s="873">
        <v>48</v>
      </c>
      <c r="AI236" s="873">
        <v>9</v>
      </c>
      <c r="AJ236" s="873">
        <v>0</v>
      </c>
      <c r="AK236" s="873">
        <v>4</v>
      </c>
      <c r="AL236" s="873">
        <v>0</v>
      </c>
      <c r="AM236" s="873">
        <v>0</v>
      </c>
      <c r="AN236" s="873">
        <v>0</v>
      </c>
      <c r="AO236" s="873">
        <v>1470</v>
      </c>
      <c r="AP236" s="873">
        <v>1194</v>
      </c>
      <c r="AQ236" s="873">
        <v>677</v>
      </c>
      <c r="AR236" s="873">
        <v>517</v>
      </c>
      <c r="AS236" s="873">
        <v>1118</v>
      </c>
      <c r="AT236" s="843">
        <v>3766</v>
      </c>
      <c r="AU236" s="663"/>
      <c r="AV236" s="663"/>
      <c r="AX236" s="666"/>
      <c r="AY236" s="666"/>
      <c r="AZ236" s="666"/>
      <c r="BA236" s="666"/>
      <c r="BB236" s="666"/>
      <c r="BD236" s="666"/>
      <c r="BE236" s="666"/>
      <c r="BG236" s="666"/>
      <c r="BI236" s="666"/>
      <c r="BJ236" s="666"/>
      <c r="BK236" s="666"/>
    </row>
    <row r="237" spans="1:63" ht="12.75" x14ac:dyDescent="0.2">
      <c r="A237" s="288">
        <v>230</v>
      </c>
      <c r="B237" s="290" t="s">
        <v>370</v>
      </c>
      <c r="C237" s="279" t="s">
        <v>371</v>
      </c>
      <c r="D237" s="955">
        <v>777710</v>
      </c>
      <c r="E237" s="843">
        <v>532389012</v>
      </c>
      <c r="F237" s="873">
        <v>259880661</v>
      </c>
      <c r="G237" s="873">
        <v>-11210191</v>
      </c>
      <c r="H237" s="873">
        <v>6110000</v>
      </c>
      <c r="I237" s="873">
        <v>-5100191</v>
      </c>
      <c r="J237" s="873">
        <v>-18922199</v>
      </c>
      <c r="K237" s="873">
        <v>-20456</v>
      </c>
      <c r="L237" s="873">
        <v>0</v>
      </c>
      <c r="M237" s="873">
        <v>-1380809</v>
      </c>
      <c r="N237" s="873">
        <v>-9767946</v>
      </c>
      <c r="O237" s="873">
        <v>-7160</v>
      </c>
      <c r="P237" s="873">
        <v>-238317</v>
      </c>
      <c r="Q237" s="873">
        <v>0</v>
      </c>
      <c r="R237" s="873">
        <v>0</v>
      </c>
      <c r="S237" s="873">
        <v>0</v>
      </c>
      <c r="T237" s="873">
        <v>-55000</v>
      </c>
      <c r="U237" s="873">
        <v>-55000</v>
      </c>
      <c r="V237" s="873">
        <v>0</v>
      </c>
      <c r="W237" s="873">
        <v>0</v>
      </c>
      <c r="X237" s="873">
        <v>-16365</v>
      </c>
      <c r="Y237" s="873">
        <v>-1354216</v>
      </c>
      <c r="Z237" s="873">
        <v>221673002</v>
      </c>
      <c r="AA237" s="873">
        <v>-3761103</v>
      </c>
      <c r="AB237" s="874"/>
      <c r="AC237" s="873">
        <v>989</v>
      </c>
      <c r="AD237" s="873">
        <v>11</v>
      </c>
      <c r="AE237" s="873">
        <v>0</v>
      </c>
      <c r="AF237" s="873">
        <v>4</v>
      </c>
      <c r="AG237" s="873">
        <v>3209</v>
      </c>
      <c r="AH237" s="873">
        <v>3</v>
      </c>
      <c r="AI237" s="873">
        <v>29</v>
      </c>
      <c r="AJ237" s="873">
        <v>0</v>
      </c>
      <c r="AK237" s="873">
        <v>0</v>
      </c>
      <c r="AL237" s="873">
        <v>0</v>
      </c>
      <c r="AM237" s="873">
        <v>1</v>
      </c>
      <c r="AN237" s="873">
        <v>0</v>
      </c>
      <c r="AO237" s="873">
        <v>8807</v>
      </c>
      <c r="AP237" s="873">
        <v>6002</v>
      </c>
      <c r="AQ237" s="873">
        <v>4080</v>
      </c>
      <c r="AR237" s="873">
        <v>1922</v>
      </c>
      <c r="AS237" s="873">
        <v>3350</v>
      </c>
      <c r="AT237" s="843">
        <v>18026</v>
      </c>
      <c r="AU237" s="663"/>
      <c r="AV237" s="663"/>
      <c r="AX237" s="666"/>
      <c r="AY237" s="666"/>
      <c r="AZ237" s="666"/>
      <c r="BA237" s="666"/>
      <c r="BB237" s="666"/>
      <c r="BD237" s="666"/>
      <c r="BE237" s="666"/>
      <c r="BG237" s="666"/>
      <c r="BI237" s="666"/>
      <c r="BJ237" s="666"/>
      <c r="BK237" s="666"/>
    </row>
    <row r="238" spans="1:63" ht="12.75" x14ac:dyDescent="0.2">
      <c r="A238" s="288">
        <v>231</v>
      </c>
      <c r="B238" s="290" t="s">
        <v>372</v>
      </c>
      <c r="C238" s="279" t="s">
        <v>373</v>
      </c>
      <c r="D238" s="955">
        <v>149886</v>
      </c>
      <c r="E238" s="843">
        <v>74017109</v>
      </c>
      <c r="F238" s="873">
        <v>35782810</v>
      </c>
      <c r="G238" s="873">
        <v>-2690817</v>
      </c>
      <c r="H238" s="873">
        <v>790189</v>
      </c>
      <c r="I238" s="873">
        <v>-1900628</v>
      </c>
      <c r="J238" s="873">
        <v>-2465775</v>
      </c>
      <c r="K238" s="873">
        <v>-95603</v>
      </c>
      <c r="L238" s="873">
        <v>-23911</v>
      </c>
      <c r="M238" s="873">
        <v>-535857</v>
      </c>
      <c r="N238" s="873">
        <v>-1056123</v>
      </c>
      <c r="O238" s="873">
        <v>-53270</v>
      </c>
      <c r="P238" s="873">
        <v>-2818</v>
      </c>
      <c r="Q238" s="873">
        <v>-1473</v>
      </c>
      <c r="R238" s="873">
        <v>-322</v>
      </c>
      <c r="S238" s="873">
        <v>-22</v>
      </c>
      <c r="T238" s="873">
        <v>-265259</v>
      </c>
      <c r="U238" s="873">
        <v>0</v>
      </c>
      <c r="V238" s="873">
        <v>0</v>
      </c>
      <c r="W238" s="873">
        <v>-9400</v>
      </c>
      <c r="X238" s="873">
        <v>-12070</v>
      </c>
      <c r="Y238" s="873">
        <v>-641939</v>
      </c>
      <c r="Z238" s="873">
        <v>28153799</v>
      </c>
      <c r="AA238" s="873">
        <v>-412877</v>
      </c>
      <c r="AB238" s="874"/>
      <c r="AC238" s="873">
        <v>197</v>
      </c>
      <c r="AD238" s="873">
        <v>27</v>
      </c>
      <c r="AE238" s="873">
        <v>18</v>
      </c>
      <c r="AF238" s="873">
        <v>0</v>
      </c>
      <c r="AG238" s="873">
        <v>500</v>
      </c>
      <c r="AH238" s="873">
        <v>0</v>
      </c>
      <c r="AI238" s="873">
        <v>0</v>
      </c>
      <c r="AJ238" s="873">
        <v>0</v>
      </c>
      <c r="AK238" s="873">
        <v>0</v>
      </c>
      <c r="AL238" s="873">
        <v>0</v>
      </c>
      <c r="AM238" s="873">
        <v>0</v>
      </c>
      <c r="AN238" s="873">
        <v>4</v>
      </c>
      <c r="AO238" s="873">
        <v>1278</v>
      </c>
      <c r="AP238" s="873">
        <v>1524</v>
      </c>
      <c r="AQ238" s="873">
        <v>1091</v>
      </c>
      <c r="AR238" s="873">
        <v>433</v>
      </c>
      <c r="AS238" s="873">
        <v>869</v>
      </c>
      <c r="AT238" s="843">
        <v>3724</v>
      </c>
      <c r="AU238" s="663"/>
      <c r="AV238" s="663"/>
      <c r="AX238" s="666"/>
      <c r="AY238" s="666"/>
      <c r="AZ238" s="666"/>
      <c r="BA238" s="666"/>
      <c r="BB238" s="666"/>
      <c r="BD238" s="666"/>
      <c r="BE238" s="666"/>
      <c r="BG238" s="666"/>
      <c r="BI238" s="666"/>
      <c r="BJ238" s="666"/>
      <c r="BK238" s="666"/>
    </row>
    <row r="239" spans="1:63" ht="12.75" x14ac:dyDescent="0.2">
      <c r="A239" s="288">
        <v>232</v>
      </c>
      <c r="B239" s="290" t="s">
        <v>374</v>
      </c>
      <c r="C239" s="279" t="s">
        <v>375</v>
      </c>
      <c r="D239" s="955">
        <v>462718</v>
      </c>
      <c r="E239" s="843">
        <v>203999939</v>
      </c>
      <c r="F239" s="873">
        <v>98446902</v>
      </c>
      <c r="G239" s="873">
        <v>-8162597</v>
      </c>
      <c r="H239" s="873">
        <v>2070305</v>
      </c>
      <c r="I239" s="873">
        <v>-6092292</v>
      </c>
      <c r="J239" s="873">
        <v>-6247535</v>
      </c>
      <c r="K239" s="873">
        <v>-155628</v>
      </c>
      <c r="L239" s="873">
        <v>-103649</v>
      </c>
      <c r="M239" s="873">
        <v>-100005</v>
      </c>
      <c r="N239" s="873">
        <v>-1680279</v>
      </c>
      <c r="O239" s="873">
        <v>-503374</v>
      </c>
      <c r="P239" s="873">
        <v>-415631</v>
      </c>
      <c r="Q239" s="873">
        <v>-26714</v>
      </c>
      <c r="R239" s="873">
        <v>-9572</v>
      </c>
      <c r="S239" s="873">
        <v>0</v>
      </c>
      <c r="T239" s="873">
        <v>0</v>
      </c>
      <c r="U239" s="873">
        <v>0</v>
      </c>
      <c r="V239" s="873">
        <v>0</v>
      </c>
      <c r="W239" s="873">
        <v>-61986</v>
      </c>
      <c r="X239" s="873">
        <v>-42377</v>
      </c>
      <c r="Y239" s="873">
        <v>-1300269</v>
      </c>
      <c r="Z239" s="873">
        <v>81707591</v>
      </c>
      <c r="AA239" s="873">
        <v>-500710</v>
      </c>
      <c r="AB239" s="874"/>
      <c r="AC239" s="873">
        <v>678</v>
      </c>
      <c r="AD239" s="873">
        <v>60</v>
      </c>
      <c r="AE239" s="873">
        <v>96</v>
      </c>
      <c r="AF239" s="873">
        <v>1</v>
      </c>
      <c r="AG239" s="873">
        <v>790</v>
      </c>
      <c r="AH239" s="873">
        <v>440</v>
      </c>
      <c r="AI239" s="873">
        <v>107</v>
      </c>
      <c r="AJ239" s="873">
        <v>24</v>
      </c>
      <c r="AK239" s="873">
        <v>22</v>
      </c>
      <c r="AL239" s="873">
        <v>0</v>
      </c>
      <c r="AM239" s="873">
        <v>0</v>
      </c>
      <c r="AN239" s="873">
        <v>0</v>
      </c>
      <c r="AO239" s="873">
        <v>3705</v>
      </c>
      <c r="AP239" s="873">
        <v>4980</v>
      </c>
      <c r="AQ239" s="873">
        <v>3653</v>
      </c>
      <c r="AR239" s="873">
        <v>1327</v>
      </c>
      <c r="AS239" s="873">
        <v>3132</v>
      </c>
      <c r="AT239" s="843">
        <v>11830</v>
      </c>
      <c r="AU239" s="663"/>
      <c r="AV239" s="663"/>
      <c r="AX239" s="666"/>
      <c r="AY239" s="666"/>
      <c r="AZ239" s="666"/>
      <c r="BA239" s="666"/>
      <c r="BB239" s="666"/>
      <c r="BD239" s="666"/>
      <c r="BE239" s="666"/>
      <c r="BG239" s="666"/>
      <c r="BI239" s="666"/>
      <c r="BJ239" s="666"/>
      <c r="BK239" s="666"/>
    </row>
    <row r="240" spans="1:63" ht="12.75" x14ac:dyDescent="0.2">
      <c r="A240" s="288">
        <v>233</v>
      </c>
      <c r="B240" s="290" t="s">
        <v>376</v>
      </c>
      <c r="C240" s="279" t="s">
        <v>377</v>
      </c>
      <c r="D240" s="955">
        <v>210222</v>
      </c>
      <c r="E240" s="843">
        <v>223835885</v>
      </c>
      <c r="F240" s="873">
        <v>108414056</v>
      </c>
      <c r="G240" s="873">
        <v>-1211537</v>
      </c>
      <c r="H240" s="873">
        <v>2751960</v>
      </c>
      <c r="I240" s="873">
        <v>1540423</v>
      </c>
      <c r="J240" s="873">
        <v>-3466470</v>
      </c>
      <c r="K240" s="873">
        <v>0</v>
      </c>
      <c r="L240" s="873">
        <v>0</v>
      </c>
      <c r="M240" s="873">
        <v>0</v>
      </c>
      <c r="N240" s="873">
        <v>-4048154</v>
      </c>
      <c r="O240" s="873">
        <v>-50000</v>
      </c>
      <c r="P240" s="873">
        <v>-50000</v>
      </c>
      <c r="Q240" s="873">
        <v>0</v>
      </c>
      <c r="R240" s="873">
        <v>0</v>
      </c>
      <c r="S240" s="873">
        <v>0</v>
      </c>
      <c r="T240" s="873">
        <v>0</v>
      </c>
      <c r="U240" s="873">
        <v>0</v>
      </c>
      <c r="V240" s="873">
        <v>0</v>
      </c>
      <c r="W240" s="873">
        <v>0</v>
      </c>
      <c r="X240" s="873">
        <v>-4020</v>
      </c>
      <c r="Y240" s="873">
        <v>-738791</v>
      </c>
      <c r="Z240" s="873">
        <v>100935784</v>
      </c>
      <c r="AA240" s="873">
        <v>-1120267</v>
      </c>
      <c r="AB240" s="874"/>
      <c r="AC240" s="873">
        <v>135</v>
      </c>
      <c r="AD240" s="873">
        <v>0</v>
      </c>
      <c r="AE240" s="873">
        <v>0</v>
      </c>
      <c r="AF240" s="873">
        <v>0</v>
      </c>
      <c r="AG240" s="873">
        <v>255</v>
      </c>
      <c r="AH240" s="873">
        <v>52</v>
      </c>
      <c r="AI240" s="873">
        <v>16</v>
      </c>
      <c r="AJ240" s="873">
        <v>0</v>
      </c>
      <c r="AK240" s="873">
        <v>0</v>
      </c>
      <c r="AL240" s="873">
        <v>0</v>
      </c>
      <c r="AM240" s="873">
        <v>0</v>
      </c>
      <c r="AN240" s="873">
        <v>0</v>
      </c>
      <c r="AO240" s="873">
        <v>1947</v>
      </c>
      <c r="AP240" s="873">
        <v>574</v>
      </c>
      <c r="AQ240" s="873">
        <v>228</v>
      </c>
      <c r="AR240" s="873">
        <v>346</v>
      </c>
      <c r="AS240" s="873">
        <v>783</v>
      </c>
      <c r="AT240" s="843">
        <v>3498</v>
      </c>
      <c r="AU240" s="663"/>
      <c r="AV240" s="663"/>
      <c r="AX240" s="666"/>
      <c r="AY240" s="666"/>
      <c r="AZ240" s="666"/>
      <c r="BA240" s="666"/>
      <c r="BB240" s="666"/>
      <c r="BD240" s="666"/>
      <c r="BE240" s="666"/>
      <c r="BG240" s="666"/>
      <c r="BI240" s="666"/>
      <c r="BJ240" s="666"/>
      <c r="BK240" s="666"/>
    </row>
    <row r="241" spans="1:63" ht="12.75" x14ac:dyDescent="0.2">
      <c r="A241" s="288">
        <v>234</v>
      </c>
      <c r="B241" s="290" t="s">
        <v>378</v>
      </c>
      <c r="C241" s="279" t="s">
        <v>379</v>
      </c>
      <c r="D241" s="955">
        <v>252068</v>
      </c>
      <c r="E241" s="843">
        <v>263874064</v>
      </c>
      <c r="F241" s="873">
        <v>128714462</v>
      </c>
      <c r="G241" s="873">
        <v>-2184014</v>
      </c>
      <c r="H241" s="873">
        <v>3124832</v>
      </c>
      <c r="I241" s="873">
        <v>940818</v>
      </c>
      <c r="J241" s="873">
        <v>-4517172</v>
      </c>
      <c r="K241" s="873">
        <v>-86314</v>
      </c>
      <c r="L241" s="873">
        <v>-986</v>
      </c>
      <c r="M241" s="873">
        <v>-310000</v>
      </c>
      <c r="N241" s="873">
        <v>-3127618</v>
      </c>
      <c r="O241" s="873">
        <v>-76515</v>
      </c>
      <c r="P241" s="873">
        <v>-322915</v>
      </c>
      <c r="Q241" s="873">
        <v>0</v>
      </c>
      <c r="R241" s="873">
        <v>0</v>
      </c>
      <c r="S241" s="873">
        <v>0</v>
      </c>
      <c r="T241" s="873">
        <v>0</v>
      </c>
      <c r="U241" s="873">
        <v>0</v>
      </c>
      <c r="V241" s="873">
        <v>0</v>
      </c>
      <c r="W241" s="873">
        <v>-270000</v>
      </c>
      <c r="X241" s="873">
        <v>-40000</v>
      </c>
      <c r="Y241" s="873">
        <v>-1143911</v>
      </c>
      <c r="Z241" s="873">
        <v>119509249</v>
      </c>
      <c r="AA241" s="873">
        <v>-1278451</v>
      </c>
      <c r="AB241" s="874"/>
      <c r="AC241" s="873">
        <v>231</v>
      </c>
      <c r="AD241" s="873">
        <v>19</v>
      </c>
      <c r="AE241" s="873">
        <v>1</v>
      </c>
      <c r="AF241" s="873">
        <v>0</v>
      </c>
      <c r="AG241" s="873">
        <v>233</v>
      </c>
      <c r="AH241" s="873">
        <v>53</v>
      </c>
      <c r="AI241" s="873">
        <v>4</v>
      </c>
      <c r="AJ241" s="873">
        <v>0</v>
      </c>
      <c r="AK241" s="873">
        <v>0</v>
      </c>
      <c r="AL241" s="873">
        <v>0</v>
      </c>
      <c r="AM241" s="873">
        <v>0</v>
      </c>
      <c r="AN241" s="873">
        <v>0</v>
      </c>
      <c r="AO241" s="873">
        <v>2755</v>
      </c>
      <c r="AP241" s="873">
        <v>1153</v>
      </c>
      <c r="AQ241" s="873">
        <v>675</v>
      </c>
      <c r="AR241" s="873">
        <v>478</v>
      </c>
      <c r="AS241" s="873">
        <v>835</v>
      </c>
      <c r="AT241" s="843">
        <v>4848</v>
      </c>
      <c r="AU241" s="663"/>
      <c r="AV241" s="663"/>
      <c r="AX241" s="666"/>
      <c r="AY241" s="666"/>
      <c r="AZ241" s="666"/>
      <c r="BA241" s="666"/>
      <c r="BB241" s="666"/>
      <c r="BD241" s="666"/>
      <c r="BE241" s="666"/>
      <c r="BG241" s="666"/>
      <c r="BI241" s="666"/>
      <c r="BJ241" s="666"/>
      <c r="BK241" s="666"/>
    </row>
    <row r="242" spans="1:63" ht="12.75" x14ac:dyDescent="0.2">
      <c r="A242" s="288">
        <v>235</v>
      </c>
      <c r="B242" s="290" t="s">
        <v>380</v>
      </c>
      <c r="C242" s="279" t="s">
        <v>381</v>
      </c>
      <c r="D242" s="955">
        <v>97762</v>
      </c>
      <c r="E242" s="843">
        <v>75243111</v>
      </c>
      <c r="F242" s="873">
        <v>35733886</v>
      </c>
      <c r="G242" s="873">
        <v>-889081</v>
      </c>
      <c r="H242" s="873">
        <v>874256</v>
      </c>
      <c r="I242" s="873">
        <v>-14825</v>
      </c>
      <c r="J242" s="873">
        <v>-1835798</v>
      </c>
      <c r="K242" s="873">
        <v>-59752</v>
      </c>
      <c r="L242" s="873">
        <v>-1159</v>
      </c>
      <c r="M242" s="873">
        <v>0</v>
      </c>
      <c r="N242" s="873">
        <v>-1318110</v>
      </c>
      <c r="O242" s="873">
        <v>-15657</v>
      </c>
      <c r="P242" s="873">
        <v>-27608</v>
      </c>
      <c r="Q242" s="873">
        <v>-261</v>
      </c>
      <c r="R242" s="873">
        <v>0</v>
      </c>
      <c r="S242" s="873">
        <v>0</v>
      </c>
      <c r="T242" s="873">
        <v>0</v>
      </c>
      <c r="U242" s="873">
        <v>0</v>
      </c>
      <c r="V242" s="873">
        <v>0</v>
      </c>
      <c r="W242" s="873">
        <v>0</v>
      </c>
      <c r="X242" s="873">
        <v>0</v>
      </c>
      <c r="Y242" s="873">
        <v>-226185</v>
      </c>
      <c r="Z242" s="873">
        <v>32234531</v>
      </c>
      <c r="AA242" s="873">
        <v>-277843</v>
      </c>
      <c r="AB242" s="874"/>
      <c r="AC242" s="873">
        <v>109</v>
      </c>
      <c r="AD242" s="873">
        <v>19</v>
      </c>
      <c r="AE242" s="873">
        <v>1</v>
      </c>
      <c r="AF242" s="873">
        <v>0</v>
      </c>
      <c r="AG242" s="873">
        <v>123</v>
      </c>
      <c r="AH242" s="873">
        <v>36</v>
      </c>
      <c r="AI242" s="873">
        <v>1</v>
      </c>
      <c r="AJ242" s="873">
        <v>1</v>
      </c>
      <c r="AK242" s="873">
        <v>0</v>
      </c>
      <c r="AL242" s="873">
        <v>0</v>
      </c>
      <c r="AM242" s="873">
        <v>0</v>
      </c>
      <c r="AN242" s="873">
        <v>0</v>
      </c>
      <c r="AO242" s="873">
        <v>956</v>
      </c>
      <c r="AP242" s="873">
        <v>451</v>
      </c>
      <c r="AQ242" s="873">
        <v>243</v>
      </c>
      <c r="AR242" s="873">
        <v>208</v>
      </c>
      <c r="AS242" s="873">
        <v>535</v>
      </c>
      <c r="AT242" s="843">
        <v>1964</v>
      </c>
      <c r="AU242" s="663"/>
      <c r="AV242" s="663"/>
      <c r="AX242" s="666"/>
      <c r="AY242" s="666"/>
      <c r="AZ242" s="666"/>
      <c r="BA242" s="666"/>
      <c r="BB242" s="666"/>
      <c r="BD242" s="666"/>
      <c r="BE242" s="666"/>
      <c r="BG242" s="666"/>
      <c r="BI242" s="666"/>
      <c r="BJ242" s="666"/>
      <c r="BK242" s="666"/>
    </row>
    <row r="243" spans="1:63" ht="12.75" x14ac:dyDescent="0.2">
      <c r="A243" s="288">
        <v>236</v>
      </c>
      <c r="B243" s="290" t="s">
        <v>382</v>
      </c>
      <c r="C243" s="279" t="s">
        <v>383</v>
      </c>
      <c r="D243" s="955">
        <v>223204</v>
      </c>
      <c r="E243" s="843">
        <v>176751854</v>
      </c>
      <c r="F243" s="873">
        <v>83863295</v>
      </c>
      <c r="G243" s="873">
        <v>-2459904</v>
      </c>
      <c r="H243" s="873">
        <v>1722472</v>
      </c>
      <c r="I243" s="873">
        <v>-737432</v>
      </c>
      <c r="J243" s="873">
        <v>-8848007</v>
      </c>
      <c r="K243" s="873">
        <v>-38805</v>
      </c>
      <c r="L243" s="873">
        <v>-79101</v>
      </c>
      <c r="M243" s="873">
        <v>-9234</v>
      </c>
      <c r="N243" s="873">
        <v>-1632532</v>
      </c>
      <c r="O243" s="873">
        <v>-105761</v>
      </c>
      <c r="P243" s="873">
        <v>-57815</v>
      </c>
      <c r="Q243" s="873">
        <v>0</v>
      </c>
      <c r="R243" s="873">
        <v>-84982</v>
      </c>
      <c r="S243" s="873">
        <v>-53513</v>
      </c>
      <c r="T243" s="873">
        <v>0</v>
      </c>
      <c r="U243" s="873">
        <v>0</v>
      </c>
      <c r="V243" s="873">
        <v>0</v>
      </c>
      <c r="W243" s="873">
        <v>0</v>
      </c>
      <c r="X243" s="873">
        <v>-5160</v>
      </c>
      <c r="Y243" s="873">
        <v>-331116</v>
      </c>
      <c r="Z243" s="873">
        <v>71879837</v>
      </c>
      <c r="AA243" s="873">
        <v>-1200000</v>
      </c>
      <c r="AB243" s="874"/>
      <c r="AC243" s="873">
        <v>255</v>
      </c>
      <c r="AD243" s="873">
        <v>5</v>
      </c>
      <c r="AE243" s="873">
        <v>47</v>
      </c>
      <c r="AF243" s="873">
        <v>0</v>
      </c>
      <c r="AG243" s="873">
        <v>260</v>
      </c>
      <c r="AH243" s="873">
        <v>142</v>
      </c>
      <c r="AI243" s="873">
        <v>13</v>
      </c>
      <c r="AJ243" s="873">
        <v>0</v>
      </c>
      <c r="AK243" s="873">
        <v>47</v>
      </c>
      <c r="AL243" s="873">
        <v>10</v>
      </c>
      <c r="AM243" s="873">
        <v>0</v>
      </c>
      <c r="AN243" s="873">
        <v>0</v>
      </c>
      <c r="AO243" s="873">
        <v>1962</v>
      </c>
      <c r="AP243" s="873">
        <v>1312</v>
      </c>
      <c r="AQ243" s="873">
        <v>783</v>
      </c>
      <c r="AR243" s="873">
        <v>529</v>
      </c>
      <c r="AS243" s="873">
        <v>1367</v>
      </c>
      <c r="AT243" s="843">
        <v>4720</v>
      </c>
      <c r="AU243" s="663"/>
      <c r="AV243" s="663"/>
      <c r="AX243" s="666"/>
      <c r="AY243" s="666"/>
      <c r="AZ243" s="666"/>
      <c r="BA243" s="666"/>
      <c r="BB243" s="666"/>
      <c r="BD243" s="666"/>
      <c r="BE243" s="666"/>
      <c r="BG243" s="666"/>
      <c r="BI243" s="666"/>
      <c r="BJ243" s="666"/>
      <c r="BK243" s="666"/>
    </row>
    <row r="244" spans="1:63" ht="12.75" x14ac:dyDescent="0.2">
      <c r="A244" s="288">
        <v>237</v>
      </c>
      <c r="B244" s="290" t="s">
        <v>384</v>
      </c>
      <c r="C244" s="279" t="s">
        <v>385</v>
      </c>
      <c r="D244" s="955">
        <v>91482</v>
      </c>
      <c r="E244" s="843">
        <v>56542703</v>
      </c>
      <c r="F244" s="873">
        <v>27045049</v>
      </c>
      <c r="G244" s="873">
        <v>-1418046</v>
      </c>
      <c r="H244" s="873">
        <v>622726</v>
      </c>
      <c r="I244" s="873">
        <v>-795320</v>
      </c>
      <c r="J244" s="873">
        <v>-1171291</v>
      </c>
      <c r="K244" s="873">
        <v>-38740</v>
      </c>
      <c r="L244" s="873">
        <v>-24360</v>
      </c>
      <c r="M244" s="873">
        <v>-235000</v>
      </c>
      <c r="N244" s="873">
        <v>-457112</v>
      </c>
      <c r="O244" s="873">
        <v>-38683</v>
      </c>
      <c r="P244" s="873">
        <v>-1742</v>
      </c>
      <c r="Q244" s="873">
        <v>0</v>
      </c>
      <c r="R244" s="873">
        <v>0</v>
      </c>
      <c r="S244" s="873">
        <v>-1545</v>
      </c>
      <c r="T244" s="873">
        <v>0</v>
      </c>
      <c r="U244" s="873">
        <v>0</v>
      </c>
      <c r="V244" s="873">
        <v>0</v>
      </c>
      <c r="W244" s="873">
        <v>-16000</v>
      </c>
      <c r="X244" s="873">
        <v>-31800</v>
      </c>
      <c r="Y244" s="873">
        <v>-166071</v>
      </c>
      <c r="Z244" s="873">
        <v>23857385</v>
      </c>
      <c r="AA244" s="873">
        <v>-321799</v>
      </c>
      <c r="AB244" s="874"/>
      <c r="AC244" s="873">
        <v>126</v>
      </c>
      <c r="AD244" s="873">
        <v>8</v>
      </c>
      <c r="AE244" s="873">
        <v>23</v>
      </c>
      <c r="AF244" s="873">
        <v>0</v>
      </c>
      <c r="AG244" s="873">
        <v>190</v>
      </c>
      <c r="AH244" s="873">
        <v>7</v>
      </c>
      <c r="AI244" s="873">
        <v>1</v>
      </c>
      <c r="AJ244" s="873">
        <v>0</v>
      </c>
      <c r="AK244" s="873">
        <v>0</v>
      </c>
      <c r="AL244" s="873">
        <v>1</v>
      </c>
      <c r="AM244" s="873">
        <v>0</v>
      </c>
      <c r="AN244" s="873">
        <v>0</v>
      </c>
      <c r="AO244" s="873">
        <v>776</v>
      </c>
      <c r="AP244" s="873">
        <v>821</v>
      </c>
      <c r="AQ244" s="873">
        <v>611</v>
      </c>
      <c r="AR244" s="873">
        <v>210</v>
      </c>
      <c r="AS244" s="873">
        <v>566</v>
      </c>
      <c r="AT244" s="843">
        <v>2180</v>
      </c>
      <c r="AU244" s="663"/>
      <c r="AV244" s="663"/>
      <c r="AX244" s="666"/>
      <c r="AY244" s="666"/>
      <c r="AZ244" s="666"/>
      <c r="BA244" s="666"/>
      <c r="BB244" s="666"/>
      <c r="BD244" s="666"/>
      <c r="BE244" s="666"/>
      <c r="BG244" s="666"/>
      <c r="BI244" s="666"/>
      <c r="BJ244" s="666"/>
      <c r="BK244" s="666"/>
    </row>
    <row r="245" spans="1:63" ht="12.75" x14ac:dyDescent="0.2">
      <c r="A245" s="288">
        <v>238</v>
      </c>
      <c r="B245" s="290" t="s">
        <v>386</v>
      </c>
      <c r="C245" s="279" t="s">
        <v>387</v>
      </c>
      <c r="D245" s="955">
        <v>336111</v>
      </c>
      <c r="E245" s="843">
        <v>323520808</v>
      </c>
      <c r="F245" s="873">
        <v>155893942</v>
      </c>
      <c r="G245" s="873">
        <v>-3574198</v>
      </c>
      <c r="H245" s="873">
        <v>3867883</v>
      </c>
      <c r="I245" s="873">
        <v>293685</v>
      </c>
      <c r="J245" s="873">
        <v>-6518162</v>
      </c>
      <c r="K245" s="873">
        <v>-93650</v>
      </c>
      <c r="L245" s="873">
        <v>-30763</v>
      </c>
      <c r="M245" s="873">
        <v>-285000</v>
      </c>
      <c r="N245" s="873">
        <v>-1835017</v>
      </c>
      <c r="O245" s="873">
        <v>-148132</v>
      </c>
      <c r="P245" s="873">
        <v>-603850</v>
      </c>
      <c r="Q245" s="873">
        <v>0</v>
      </c>
      <c r="R245" s="873">
        <v>-28458</v>
      </c>
      <c r="S245" s="873">
        <v>-25057</v>
      </c>
      <c r="T245" s="873">
        <v>0</v>
      </c>
      <c r="U245" s="873">
        <v>0</v>
      </c>
      <c r="V245" s="873">
        <v>0</v>
      </c>
      <c r="W245" s="873">
        <v>0</v>
      </c>
      <c r="X245" s="873">
        <v>-26312</v>
      </c>
      <c r="Y245" s="873">
        <v>-755531</v>
      </c>
      <c r="Z245" s="873">
        <v>145765913</v>
      </c>
      <c r="AA245" s="873">
        <v>-4820000</v>
      </c>
      <c r="AB245" s="874"/>
      <c r="AC245" s="873">
        <v>352</v>
      </c>
      <c r="AD245" s="873">
        <v>26</v>
      </c>
      <c r="AE245" s="873">
        <v>23</v>
      </c>
      <c r="AF245" s="873">
        <v>0</v>
      </c>
      <c r="AG245" s="873">
        <v>301</v>
      </c>
      <c r="AH245" s="873">
        <v>176</v>
      </c>
      <c r="AI245" s="873">
        <v>32</v>
      </c>
      <c r="AJ245" s="873">
        <v>0</v>
      </c>
      <c r="AK245" s="873">
        <v>5</v>
      </c>
      <c r="AL245" s="873">
        <v>0</v>
      </c>
      <c r="AM245" s="873">
        <v>0</v>
      </c>
      <c r="AN245" s="873">
        <v>0</v>
      </c>
      <c r="AO245" s="873">
        <v>2770</v>
      </c>
      <c r="AP245" s="873">
        <v>1888</v>
      </c>
      <c r="AQ245" s="873">
        <v>1223</v>
      </c>
      <c r="AR245" s="873">
        <v>665</v>
      </c>
      <c r="AS245" s="873">
        <v>1744</v>
      </c>
      <c r="AT245" s="843">
        <v>6509</v>
      </c>
      <c r="AU245" s="663"/>
      <c r="AV245" s="663"/>
      <c r="AX245" s="666"/>
      <c r="AY245" s="666"/>
      <c r="AZ245" s="666"/>
      <c r="BA245" s="666"/>
      <c r="BB245" s="666"/>
      <c r="BD245" s="666"/>
      <c r="BE245" s="666"/>
      <c r="BG245" s="666"/>
      <c r="BI245" s="666"/>
      <c r="BJ245" s="666"/>
      <c r="BK245" s="666"/>
    </row>
    <row r="246" spans="1:63" ht="12.75" x14ac:dyDescent="0.2">
      <c r="A246" s="288">
        <v>239</v>
      </c>
      <c r="B246" s="290" t="s">
        <v>388</v>
      </c>
      <c r="C246" s="279" t="s">
        <v>389</v>
      </c>
      <c r="D246" s="955">
        <v>208295</v>
      </c>
      <c r="E246" s="843">
        <v>83395529</v>
      </c>
      <c r="F246" s="873">
        <v>39709691</v>
      </c>
      <c r="G246" s="873">
        <v>-4425715</v>
      </c>
      <c r="H246" s="873">
        <v>795344</v>
      </c>
      <c r="I246" s="873">
        <v>-3630371</v>
      </c>
      <c r="J246" s="873">
        <v>-2316609</v>
      </c>
      <c r="K246" s="873">
        <v>-97941</v>
      </c>
      <c r="L246" s="873">
        <v>-58999</v>
      </c>
      <c r="M246" s="873">
        <v>-100000</v>
      </c>
      <c r="N246" s="873">
        <v>-989902</v>
      </c>
      <c r="O246" s="873">
        <v>-211710</v>
      </c>
      <c r="P246" s="873">
        <v>-50956</v>
      </c>
      <c r="Q246" s="873">
        <v>-1079</v>
      </c>
      <c r="R246" s="873">
        <v>-14517</v>
      </c>
      <c r="S246" s="873">
        <v>0</v>
      </c>
      <c r="T246" s="873">
        <v>0</v>
      </c>
      <c r="U246" s="873">
        <v>0</v>
      </c>
      <c r="V246" s="873">
        <v>0</v>
      </c>
      <c r="W246" s="873">
        <v>-20000</v>
      </c>
      <c r="X246" s="873">
        <v>-7005</v>
      </c>
      <c r="Y246" s="873">
        <v>-1035533</v>
      </c>
      <c r="Z246" s="873">
        <v>31175069</v>
      </c>
      <c r="AA246" s="873">
        <v>-454252</v>
      </c>
      <c r="AB246" s="874"/>
      <c r="AC246" s="873">
        <v>312</v>
      </c>
      <c r="AD246" s="873">
        <v>19</v>
      </c>
      <c r="AE246" s="873">
        <v>42</v>
      </c>
      <c r="AF246" s="873">
        <v>0</v>
      </c>
      <c r="AG246" s="873">
        <v>298</v>
      </c>
      <c r="AH246" s="873">
        <v>179</v>
      </c>
      <c r="AI246" s="873">
        <v>22</v>
      </c>
      <c r="AJ246" s="873">
        <v>2</v>
      </c>
      <c r="AK246" s="873">
        <v>4</v>
      </c>
      <c r="AL246" s="873">
        <v>0</v>
      </c>
      <c r="AM246" s="873">
        <v>0</v>
      </c>
      <c r="AN246" s="873">
        <v>3</v>
      </c>
      <c r="AO246" s="873">
        <v>1383</v>
      </c>
      <c r="AP246" s="873">
        <v>2390</v>
      </c>
      <c r="AQ246" s="873">
        <v>1862</v>
      </c>
      <c r="AR246" s="873">
        <v>528</v>
      </c>
      <c r="AS246" s="873">
        <v>1547</v>
      </c>
      <c r="AT246" s="843">
        <v>5408</v>
      </c>
      <c r="AU246" s="663"/>
      <c r="AV246" s="663"/>
      <c r="AX246" s="666"/>
      <c r="AY246" s="666"/>
      <c r="AZ246" s="666"/>
      <c r="BA246" s="666"/>
      <c r="BB246" s="666"/>
      <c r="BD246" s="666"/>
      <c r="BE246" s="666"/>
      <c r="BG246" s="666"/>
      <c r="BI246" s="666"/>
      <c r="BJ246" s="666"/>
      <c r="BK246" s="666"/>
    </row>
    <row r="247" spans="1:63" ht="12.75" x14ac:dyDescent="0.2">
      <c r="A247" s="288">
        <v>240</v>
      </c>
      <c r="B247" s="290" t="s">
        <v>390</v>
      </c>
      <c r="C247" s="279" t="s">
        <v>391</v>
      </c>
      <c r="D247" s="955">
        <v>111638</v>
      </c>
      <c r="E247" s="843">
        <v>63829349</v>
      </c>
      <c r="F247" s="873">
        <v>30477091</v>
      </c>
      <c r="G247" s="873">
        <v>-1789609</v>
      </c>
      <c r="H247" s="873">
        <v>698392</v>
      </c>
      <c r="I247" s="873">
        <v>-1091217</v>
      </c>
      <c r="J247" s="873">
        <v>-1042817</v>
      </c>
      <c r="K247" s="873">
        <v>-51268</v>
      </c>
      <c r="L247" s="873">
        <v>-35622</v>
      </c>
      <c r="M247" s="873">
        <v>0</v>
      </c>
      <c r="N247" s="873">
        <v>-301029</v>
      </c>
      <c r="O247" s="873">
        <v>-76037</v>
      </c>
      <c r="P247" s="873">
        <v>-49817</v>
      </c>
      <c r="Q247" s="873">
        <v>-7293</v>
      </c>
      <c r="R247" s="873">
        <v>-34488</v>
      </c>
      <c r="S247" s="873">
        <v>0</v>
      </c>
      <c r="T247" s="873">
        <v>0</v>
      </c>
      <c r="U247" s="873">
        <v>0</v>
      </c>
      <c r="V247" s="873">
        <v>0</v>
      </c>
      <c r="W247" s="873">
        <v>0</v>
      </c>
      <c r="X247" s="873">
        <v>0</v>
      </c>
      <c r="Y247" s="873">
        <v>-281643</v>
      </c>
      <c r="Z247" s="873">
        <v>27420473</v>
      </c>
      <c r="AA247" s="873">
        <v>-465000</v>
      </c>
      <c r="AB247" s="874"/>
      <c r="AC247" s="873">
        <v>127</v>
      </c>
      <c r="AD247" s="873">
        <v>20</v>
      </c>
      <c r="AE247" s="873">
        <v>38</v>
      </c>
      <c r="AF247" s="873">
        <v>0</v>
      </c>
      <c r="AG247" s="873">
        <v>195</v>
      </c>
      <c r="AH247" s="873">
        <v>94</v>
      </c>
      <c r="AI247" s="873">
        <v>10</v>
      </c>
      <c r="AJ247" s="873">
        <v>15</v>
      </c>
      <c r="AK247" s="873">
        <v>37</v>
      </c>
      <c r="AL247" s="873">
        <v>0</v>
      </c>
      <c r="AM247" s="873">
        <v>0</v>
      </c>
      <c r="AN247" s="873">
        <v>0</v>
      </c>
      <c r="AO247" s="873">
        <v>945</v>
      </c>
      <c r="AP247" s="873">
        <v>1075</v>
      </c>
      <c r="AQ247" s="873">
        <v>822</v>
      </c>
      <c r="AR247" s="873">
        <v>253</v>
      </c>
      <c r="AS247" s="873">
        <v>693</v>
      </c>
      <c r="AT247" s="843">
        <v>2711</v>
      </c>
      <c r="AU247" s="663"/>
      <c r="AV247" s="663"/>
      <c r="AX247" s="666"/>
      <c r="AY247" s="666"/>
      <c r="AZ247" s="666"/>
      <c r="BA247" s="666"/>
      <c r="BB247" s="666"/>
      <c r="BD247" s="666"/>
      <c r="BE247" s="666"/>
      <c r="BG247" s="666"/>
      <c r="BI247" s="666"/>
      <c r="BJ247" s="666"/>
      <c r="BK247" s="666"/>
    </row>
    <row r="248" spans="1:63" ht="12.75" x14ac:dyDescent="0.2">
      <c r="A248" s="288">
        <v>241</v>
      </c>
      <c r="B248" s="290" t="s">
        <v>392</v>
      </c>
      <c r="C248" s="279" t="s">
        <v>393</v>
      </c>
      <c r="D248" s="955">
        <v>178909</v>
      </c>
      <c r="E248" s="843">
        <v>101534079</v>
      </c>
      <c r="F248" s="873">
        <v>48628072</v>
      </c>
      <c r="G248" s="873">
        <v>-2800000</v>
      </c>
      <c r="H248" s="873">
        <v>902392</v>
      </c>
      <c r="I248" s="873">
        <v>-1897608</v>
      </c>
      <c r="J248" s="873">
        <v>-3200000</v>
      </c>
      <c r="K248" s="873">
        <v>-144000</v>
      </c>
      <c r="L248" s="873">
        <v>-53000</v>
      </c>
      <c r="M248" s="873">
        <v>-100000</v>
      </c>
      <c r="N248" s="873">
        <v>-1400000</v>
      </c>
      <c r="O248" s="873">
        <v>-19737</v>
      </c>
      <c r="P248" s="873">
        <v>-2043</v>
      </c>
      <c r="Q248" s="873">
        <v>0</v>
      </c>
      <c r="R248" s="873">
        <v>-84200</v>
      </c>
      <c r="S248" s="873">
        <v>0</v>
      </c>
      <c r="T248" s="873">
        <v>0</v>
      </c>
      <c r="U248" s="873">
        <v>0</v>
      </c>
      <c r="V248" s="873">
        <v>0</v>
      </c>
      <c r="W248" s="873">
        <v>-87000</v>
      </c>
      <c r="X248" s="873">
        <v>-39000</v>
      </c>
      <c r="Y248" s="873">
        <v>-980000</v>
      </c>
      <c r="Z248" s="873">
        <v>40621484</v>
      </c>
      <c r="AA248" s="873">
        <v>-139000</v>
      </c>
      <c r="AB248" s="874"/>
      <c r="AC248" s="873">
        <v>237</v>
      </c>
      <c r="AD248" s="873">
        <v>27</v>
      </c>
      <c r="AE248" s="873">
        <v>37</v>
      </c>
      <c r="AF248" s="873">
        <v>0</v>
      </c>
      <c r="AG248" s="873">
        <v>311</v>
      </c>
      <c r="AH248" s="873">
        <v>54</v>
      </c>
      <c r="AI248" s="873">
        <v>5</v>
      </c>
      <c r="AJ248" s="873">
        <v>0</v>
      </c>
      <c r="AK248" s="873">
        <v>37</v>
      </c>
      <c r="AL248" s="873">
        <v>24</v>
      </c>
      <c r="AM248" s="873">
        <v>0</v>
      </c>
      <c r="AN248" s="873">
        <v>0</v>
      </c>
      <c r="AO248" s="873">
        <v>1575</v>
      </c>
      <c r="AP248" s="873">
        <v>1530</v>
      </c>
      <c r="AQ248" s="873">
        <v>1013</v>
      </c>
      <c r="AR248" s="873">
        <v>517</v>
      </c>
      <c r="AS248" s="873">
        <v>1263</v>
      </c>
      <c r="AT248" s="843">
        <v>4352</v>
      </c>
      <c r="AU248" s="663"/>
      <c r="AV248" s="663"/>
      <c r="AX248" s="666"/>
      <c r="AY248" s="666"/>
      <c r="AZ248" s="666"/>
      <c r="BA248" s="666"/>
      <c r="BB248" s="666"/>
      <c r="BD248" s="666"/>
      <c r="BE248" s="666"/>
      <c r="BG248" s="666"/>
      <c r="BI248" s="666"/>
      <c r="BJ248" s="666"/>
      <c r="BK248" s="666"/>
    </row>
    <row r="249" spans="1:63" ht="12.75" x14ac:dyDescent="0.2">
      <c r="A249" s="288">
        <v>242</v>
      </c>
      <c r="B249" s="290" t="s">
        <v>394</v>
      </c>
      <c r="C249" s="279" t="s">
        <v>395</v>
      </c>
      <c r="D249" s="955">
        <v>301317</v>
      </c>
      <c r="E249" s="843">
        <v>108000347</v>
      </c>
      <c r="F249" s="873">
        <v>51507241</v>
      </c>
      <c r="G249" s="873">
        <v>-5873566</v>
      </c>
      <c r="H249" s="873">
        <v>992564</v>
      </c>
      <c r="I249" s="873">
        <v>-4881002</v>
      </c>
      <c r="J249" s="873">
        <v>-2979220</v>
      </c>
      <c r="K249" s="873">
        <v>-108212</v>
      </c>
      <c r="L249" s="873">
        <v>-29136</v>
      </c>
      <c r="M249" s="873">
        <v>0</v>
      </c>
      <c r="N249" s="873">
        <v>-731385</v>
      </c>
      <c r="O249" s="873">
        <v>-63039</v>
      </c>
      <c r="P249" s="873">
        <v>-28559</v>
      </c>
      <c r="Q249" s="873">
        <v>-11257</v>
      </c>
      <c r="R249" s="873">
        <v>-4452</v>
      </c>
      <c r="S249" s="873">
        <v>-8841</v>
      </c>
      <c r="T249" s="873">
        <v>0</v>
      </c>
      <c r="U249" s="873">
        <v>0</v>
      </c>
      <c r="V249" s="873">
        <v>0</v>
      </c>
      <c r="W249" s="873">
        <v>-6064</v>
      </c>
      <c r="X249" s="873">
        <v>-17208</v>
      </c>
      <c r="Y249" s="873">
        <v>-1122415</v>
      </c>
      <c r="Z249" s="873">
        <v>41474951</v>
      </c>
      <c r="AA249" s="873">
        <v>-210000</v>
      </c>
      <c r="AB249" s="874"/>
      <c r="AC249" s="873">
        <v>446</v>
      </c>
      <c r="AD249" s="873">
        <v>22</v>
      </c>
      <c r="AE249" s="873">
        <v>28</v>
      </c>
      <c r="AF249" s="873">
        <v>0</v>
      </c>
      <c r="AG249" s="873">
        <v>202</v>
      </c>
      <c r="AH249" s="873">
        <v>118</v>
      </c>
      <c r="AI249" s="873">
        <v>1</v>
      </c>
      <c r="AJ249" s="873">
        <v>12</v>
      </c>
      <c r="AK249" s="873">
        <v>5</v>
      </c>
      <c r="AL249" s="873">
        <v>2</v>
      </c>
      <c r="AM249" s="873">
        <v>0</v>
      </c>
      <c r="AN249" s="873">
        <v>0</v>
      </c>
      <c r="AO249" s="873">
        <v>1881</v>
      </c>
      <c r="AP249" s="873">
        <v>3557</v>
      </c>
      <c r="AQ249" s="873">
        <v>2772</v>
      </c>
      <c r="AR249" s="873">
        <v>785</v>
      </c>
      <c r="AS249" s="873">
        <v>2475</v>
      </c>
      <c r="AT249" s="843">
        <v>7947</v>
      </c>
      <c r="AU249" s="663"/>
      <c r="AV249" s="663"/>
      <c r="AX249" s="666"/>
      <c r="AY249" s="666"/>
      <c r="AZ249" s="666"/>
      <c r="BA249" s="666"/>
      <c r="BB249" s="666"/>
      <c r="BD249" s="666"/>
      <c r="BE249" s="666"/>
      <c r="BG249" s="666"/>
      <c r="BI249" s="666"/>
      <c r="BJ249" s="666"/>
      <c r="BK249" s="666"/>
    </row>
    <row r="250" spans="1:63" ht="12.75" x14ac:dyDescent="0.2">
      <c r="A250" s="288">
        <v>243</v>
      </c>
      <c r="B250" s="290" t="s">
        <v>396</v>
      </c>
      <c r="C250" s="279" t="s">
        <v>397</v>
      </c>
      <c r="D250" s="955">
        <v>161387</v>
      </c>
      <c r="E250" s="843">
        <v>78810806</v>
      </c>
      <c r="F250" s="873">
        <v>37780609</v>
      </c>
      <c r="G250" s="873">
        <v>-2829822</v>
      </c>
      <c r="H250" s="873">
        <v>820374</v>
      </c>
      <c r="I250" s="873">
        <v>-2009448</v>
      </c>
      <c r="J250" s="873">
        <v>-3611146</v>
      </c>
      <c r="K250" s="873">
        <v>-62006</v>
      </c>
      <c r="L250" s="873">
        <v>-84124</v>
      </c>
      <c r="M250" s="873">
        <v>-60000</v>
      </c>
      <c r="N250" s="873">
        <v>-602071</v>
      </c>
      <c r="O250" s="873">
        <v>-110287</v>
      </c>
      <c r="P250" s="873">
        <v>-132239</v>
      </c>
      <c r="Q250" s="873">
        <v>-5045</v>
      </c>
      <c r="R250" s="873">
        <v>-42566</v>
      </c>
      <c r="S250" s="873">
        <v>-23381</v>
      </c>
      <c r="T250" s="873">
        <v>-50000</v>
      </c>
      <c r="U250" s="873">
        <v>0</v>
      </c>
      <c r="V250" s="873">
        <v>0</v>
      </c>
      <c r="W250" s="873">
        <v>-225000</v>
      </c>
      <c r="X250" s="873">
        <v>-4670</v>
      </c>
      <c r="Y250" s="873">
        <v>-418386</v>
      </c>
      <c r="Z250" s="873">
        <v>30310240</v>
      </c>
      <c r="AA250" s="873">
        <v>-152616</v>
      </c>
      <c r="AB250" s="874"/>
      <c r="AC250" s="873">
        <v>283</v>
      </c>
      <c r="AD250" s="873">
        <v>11</v>
      </c>
      <c r="AE250" s="873">
        <v>59</v>
      </c>
      <c r="AF250" s="873">
        <v>1</v>
      </c>
      <c r="AG250" s="873">
        <v>238</v>
      </c>
      <c r="AH250" s="873">
        <v>160</v>
      </c>
      <c r="AI250" s="873">
        <v>41</v>
      </c>
      <c r="AJ250" s="873">
        <v>8</v>
      </c>
      <c r="AK250" s="873">
        <v>30</v>
      </c>
      <c r="AL250" s="873">
        <v>7</v>
      </c>
      <c r="AM250" s="873">
        <v>0</v>
      </c>
      <c r="AN250" s="873">
        <v>1</v>
      </c>
      <c r="AO250" s="873">
        <v>1250</v>
      </c>
      <c r="AP250" s="873">
        <v>1648</v>
      </c>
      <c r="AQ250" s="873">
        <v>1254</v>
      </c>
      <c r="AR250" s="873">
        <v>394</v>
      </c>
      <c r="AS250" s="873">
        <v>1124</v>
      </c>
      <c r="AT250" s="843">
        <v>4051</v>
      </c>
      <c r="AU250" s="663"/>
      <c r="AV250" s="663"/>
      <c r="AX250" s="666"/>
      <c r="AY250" s="666"/>
      <c r="AZ250" s="666"/>
      <c r="BA250" s="666"/>
      <c r="BB250" s="666"/>
      <c r="BD250" s="666"/>
      <c r="BE250" s="666"/>
      <c r="BG250" s="666"/>
      <c r="BI250" s="666"/>
      <c r="BJ250" s="666"/>
      <c r="BK250" s="666"/>
    </row>
    <row r="251" spans="1:63" ht="12.75" x14ac:dyDescent="0.2">
      <c r="A251" s="288">
        <v>244</v>
      </c>
      <c r="B251" s="290" t="s">
        <v>398</v>
      </c>
      <c r="C251" s="279" t="s">
        <v>399</v>
      </c>
      <c r="D251" s="955">
        <v>106539</v>
      </c>
      <c r="E251" s="843">
        <v>52617277</v>
      </c>
      <c r="F251" s="873">
        <v>25732815</v>
      </c>
      <c r="G251" s="873">
        <v>-1818622</v>
      </c>
      <c r="H251" s="873">
        <v>534544</v>
      </c>
      <c r="I251" s="873">
        <v>-1284078</v>
      </c>
      <c r="J251" s="873">
        <v>-1628119</v>
      </c>
      <c r="K251" s="873">
        <v>-6330</v>
      </c>
      <c r="L251" s="873">
        <v>-59129</v>
      </c>
      <c r="M251" s="873">
        <v>-8000</v>
      </c>
      <c r="N251" s="873">
        <v>-332323</v>
      </c>
      <c r="O251" s="873">
        <v>-124660</v>
      </c>
      <c r="P251" s="873">
        <v>-137442</v>
      </c>
      <c r="Q251" s="873">
        <v>-1582</v>
      </c>
      <c r="R251" s="873">
        <v>-16996</v>
      </c>
      <c r="S251" s="873">
        <v>-8112</v>
      </c>
      <c r="T251" s="873">
        <v>0</v>
      </c>
      <c r="U251" s="873">
        <v>0</v>
      </c>
      <c r="V251" s="873">
        <v>0</v>
      </c>
      <c r="W251" s="873">
        <v>0</v>
      </c>
      <c r="X251" s="873">
        <v>-9445</v>
      </c>
      <c r="Y251" s="873">
        <v>-345193</v>
      </c>
      <c r="Z251" s="873">
        <v>21136517</v>
      </c>
      <c r="AA251" s="873">
        <v>0</v>
      </c>
      <c r="AB251" s="874"/>
      <c r="AC251" s="873">
        <v>203</v>
      </c>
      <c r="AD251" s="873">
        <v>2</v>
      </c>
      <c r="AE251" s="873">
        <v>45</v>
      </c>
      <c r="AF251" s="873">
        <v>0</v>
      </c>
      <c r="AG251" s="873">
        <v>168</v>
      </c>
      <c r="AH251" s="873">
        <v>116</v>
      </c>
      <c r="AI251" s="873">
        <v>61</v>
      </c>
      <c r="AJ251" s="873">
        <v>2</v>
      </c>
      <c r="AK251" s="873">
        <v>15</v>
      </c>
      <c r="AL251" s="873">
        <v>2</v>
      </c>
      <c r="AM251" s="873">
        <v>0</v>
      </c>
      <c r="AN251" s="873">
        <v>0</v>
      </c>
      <c r="AO251" s="873">
        <v>803</v>
      </c>
      <c r="AP251" s="873">
        <v>983</v>
      </c>
      <c r="AQ251" s="873">
        <v>639</v>
      </c>
      <c r="AR251" s="873">
        <v>344</v>
      </c>
      <c r="AS251" s="873">
        <v>843</v>
      </c>
      <c r="AT251" s="843">
        <v>2627</v>
      </c>
      <c r="AU251" s="663"/>
      <c r="AV251" s="663"/>
      <c r="AX251" s="666"/>
      <c r="AY251" s="666"/>
      <c r="AZ251" s="666"/>
      <c r="BA251" s="666"/>
      <c r="BB251" s="666"/>
      <c r="BD251" s="666"/>
      <c r="BE251" s="666"/>
      <c r="BG251" s="666"/>
      <c r="BI251" s="666"/>
      <c r="BJ251" s="666"/>
      <c r="BK251" s="666"/>
    </row>
    <row r="252" spans="1:63" ht="12.75" x14ac:dyDescent="0.2">
      <c r="A252" s="288">
        <v>245</v>
      </c>
      <c r="B252" s="290" t="s">
        <v>400</v>
      </c>
      <c r="C252" s="279" t="s">
        <v>401</v>
      </c>
      <c r="D252" s="955">
        <v>185761</v>
      </c>
      <c r="E252" s="843">
        <v>106467596</v>
      </c>
      <c r="F252" s="873">
        <v>51411865</v>
      </c>
      <c r="G252" s="873">
        <v>-2449457</v>
      </c>
      <c r="H252" s="873">
        <v>1174990</v>
      </c>
      <c r="I252" s="873">
        <v>-1274467</v>
      </c>
      <c r="J252" s="873">
        <v>-4017465</v>
      </c>
      <c r="K252" s="873">
        <v>-81493</v>
      </c>
      <c r="L252" s="873">
        <v>-48745</v>
      </c>
      <c r="M252" s="873">
        <v>0</v>
      </c>
      <c r="N252" s="873">
        <v>-747218</v>
      </c>
      <c r="O252" s="873">
        <v>-204783</v>
      </c>
      <c r="P252" s="873">
        <v>-17091</v>
      </c>
      <c r="Q252" s="873">
        <v>-10187</v>
      </c>
      <c r="R252" s="873">
        <v>-21803</v>
      </c>
      <c r="S252" s="873">
        <v>0</v>
      </c>
      <c r="T252" s="873">
        <v>0</v>
      </c>
      <c r="U252" s="873">
        <v>0</v>
      </c>
      <c r="V252" s="873">
        <v>0</v>
      </c>
      <c r="W252" s="873">
        <v>0</v>
      </c>
      <c r="X252" s="873">
        <v>-14667</v>
      </c>
      <c r="Y252" s="873">
        <v>-706649</v>
      </c>
      <c r="Z252" s="873">
        <v>43749619</v>
      </c>
      <c r="AA252" s="873">
        <v>-143000</v>
      </c>
      <c r="AB252" s="874"/>
      <c r="AC252" s="873">
        <v>312</v>
      </c>
      <c r="AD252" s="873">
        <v>29</v>
      </c>
      <c r="AE252" s="873">
        <v>34</v>
      </c>
      <c r="AF252" s="873">
        <v>0</v>
      </c>
      <c r="AG252" s="873">
        <v>350</v>
      </c>
      <c r="AH252" s="873">
        <v>169</v>
      </c>
      <c r="AI252" s="873">
        <v>3</v>
      </c>
      <c r="AJ252" s="873">
        <v>29</v>
      </c>
      <c r="AK252" s="873">
        <v>21</v>
      </c>
      <c r="AL252" s="873">
        <v>0</v>
      </c>
      <c r="AM252" s="873">
        <v>0</v>
      </c>
      <c r="AN252" s="873">
        <v>0</v>
      </c>
      <c r="AO252" s="873">
        <v>1681</v>
      </c>
      <c r="AP252" s="873">
        <v>1353</v>
      </c>
      <c r="AQ252" s="873">
        <v>835</v>
      </c>
      <c r="AR252" s="873">
        <v>518</v>
      </c>
      <c r="AS252" s="873">
        <v>1151</v>
      </c>
      <c r="AT252" s="843">
        <v>4227</v>
      </c>
      <c r="AU252" s="663"/>
      <c r="AV252" s="663"/>
      <c r="AX252" s="666"/>
      <c r="AY252" s="666"/>
      <c r="AZ252" s="666"/>
      <c r="BA252" s="666"/>
      <c r="BB252" s="666"/>
      <c r="BD252" s="666"/>
      <c r="BE252" s="666"/>
      <c r="BG252" s="666"/>
      <c r="BI252" s="666"/>
      <c r="BJ252" s="666"/>
      <c r="BK252" s="666"/>
    </row>
    <row r="253" spans="1:63" ht="12.75" x14ac:dyDescent="0.2">
      <c r="A253" s="288">
        <v>246</v>
      </c>
      <c r="B253" s="290" t="s">
        <v>402</v>
      </c>
      <c r="C253" s="279" t="s">
        <v>403</v>
      </c>
      <c r="D253" s="955">
        <v>127679</v>
      </c>
      <c r="E253" s="843">
        <v>90810137</v>
      </c>
      <c r="F253" s="873">
        <v>43623934</v>
      </c>
      <c r="G253" s="873">
        <v>-2159581</v>
      </c>
      <c r="H253" s="873">
        <v>1020851</v>
      </c>
      <c r="I253" s="873">
        <v>-1138730</v>
      </c>
      <c r="J253" s="873">
        <v>-1657066</v>
      </c>
      <c r="K253" s="873">
        <v>-47505</v>
      </c>
      <c r="L253" s="873">
        <v>-5078</v>
      </c>
      <c r="M253" s="873">
        <v>-15000</v>
      </c>
      <c r="N253" s="873">
        <v>-1397776</v>
      </c>
      <c r="O253" s="873">
        <v>-111047</v>
      </c>
      <c r="P253" s="873">
        <v>-24500</v>
      </c>
      <c r="Q253" s="873">
        <v>-449</v>
      </c>
      <c r="R253" s="873">
        <v>-5078</v>
      </c>
      <c r="S253" s="873">
        <v>0</v>
      </c>
      <c r="T253" s="873">
        <v>0</v>
      </c>
      <c r="U253" s="873">
        <v>0</v>
      </c>
      <c r="V253" s="873">
        <v>0</v>
      </c>
      <c r="W253" s="873">
        <v>-50000</v>
      </c>
      <c r="X253" s="873">
        <v>-12000</v>
      </c>
      <c r="Y253" s="873">
        <v>-386227</v>
      </c>
      <c r="Z253" s="873">
        <v>38748478</v>
      </c>
      <c r="AA253" s="873">
        <v>-750000</v>
      </c>
      <c r="AB253" s="874"/>
      <c r="AC253" s="873">
        <v>123</v>
      </c>
      <c r="AD253" s="873">
        <v>8</v>
      </c>
      <c r="AE253" s="873">
        <v>4</v>
      </c>
      <c r="AF253" s="873">
        <v>0</v>
      </c>
      <c r="AG253" s="873">
        <v>279</v>
      </c>
      <c r="AH253" s="873">
        <v>55</v>
      </c>
      <c r="AI253" s="873">
        <v>12</v>
      </c>
      <c r="AJ253" s="873">
        <v>1</v>
      </c>
      <c r="AK253" s="873">
        <v>4</v>
      </c>
      <c r="AL253" s="873">
        <v>0</v>
      </c>
      <c r="AM253" s="873">
        <v>0</v>
      </c>
      <c r="AN253" s="873">
        <v>0</v>
      </c>
      <c r="AO253" s="873">
        <v>1062</v>
      </c>
      <c r="AP253" s="873">
        <v>1124</v>
      </c>
      <c r="AQ253" s="873">
        <v>765</v>
      </c>
      <c r="AR253" s="873">
        <v>359</v>
      </c>
      <c r="AS253" s="873">
        <v>709</v>
      </c>
      <c r="AT253" s="843">
        <v>2926</v>
      </c>
      <c r="AU253" s="663"/>
      <c r="AV253" s="663"/>
      <c r="AX253" s="666"/>
      <c r="AY253" s="666"/>
      <c r="AZ253" s="666"/>
      <c r="BA253" s="666"/>
      <c r="BB253" s="666"/>
      <c r="BD253" s="666"/>
      <c r="BE253" s="666"/>
      <c r="BG253" s="666"/>
      <c r="BI253" s="666"/>
      <c r="BJ253" s="666"/>
      <c r="BK253" s="666"/>
    </row>
    <row r="254" spans="1:63" ht="12.75" x14ac:dyDescent="0.2">
      <c r="A254" s="288">
        <v>247</v>
      </c>
      <c r="B254" s="290" t="s">
        <v>404</v>
      </c>
      <c r="C254" s="279" t="s">
        <v>405</v>
      </c>
      <c r="D254" s="955">
        <v>224152</v>
      </c>
      <c r="E254" s="843">
        <v>111755406</v>
      </c>
      <c r="F254" s="873">
        <v>53844709</v>
      </c>
      <c r="G254" s="873">
        <v>-3692210</v>
      </c>
      <c r="H254" s="873">
        <v>1159831</v>
      </c>
      <c r="I254" s="873">
        <v>-2532379</v>
      </c>
      <c r="J254" s="873">
        <v>-3322472</v>
      </c>
      <c r="K254" s="873">
        <v>-25192</v>
      </c>
      <c r="L254" s="873">
        <v>-100326</v>
      </c>
      <c r="M254" s="873">
        <v>-3814</v>
      </c>
      <c r="N254" s="873">
        <v>-1295913</v>
      </c>
      <c r="O254" s="873">
        <v>-150848</v>
      </c>
      <c r="P254" s="873">
        <v>-162923</v>
      </c>
      <c r="Q254" s="873">
        <v>-3882</v>
      </c>
      <c r="R254" s="873">
        <v>-36094</v>
      </c>
      <c r="S254" s="873">
        <v>-41280</v>
      </c>
      <c r="T254" s="873">
        <v>0</v>
      </c>
      <c r="U254" s="873">
        <v>0</v>
      </c>
      <c r="V254" s="873">
        <v>0</v>
      </c>
      <c r="W254" s="873">
        <v>0</v>
      </c>
      <c r="X254" s="873">
        <v>0</v>
      </c>
      <c r="Y254" s="873">
        <v>-530963</v>
      </c>
      <c r="Z254" s="873">
        <v>45638623</v>
      </c>
      <c r="AA254" s="873">
        <v>-573548</v>
      </c>
      <c r="AB254" s="874"/>
      <c r="AC254" s="873">
        <v>379</v>
      </c>
      <c r="AD254" s="873">
        <v>4</v>
      </c>
      <c r="AE254" s="873">
        <v>67</v>
      </c>
      <c r="AF254" s="873">
        <v>3</v>
      </c>
      <c r="AG254" s="873">
        <v>416</v>
      </c>
      <c r="AH254" s="873">
        <v>146</v>
      </c>
      <c r="AI254" s="873">
        <v>39</v>
      </c>
      <c r="AJ254" s="873">
        <v>3</v>
      </c>
      <c r="AK254" s="873">
        <v>128</v>
      </c>
      <c r="AL254" s="873">
        <v>0</v>
      </c>
      <c r="AM254" s="873">
        <v>0</v>
      </c>
      <c r="AN254" s="873">
        <v>0</v>
      </c>
      <c r="AO254" s="873">
        <v>2052</v>
      </c>
      <c r="AP254" s="873">
        <v>2010</v>
      </c>
      <c r="AQ254" s="873">
        <v>1417</v>
      </c>
      <c r="AR254" s="873">
        <v>593</v>
      </c>
      <c r="AS254" s="873">
        <v>1484</v>
      </c>
      <c r="AT254" s="843">
        <v>5604</v>
      </c>
      <c r="AU254" s="663"/>
      <c r="AV254" s="663"/>
      <c r="AX254" s="666"/>
      <c r="AY254" s="666"/>
      <c r="AZ254" s="666"/>
      <c r="BA254" s="666"/>
      <c r="BB254" s="666"/>
      <c r="BD254" s="666"/>
      <c r="BE254" s="666"/>
      <c r="BG254" s="666"/>
      <c r="BI254" s="666"/>
      <c r="BJ254" s="666"/>
      <c r="BK254" s="666"/>
    </row>
    <row r="255" spans="1:63" ht="12.75" x14ac:dyDescent="0.2">
      <c r="A255" s="288">
        <v>248</v>
      </c>
      <c r="B255" s="290" t="s">
        <v>406</v>
      </c>
      <c r="C255" s="279" t="s">
        <v>407</v>
      </c>
      <c r="D255" s="955">
        <v>104360</v>
      </c>
      <c r="E255" s="843">
        <v>58570817</v>
      </c>
      <c r="F255" s="873">
        <v>28246695</v>
      </c>
      <c r="G255" s="873">
        <v>-2031673</v>
      </c>
      <c r="H255" s="873">
        <v>619347</v>
      </c>
      <c r="I255" s="873">
        <v>-1412326</v>
      </c>
      <c r="J255" s="873">
        <v>-517656</v>
      </c>
      <c r="K255" s="873">
        <v>-21179</v>
      </c>
      <c r="L255" s="873">
        <v>-10708</v>
      </c>
      <c r="M255" s="873">
        <v>0</v>
      </c>
      <c r="N255" s="873">
        <v>-410731</v>
      </c>
      <c r="O255" s="873">
        <v>-37447</v>
      </c>
      <c r="P255" s="873">
        <v>-231075</v>
      </c>
      <c r="Q255" s="873">
        <v>-4210</v>
      </c>
      <c r="R255" s="873">
        <v>-5679</v>
      </c>
      <c r="S255" s="873">
        <v>0</v>
      </c>
      <c r="T255" s="873">
        <v>-54035</v>
      </c>
      <c r="U255" s="873">
        <v>-54035</v>
      </c>
      <c r="V255" s="873">
        <v>0</v>
      </c>
      <c r="W255" s="873">
        <v>0</v>
      </c>
      <c r="X255" s="873">
        <v>-4000</v>
      </c>
      <c r="Y255" s="873">
        <v>-395553</v>
      </c>
      <c r="Z255" s="873">
        <v>24942096</v>
      </c>
      <c r="AA255" s="873">
        <v>-202349</v>
      </c>
      <c r="AB255" s="874"/>
      <c r="AC255" s="873">
        <v>81</v>
      </c>
      <c r="AD255" s="873">
        <v>19</v>
      </c>
      <c r="AE255" s="873">
        <v>2</v>
      </c>
      <c r="AF255" s="873">
        <v>2</v>
      </c>
      <c r="AG255" s="873">
        <v>227</v>
      </c>
      <c r="AH255" s="873">
        <v>51</v>
      </c>
      <c r="AI255" s="873">
        <v>34</v>
      </c>
      <c r="AJ255" s="873">
        <v>18</v>
      </c>
      <c r="AK255" s="873">
        <v>0</v>
      </c>
      <c r="AL255" s="873">
        <v>0</v>
      </c>
      <c r="AM255" s="873">
        <v>1</v>
      </c>
      <c r="AN255" s="873">
        <v>0</v>
      </c>
      <c r="AO255" s="873">
        <v>751</v>
      </c>
      <c r="AP255" s="873">
        <v>1080</v>
      </c>
      <c r="AQ255" s="873">
        <v>751</v>
      </c>
      <c r="AR255" s="873">
        <v>329</v>
      </c>
      <c r="AS255" s="873">
        <v>665</v>
      </c>
      <c r="AT255" s="843">
        <v>2545</v>
      </c>
      <c r="AU255" s="663"/>
      <c r="AV255" s="663"/>
      <c r="AX255" s="666"/>
      <c r="AY255" s="666"/>
      <c r="AZ255" s="666"/>
      <c r="BA255" s="666"/>
      <c r="BB255" s="666"/>
      <c r="BD255" s="666"/>
      <c r="BE255" s="666"/>
      <c r="BG255" s="666"/>
      <c r="BI255" s="666"/>
      <c r="BJ255" s="666"/>
      <c r="BK255" s="666"/>
    </row>
    <row r="256" spans="1:63" ht="12.75" x14ac:dyDescent="0.2">
      <c r="A256" s="288">
        <v>249</v>
      </c>
      <c r="B256" s="290" t="s">
        <v>408</v>
      </c>
      <c r="C256" s="279" t="s">
        <v>409</v>
      </c>
      <c r="D256" s="955">
        <v>153992</v>
      </c>
      <c r="E256" s="843">
        <v>79117993</v>
      </c>
      <c r="F256" s="873">
        <v>38510419</v>
      </c>
      <c r="G256" s="873">
        <v>-2662000</v>
      </c>
      <c r="H256" s="873">
        <v>868000</v>
      </c>
      <c r="I256" s="873">
        <v>-1794000</v>
      </c>
      <c r="J256" s="873">
        <v>-1877000</v>
      </c>
      <c r="K256" s="873">
        <v>-46600</v>
      </c>
      <c r="L256" s="873">
        <v>0</v>
      </c>
      <c r="M256" s="873">
        <v>-30000</v>
      </c>
      <c r="N256" s="873">
        <v>-1300000</v>
      </c>
      <c r="O256" s="873">
        <v>-126000</v>
      </c>
      <c r="P256" s="873">
        <v>-107000</v>
      </c>
      <c r="Q256" s="873">
        <v>0</v>
      </c>
      <c r="R256" s="873">
        <v>0</v>
      </c>
      <c r="S256" s="873">
        <v>0</v>
      </c>
      <c r="T256" s="873">
        <v>0</v>
      </c>
      <c r="U256" s="873">
        <v>0</v>
      </c>
      <c r="V256" s="873">
        <v>0</v>
      </c>
      <c r="W256" s="873">
        <v>0</v>
      </c>
      <c r="X256" s="873">
        <v>-50000</v>
      </c>
      <c r="Y256" s="873">
        <v>-700000</v>
      </c>
      <c r="Z256" s="873">
        <v>32479819</v>
      </c>
      <c r="AA256" s="873">
        <v>-1000000</v>
      </c>
      <c r="AB256" s="874"/>
      <c r="AC256" s="873">
        <v>158</v>
      </c>
      <c r="AD256" s="873">
        <v>5</v>
      </c>
      <c r="AE256" s="873">
        <v>0</v>
      </c>
      <c r="AF256" s="873">
        <v>2</v>
      </c>
      <c r="AG256" s="873">
        <v>465</v>
      </c>
      <c r="AH256" s="873">
        <v>112</v>
      </c>
      <c r="AI256" s="873">
        <v>35</v>
      </c>
      <c r="AJ256" s="873">
        <v>1</v>
      </c>
      <c r="AK256" s="873">
        <v>0</v>
      </c>
      <c r="AL256" s="873">
        <v>0</v>
      </c>
      <c r="AM256" s="873">
        <v>0</v>
      </c>
      <c r="AN256" s="873">
        <v>0</v>
      </c>
      <c r="AO256" s="873">
        <v>1250</v>
      </c>
      <c r="AP256" s="873">
        <v>1565</v>
      </c>
      <c r="AQ256" s="873">
        <v>1181</v>
      </c>
      <c r="AR256" s="873">
        <v>384</v>
      </c>
      <c r="AS256" s="873">
        <v>986</v>
      </c>
      <c r="AT256" s="843">
        <v>3827</v>
      </c>
      <c r="AU256" s="663"/>
      <c r="AV256" s="663"/>
      <c r="AX256" s="666"/>
      <c r="AY256" s="666"/>
      <c r="AZ256" s="666"/>
      <c r="BA256" s="666"/>
      <c r="BB256" s="666"/>
      <c r="BD256" s="666"/>
      <c r="BE256" s="666"/>
      <c r="BG256" s="666"/>
      <c r="BI256" s="666"/>
      <c r="BJ256" s="666"/>
      <c r="BK256" s="666"/>
    </row>
    <row r="257" spans="1:63" ht="12.75" x14ac:dyDescent="0.2">
      <c r="A257" s="288">
        <v>250</v>
      </c>
      <c r="B257" s="290" t="s">
        <v>410</v>
      </c>
      <c r="C257" s="279" t="s">
        <v>411</v>
      </c>
      <c r="D257" s="955">
        <v>315452</v>
      </c>
      <c r="E257" s="843">
        <v>254929802</v>
      </c>
      <c r="F257" s="873">
        <v>119229370</v>
      </c>
      <c r="G257" s="873">
        <v>-3329204</v>
      </c>
      <c r="H257" s="873">
        <v>2956112</v>
      </c>
      <c r="I257" s="873">
        <v>-373092</v>
      </c>
      <c r="J257" s="873">
        <v>-8283914</v>
      </c>
      <c r="K257" s="873">
        <v>-52252</v>
      </c>
      <c r="L257" s="873">
        <v>0</v>
      </c>
      <c r="M257" s="873">
        <v>-200000</v>
      </c>
      <c r="N257" s="873">
        <v>-4368964</v>
      </c>
      <c r="O257" s="873">
        <v>0</v>
      </c>
      <c r="P257" s="873">
        <v>-121720</v>
      </c>
      <c r="Q257" s="873">
        <v>0</v>
      </c>
      <c r="R257" s="873">
        <v>0</v>
      </c>
      <c r="S257" s="873">
        <v>0</v>
      </c>
      <c r="T257" s="873">
        <v>0</v>
      </c>
      <c r="U257" s="873">
        <v>0</v>
      </c>
      <c r="V257" s="873">
        <v>0</v>
      </c>
      <c r="W257" s="873">
        <v>0</v>
      </c>
      <c r="X257" s="873">
        <v>-52000</v>
      </c>
      <c r="Y257" s="873">
        <v>-884468</v>
      </c>
      <c r="Z257" s="873">
        <v>104292960</v>
      </c>
      <c r="AA257" s="873">
        <v>-7571669</v>
      </c>
      <c r="AB257" s="874"/>
      <c r="AC257" s="873">
        <v>323</v>
      </c>
      <c r="AD257" s="873">
        <v>8</v>
      </c>
      <c r="AE257" s="873">
        <v>0</v>
      </c>
      <c r="AF257" s="873">
        <v>1</v>
      </c>
      <c r="AG257" s="873">
        <v>876</v>
      </c>
      <c r="AH257" s="873">
        <v>28</v>
      </c>
      <c r="AI257" s="873">
        <v>28</v>
      </c>
      <c r="AJ257" s="873">
        <v>0</v>
      </c>
      <c r="AK257" s="873">
        <v>0</v>
      </c>
      <c r="AL257" s="873">
        <v>0</v>
      </c>
      <c r="AM257" s="873">
        <v>0</v>
      </c>
      <c r="AN257" s="873">
        <v>0</v>
      </c>
      <c r="AO257" s="873">
        <v>2999</v>
      </c>
      <c r="AP257" s="873">
        <v>1682</v>
      </c>
      <c r="AQ257" s="873">
        <v>971</v>
      </c>
      <c r="AR257" s="873">
        <v>711</v>
      </c>
      <c r="AS257" s="873">
        <v>1863</v>
      </c>
      <c r="AT257" s="843">
        <v>6602</v>
      </c>
      <c r="AU257" s="663"/>
      <c r="AV257" s="663"/>
      <c r="AX257" s="666"/>
      <c r="AY257" s="666"/>
      <c r="AZ257" s="666"/>
      <c r="BA257" s="666"/>
      <c r="BB257" s="666"/>
      <c r="BD257" s="666"/>
      <c r="BE257" s="666"/>
      <c r="BG257" s="666"/>
      <c r="BI257" s="666"/>
      <c r="BJ257" s="666"/>
      <c r="BK257" s="666"/>
    </row>
    <row r="258" spans="1:63" ht="12.75" x14ac:dyDescent="0.2">
      <c r="A258" s="288">
        <v>251</v>
      </c>
      <c r="B258" s="290" t="s">
        <v>412</v>
      </c>
      <c r="C258" s="279" t="s">
        <v>413</v>
      </c>
      <c r="D258" s="955">
        <v>238425</v>
      </c>
      <c r="E258" s="843">
        <v>120953331</v>
      </c>
      <c r="F258" s="873">
        <v>58068227</v>
      </c>
      <c r="G258" s="873">
        <v>-4788177</v>
      </c>
      <c r="H258" s="873">
        <v>1251252</v>
      </c>
      <c r="I258" s="873">
        <v>-3536925</v>
      </c>
      <c r="J258" s="873">
        <v>-4105890</v>
      </c>
      <c r="K258" s="873">
        <v>-43520</v>
      </c>
      <c r="L258" s="873">
        <v>0</v>
      </c>
      <c r="M258" s="873">
        <v>0</v>
      </c>
      <c r="N258" s="873">
        <v>-1104600</v>
      </c>
      <c r="O258" s="873">
        <v>-72756</v>
      </c>
      <c r="P258" s="873">
        <v>-8171</v>
      </c>
      <c r="Q258" s="873">
        <v>-3796</v>
      </c>
      <c r="R258" s="873">
        <v>0</v>
      </c>
      <c r="S258" s="873">
        <v>0</v>
      </c>
      <c r="T258" s="873">
        <v>0</v>
      </c>
      <c r="U258" s="873">
        <v>0</v>
      </c>
      <c r="V258" s="873">
        <v>0</v>
      </c>
      <c r="W258" s="873">
        <v>-69865</v>
      </c>
      <c r="X258" s="873">
        <v>-25000</v>
      </c>
      <c r="Y258" s="873">
        <v>-910807</v>
      </c>
      <c r="Z258" s="873">
        <v>47686897</v>
      </c>
      <c r="AA258" s="873">
        <v>-250000</v>
      </c>
      <c r="AB258" s="874"/>
      <c r="AC258" s="873">
        <v>239</v>
      </c>
      <c r="AD258" s="873">
        <v>16</v>
      </c>
      <c r="AE258" s="873">
        <v>0</v>
      </c>
      <c r="AF258" s="873">
        <v>0</v>
      </c>
      <c r="AG258" s="873">
        <v>593</v>
      </c>
      <c r="AH258" s="873">
        <v>79</v>
      </c>
      <c r="AI258" s="873">
        <v>3</v>
      </c>
      <c r="AJ258" s="873">
        <v>6</v>
      </c>
      <c r="AK258" s="873">
        <v>0</v>
      </c>
      <c r="AL258" s="873">
        <v>0</v>
      </c>
      <c r="AM258" s="873">
        <v>0</v>
      </c>
      <c r="AN258" s="873">
        <v>0</v>
      </c>
      <c r="AO258" s="873">
        <v>1793</v>
      </c>
      <c r="AP258" s="873">
        <v>2805</v>
      </c>
      <c r="AQ258" s="873">
        <v>1821</v>
      </c>
      <c r="AR258" s="873">
        <v>984</v>
      </c>
      <c r="AS258" s="873">
        <v>1235</v>
      </c>
      <c r="AT258" s="843">
        <v>5849</v>
      </c>
      <c r="AU258" s="663"/>
      <c r="AV258" s="663"/>
      <c r="AX258" s="666"/>
      <c r="AY258" s="666"/>
      <c r="AZ258" s="666"/>
      <c r="BA258" s="666"/>
      <c r="BB258" s="666"/>
      <c r="BD258" s="666"/>
      <c r="BE258" s="666"/>
      <c r="BG258" s="666"/>
      <c r="BI258" s="666"/>
      <c r="BJ258" s="666"/>
      <c r="BK258" s="666"/>
    </row>
    <row r="259" spans="1:63" ht="12.75" x14ac:dyDescent="0.2">
      <c r="A259" s="288">
        <v>252</v>
      </c>
      <c r="B259" s="290" t="s">
        <v>414</v>
      </c>
      <c r="C259" s="279" t="s">
        <v>415</v>
      </c>
      <c r="D259" s="955">
        <v>659318</v>
      </c>
      <c r="E259" s="843">
        <v>541953219</v>
      </c>
      <c r="F259" s="873">
        <v>267739880</v>
      </c>
      <c r="G259" s="873">
        <v>-5535100</v>
      </c>
      <c r="H259" s="873">
        <v>5260203</v>
      </c>
      <c r="I259" s="873">
        <v>-274897</v>
      </c>
      <c r="J259" s="873">
        <v>-24132639</v>
      </c>
      <c r="K259" s="873">
        <v>-44895</v>
      </c>
      <c r="L259" s="873">
        <v>0</v>
      </c>
      <c r="M259" s="873">
        <v>0</v>
      </c>
      <c r="N259" s="873">
        <v>-5100000</v>
      </c>
      <c r="O259" s="873">
        <v>-428400</v>
      </c>
      <c r="P259" s="873">
        <v>-38500</v>
      </c>
      <c r="Q259" s="873">
        <v>0</v>
      </c>
      <c r="R259" s="873">
        <v>0</v>
      </c>
      <c r="S259" s="873">
        <v>0</v>
      </c>
      <c r="T259" s="873">
        <v>0</v>
      </c>
      <c r="U259" s="873">
        <v>0</v>
      </c>
      <c r="V259" s="873">
        <v>0</v>
      </c>
      <c r="W259" s="873">
        <v>0</v>
      </c>
      <c r="X259" s="873">
        <v>0</v>
      </c>
      <c r="Y259" s="873">
        <v>-2250000</v>
      </c>
      <c r="Z259" s="873">
        <v>235470549</v>
      </c>
      <c r="AA259" s="873">
        <v>-4414287</v>
      </c>
      <c r="AB259" s="874"/>
      <c r="AC259" s="873">
        <v>713</v>
      </c>
      <c r="AD259" s="873">
        <v>7</v>
      </c>
      <c r="AE259" s="873">
        <v>0</v>
      </c>
      <c r="AF259" s="873">
        <v>0</v>
      </c>
      <c r="AG259" s="873">
        <v>255</v>
      </c>
      <c r="AH259" s="873">
        <v>82</v>
      </c>
      <c r="AI259" s="873">
        <v>9</v>
      </c>
      <c r="AJ259" s="873">
        <v>0</v>
      </c>
      <c r="AK259" s="873">
        <v>0</v>
      </c>
      <c r="AL259" s="873">
        <v>0</v>
      </c>
      <c r="AM259" s="873">
        <v>0</v>
      </c>
      <c r="AN259" s="873">
        <v>0</v>
      </c>
      <c r="AO259" s="873">
        <v>4117</v>
      </c>
      <c r="AP259" s="873">
        <v>2725</v>
      </c>
      <c r="AQ259" s="873">
        <v>1453</v>
      </c>
      <c r="AR259" s="873">
        <v>1272</v>
      </c>
      <c r="AS259" s="873">
        <v>4098</v>
      </c>
      <c r="AT259" s="843">
        <v>10830</v>
      </c>
      <c r="AU259" s="663"/>
      <c r="AV259" s="663"/>
      <c r="AX259" s="666"/>
      <c r="AY259" s="666"/>
      <c r="AZ259" s="666"/>
      <c r="BA259" s="666"/>
      <c r="BB259" s="666"/>
      <c r="BD259" s="666"/>
      <c r="BE259" s="666"/>
      <c r="BG259" s="666"/>
      <c r="BI259" s="666"/>
      <c r="BJ259" s="666"/>
      <c r="BK259" s="666"/>
    </row>
    <row r="260" spans="1:63" ht="12.75" x14ac:dyDescent="0.2">
      <c r="A260" s="288">
        <v>253</v>
      </c>
      <c r="B260" s="290" t="s">
        <v>416</v>
      </c>
      <c r="C260" s="279" t="s">
        <v>417</v>
      </c>
      <c r="D260" s="955">
        <v>128984</v>
      </c>
      <c r="E260" s="843">
        <v>101951013</v>
      </c>
      <c r="F260" s="873">
        <v>49343798</v>
      </c>
      <c r="G260" s="873">
        <v>-1212683</v>
      </c>
      <c r="H260" s="873">
        <v>1195341</v>
      </c>
      <c r="I260" s="873">
        <v>-17342</v>
      </c>
      <c r="J260" s="873">
        <v>-1635823</v>
      </c>
      <c r="K260" s="873">
        <v>-27016</v>
      </c>
      <c r="L260" s="873">
        <v>0</v>
      </c>
      <c r="M260" s="873">
        <v>0</v>
      </c>
      <c r="N260" s="873">
        <v>-921889</v>
      </c>
      <c r="O260" s="873">
        <v>-43426</v>
      </c>
      <c r="P260" s="873">
        <v>-45811</v>
      </c>
      <c r="Q260" s="873">
        <v>-6754</v>
      </c>
      <c r="R260" s="873">
        <v>0</v>
      </c>
      <c r="S260" s="873">
        <v>0</v>
      </c>
      <c r="T260" s="873">
        <v>0</v>
      </c>
      <c r="U260" s="873">
        <v>0</v>
      </c>
      <c r="V260" s="873">
        <v>0</v>
      </c>
      <c r="W260" s="873">
        <v>0</v>
      </c>
      <c r="X260" s="873">
        <v>0</v>
      </c>
      <c r="Y260" s="873">
        <v>-380046</v>
      </c>
      <c r="Z260" s="873">
        <v>46165691</v>
      </c>
      <c r="AA260" s="873">
        <v>-525556</v>
      </c>
      <c r="AB260" s="874"/>
      <c r="AC260" s="873">
        <v>84</v>
      </c>
      <c r="AD260" s="873">
        <v>3</v>
      </c>
      <c r="AE260" s="873">
        <v>0</v>
      </c>
      <c r="AF260" s="873">
        <v>0</v>
      </c>
      <c r="AG260" s="873">
        <v>253</v>
      </c>
      <c r="AH260" s="873">
        <v>33</v>
      </c>
      <c r="AI260" s="873">
        <v>16</v>
      </c>
      <c r="AJ260" s="873">
        <v>3</v>
      </c>
      <c r="AK260" s="873">
        <v>0</v>
      </c>
      <c r="AL260" s="873">
        <v>0</v>
      </c>
      <c r="AM260" s="873">
        <v>0</v>
      </c>
      <c r="AN260" s="873">
        <v>0</v>
      </c>
      <c r="AO260" s="873">
        <v>1014</v>
      </c>
      <c r="AP260" s="873">
        <v>635</v>
      </c>
      <c r="AQ260" s="873">
        <v>380</v>
      </c>
      <c r="AR260" s="873">
        <v>255</v>
      </c>
      <c r="AS260" s="873">
        <v>726</v>
      </c>
      <c r="AT260" s="843">
        <v>2493</v>
      </c>
      <c r="AU260" s="663"/>
      <c r="AV260" s="663"/>
      <c r="AX260" s="666"/>
      <c r="AY260" s="666"/>
      <c r="AZ260" s="666"/>
      <c r="BA260" s="666"/>
      <c r="BB260" s="666"/>
      <c r="BD260" s="666"/>
      <c r="BE260" s="666"/>
      <c r="BG260" s="666"/>
      <c r="BI260" s="666"/>
      <c r="BJ260" s="666"/>
      <c r="BK260" s="666"/>
    </row>
    <row r="261" spans="1:63" ht="12.75" x14ac:dyDescent="0.2">
      <c r="A261" s="288">
        <v>254</v>
      </c>
      <c r="B261" s="290" t="s">
        <v>418</v>
      </c>
      <c r="C261" s="279" t="s">
        <v>419</v>
      </c>
      <c r="D261" s="955">
        <v>194644</v>
      </c>
      <c r="E261" s="843">
        <v>153616907</v>
      </c>
      <c r="F261" s="873">
        <v>72737042</v>
      </c>
      <c r="G261" s="873">
        <v>-1685058</v>
      </c>
      <c r="H261" s="873">
        <v>1782030</v>
      </c>
      <c r="I261" s="873">
        <v>96972</v>
      </c>
      <c r="J261" s="873">
        <v>-5261429</v>
      </c>
      <c r="K261" s="873">
        <v>-138970</v>
      </c>
      <c r="L261" s="873">
        <v>0</v>
      </c>
      <c r="M261" s="873">
        <v>-100000</v>
      </c>
      <c r="N261" s="873">
        <v>-1249164</v>
      </c>
      <c r="O261" s="873">
        <v>-128076</v>
      </c>
      <c r="P261" s="873">
        <v>-24857</v>
      </c>
      <c r="Q261" s="873">
        <v>-1148</v>
      </c>
      <c r="R261" s="873">
        <v>0</v>
      </c>
      <c r="S261" s="873">
        <v>0</v>
      </c>
      <c r="T261" s="873">
        <v>0</v>
      </c>
      <c r="U261" s="873">
        <v>0</v>
      </c>
      <c r="V261" s="873">
        <v>0</v>
      </c>
      <c r="W261" s="873">
        <v>0</v>
      </c>
      <c r="X261" s="873">
        <v>-80000</v>
      </c>
      <c r="Y261" s="873">
        <v>-1137688</v>
      </c>
      <c r="Z261" s="873">
        <v>64712682</v>
      </c>
      <c r="AA261" s="873">
        <v>-705034</v>
      </c>
      <c r="AB261" s="874"/>
      <c r="AC261" s="873">
        <v>232</v>
      </c>
      <c r="AD261" s="873">
        <v>13</v>
      </c>
      <c r="AE261" s="873">
        <v>0</v>
      </c>
      <c r="AF261" s="873">
        <v>6</v>
      </c>
      <c r="AG261" s="873">
        <v>301</v>
      </c>
      <c r="AH261" s="873">
        <v>56</v>
      </c>
      <c r="AI261" s="873">
        <v>16</v>
      </c>
      <c r="AJ261" s="873">
        <v>1</v>
      </c>
      <c r="AK261" s="873">
        <v>0</v>
      </c>
      <c r="AL261" s="873">
        <v>0</v>
      </c>
      <c r="AM261" s="873">
        <v>0</v>
      </c>
      <c r="AN261" s="873">
        <v>0</v>
      </c>
      <c r="AO261" s="873">
        <v>1889</v>
      </c>
      <c r="AP261" s="873">
        <v>850</v>
      </c>
      <c r="AQ261" s="873">
        <v>399</v>
      </c>
      <c r="AR261" s="873">
        <v>451</v>
      </c>
      <c r="AS261" s="873">
        <v>1135</v>
      </c>
      <c r="AT261" s="843">
        <v>3873</v>
      </c>
      <c r="AU261" s="663"/>
      <c r="AV261" s="663"/>
      <c r="AX261" s="666"/>
      <c r="AY261" s="666"/>
      <c r="AZ261" s="666"/>
      <c r="BA261" s="666"/>
      <c r="BB261" s="666"/>
      <c r="BD261" s="666"/>
      <c r="BE261" s="666"/>
      <c r="BG261" s="666"/>
      <c r="BI261" s="666"/>
      <c r="BJ261" s="666"/>
      <c r="BK261" s="666"/>
    </row>
    <row r="262" spans="1:63" ht="12.75" x14ac:dyDescent="0.2">
      <c r="A262" s="288">
        <v>255</v>
      </c>
      <c r="B262" s="290" t="s">
        <v>420</v>
      </c>
      <c r="C262" s="279" t="s">
        <v>421</v>
      </c>
      <c r="D262" s="955">
        <v>161644</v>
      </c>
      <c r="E262" s="843">
        <v>111542480</v>
      </c>
      <c r="F262" s="873">
        <v>53588895</v>
      </c>
      <c r="G262" s="873">
        <v>-1964939</v>
      </c>
      <c r="H262" s="873">
        <v>1269997</v>
      </c>
      <c r="I262" s="873">
        <v>-694942</v>
      </c>
      <c r="J262" s="873">
        <v>-2734095</v>
      </c>
      <c r="K262" s="873">
        <v>-34776</v>
      </c>
      <c r="L262" s="873">
        <v>-53682</v>
      </c>
      <c r="M262" s="873">
        <v>-29000</v>
      </c>
      <c r="N262" s="873">
        <v>-1350766</v>
      </c>
      <c r="O262" s="873">
        <v>-105686</v>
      </c>
      <c r="P262" s="873">
        <v>-79010</v>
      </c>
      <c r="Q262" s="873">
        <v>-4280</v>
      </c>
      <c r="R262" s="873">
        <v>-21476</v>
      </c>
      <c r="S262" s="873">
        <v>-8050</v>
      </c>
      <c r="T262" s="873">
        <v>0</v>
      </c>
      <c r="U262" s="873">
        <v>0</v>
      </c>
      <c r="V262" s="873">
        <v>0</v>
      </c>
      <c r="W262" s="873">
        <v>-11684</v>
      </c>
      <c r="X262" s="873">
        <v>-573</v>
      </c>
      <c r="Y262" s="873">
        <v>-716277</v>
      </c>
      <c r="Z262" s="873">
        <v>47744598</v>
      </c>
      <c r="AA262" s="873">
        <v>-811071</v>
      </c>
      <c r="AB262" s="874"/>
      <c r="AC262" s="873">
        <v>257</v>
      </c>
      <c r="AD262" s="873">
        <v>8</v>
      </c>
      <c r="AE262" s="873">
        <v>39</v>
      </c>
      <c r="AF262" s="873">
        <v>0</v>
      </c>
      <c r="AG262" s="873">
        <v>325</v>
      </c>
      <c r="AH262" s="873">
        <v>69</v>
      </c>
      <c r="AI262" s="873">
        <v>22</v>
      </c>
      <c r="AJ262" s="873">
        <v>17</v>
      </c>
      <c r="AK262" s="873">
        <v>21</v>
      </c>
      <c r="AL262" s="873">
        <v>4</v>
      </c>
      <c r="AM262" s="873">
        <v>0</v>
      </c>
      <c r="AN262" s="873">
        <v>0</v>
      </c>
      <c r="AO262" s="873">
        <v>1582</v>
      </c>
      <c r="AP262" s="873">
        <v>1177</v>
      </c>
      <c r="AQ262" s="873">
        <v>769</v>
      </c>
      <c r="AR262" s="873">
        <v>408</v>
      </c>
      <c r="AS262" s="873">
        <v>949</v>
      </c>
      <c r="AT262" s="843">
        <v>3712</v>
      </c>
      <c r="AU262" s="663"/>
      <c r="AV262" s="663"/>
      <c r="AX262" s="666"/>
      <c r="AY262" s="666"/>
      <c r="AZ262" s="666"/>
      <c r="BA262" s="666"/>
      <c r="BB262" s="666"/>
      <c r="BD262" s="666"/>
      <c r="BE262" s="666"/>
      <c r="BG262" s="666"/>
      <c r="BI262" s="666"/>
      <c r="BJ262" s="666"/>
      <c r="BK262" s="666"/>
    </row>
    <row r="263" spans="1:63" ht="12.75" x14ac:dyDescent="0.2">
      <c r="A263" s="288">
        <v>256</v>
      </c>
      <c r="B263" s="290" t="s">
        <v>422</v>
      </c>
      <c r="C263" s="279" t="s">
        <v>423</v>
      </c>
      <c r="D263" s="955">
        <v>197099</v>
      </c>
      <c r="E263" s="843">
        <v>130188288</v>
      </c>
      <c r="F263" s="873">
        <v>60815511</v>
      </c>
      <c r="G263" s="873">
        <v>-3146907</v>
      </c>
      <c r="H263" s="873">
        <v>1482994</v>
      </c>
      <c r="I263" s="873">
        <v>-1663913</v>
      </c>
      <c r="J263" s="873">
        <v>-3500781</v>
      </c>
      <c r="K263" s="873">
        <v>-96914</v>
      </c>
      <c r="L263" s="873">
        <v>0</v>
      </c>
      <c r="M263" s="873">
        <v>-90000</v>
      </c>
      <c r="N263" s="873">
        <v>-2626407</v>
      </c>
      <c r="O263" s="873">
        <v>-264235</v>
      </c>
      <c r="P263" s="873">
        <v>-110031</v>
      </c>
      <c r="Q263" s="873">
        <v>-14038</v>
      </c>
      <c r="R263" s="873">
        <v>0</v>
      </c>
      <c r="S263" s="873">
        <v>0</v>
      </c>
      <c r="T263" s="873">
        <v>0</v>
      </c>
      <c r="U263" s="873">
        <v>0</v>
      </c>
      <c r="V263" s="873">
        <v>0</v>
      </c>
      <c r="W263" s="873">
        <v>0</v>
      </c>
      <c r="X263" s="873">
        <v>0</v>
      </c>
      <c r="Y263" s="873">
        <v>-586261</v>
      </c>
      <c r="Z263" s="873">
        <v>51362931</v>
      </c>
      <c r="AA263" s="873">
        <v>-1750000</v>
      </c>
      <c r="AB263" s="874"/>
      <c r="AC263" s="873">
        <v>209</v>
      </c>
      <c r="AD263" s="873">
        <v>17</v>
      </c>
      <c r="AE263" s="873">
        <v>0</v>
      </c>
      <c r="AF263" s="873">
        <v>0</v>
      </c>
      <c r="AG263" s="873">
        <v>361</v>
      </c>
      <c r="AH263" s="873">
        <v>79</v>
      </c>
      <c r="AI263" s="873">
        <v>3</v>
      </c>
      <c r="AJ263" s="873">
        <v>11</v>
      </c>
      <c r="AK263" s="873">
        <v>0</v>
      </c>
      <c r="AL263" s="873">
        <v>0</v>
      </c>
      <c r="AM263" s="873">
        <v>0</v>
      </c>
      <c r="AN263" s="873">
        <v>0</v>
      </c>
      <c r="AO263" s="873">
        <v>1798</v>
      </c>
      <c r="AP263" s="873">
        <v>1666</v>
      </c>
      <c r="AQ263" s="873">
        <v>1164</v>
      </c>
      <c r="AR263" s="873">
        <v>502</v>
      </c>
      <c r="AS263" s="873">
        <v>1057</v>
      </c>
      <c r="AT263" s="843">
        <v>4571</v>
      </c>
      <c r="AU263" s="663"/>
      <c r="AV263" s="663"/>
      <c r="AX263" s="666"/>
      <c r="AY263" s="666"/>
      <c r="AZ263" s="666"/>
      <c r="BA263" s="666"/>
      <c r="BB263" s="666"/>
      <c r="BD263" s="666"/>
      <c r="BE263" s="666"/>
      <c r="BG263" s="666"/>
      <c r="BI263" s="666"/>
      <c r="BJ263" s="666"/>
      <c r="BK263" s="666"/>
    </row>
    <row r="264" spans="1:63" ht="12.75" x14ac:dyDescent="0.2">
      <c r="A264" s="288">
        <v>257</v>
      </c>
      <c r="B264" s="290" t="s">
        <v>424</v>
      </c>
      <c r="C264" s="279" t="s">
        <v>425</v>
      </c>
      <c r="D264" s="955">
        <v>170009</v>
      </c>
      <c r="E264" s="843">
        <v>110821150</v>
      </c>
      <c r="F264" s="873">
        <v>53361972</v>
      </c>
      <c r="G264" s="873">
        <v>-2400412</v>
      </c>
      <c r="H264" s="873">
        <v>1229480</v>
      </c>
      <c r="I264" s="873">
        <v>-1170932</v>
      </c>
      <c r="J264" s="873">
        <v>-2548812</v>
      </c>
      <c r="K264" s="873">
        <v>-21534</v>
      </c>
      <c r="L264" s="873">
        <v>-21698</v>
      </c>
      <c r="M264" s="873">
        <v>0</v>
      </c>
      <c r="N264" s="873">
        <v>-1756000</v>
      </c>
      <c r="O264" s="873">
        <v>-227912</v>
      </c>
      <c r="P264" s="873">
        <v>-89950</v>
      </c>
      <c r="Q264" s="873">
        <v>-4003</v>
      </c>
      <c r="R264" s="873">
        <v>-17698</v>
      </c>
      <c r="S264" s="873">
        <v>-4894</v>
      </c>
      <c r="T264" s="873">
        <v>0</v>
      </c>
      <c r="U264" s="873">
        <v>0</v>
      </c>
      <c r="V264" s="873">
        <v>0</v>
      </c>
      <c r="W264" s="873">
        <v>0</v>
      </c>
      <c r="X264" s="873">
        <v>0</v>
      </c>
      <c r="Y264" s="873">
        <v>-403596</v>
      </c>
      <c r="Z264" s="873">
        <v>47094943</v>
      </c>
      <c r="AA264" s="873">
        <v>-800000</v>
      </c>
      <c r="AB264" s="874"/>
      <c r="AC264" s="873">
        <v>219</v>
      </c>
      <c r="AD264" s="873">
        <v>6</v>
      </c>
      <c r="AE264" s="873">
        <v>20</v>
      </c>
      <c r="AF264" s="873">
        <v>0</v>
      </c>
      <c r="AG264" s="873">
        <v>237</v>
      </c>
      <c r="AH264" s="873">
        <v>153</v>
      </c>
      <c r="AI264" s="873">
        <v>39</v>
      </c>
      <c r="AJ264" s="873">
        <v>5</v>
      </c>
      <c r="AK264" s="873">
        <v>17</v>
      </c>
      <c r="AL264" s="873">
        <v>2</v>
      </c>
      <c r="AM264" s="873">
        <v>0</v>
      </c>
      <c r="AN264" s="873">
        <v>0</v>
      </c>
      <c r="AO264" s="873">
        <v>1510</v>
      </c>
      <c r="AP264" s="873">
        <v>1294</v>
      </c>
      <c r="AQ264" s="873">
        <v>885</v>
      </c>
      <c r="AR264" s="873">
        <v>409</v>
      </c>
      <c r="AS264" s="873">
        <v>1186</v>
      </c>
      <c r="AT264" s="843">
        <v>3995</v>
      </c>
      <c r="AU264" s="663"/>
      <c r="AV264" s="663"/>
      <c r="AX264" s="666"/>
      <c r="AY264" s="666"/>
      <c r="AZ264" s="666"/>
      <c r="BA264" s="666"/>
      <c r="BB264" s="666"/>
      <c r="BD264" s="666"/>
      <c r="BE264" s="666"/>
      <c r="BG264" s="666"/>
      <c r="BI264" s="666"/>
      <c r="BJ264" s="666"/>
      <c r="BK264" s="666"/>
    </row>
    <row r="265" spans="1:63" ht="12.75" x14ac:dyDescent="0.2">
      <c r="A265" s="288">
        <v>258</v>
      </c>
      <c r="B265" s="290" t="s">
        <v>426</v>
      </c>
      <c r="C265" s="279" t="s">
        <v>427</v>
      </c>
      <c r="D265" s="955">
        <v>115447</v>
      </c>
      <c r="E265" s="843">
        <v>48096930</v>
      </c>
      <c r="F265" s="873">
        <v>22891335</v>
      </c>
      <c r="G265" s="873">
        <v>-2252410</v>
      </c>
      <c r="H265" s="873">
        <v>462039</v>
      </c>
      <c r="I265" s="873">
        <v>-1790371</v>
      </c>
      <c r="J265" s="873">
        <v>-1165013</v>
      </c>
      <c r="K265" s="873">
        <v>-49262</v>
      </c>
      <c r="L265" s="873">
        <v>-18879</v>
      </c>
      <c r="M265" s="873">
        <v>-169528</v>
      </c>
      <c r="N265" s="873">
        <v>-365553</v>
      </c>
      <c r="O265" s="873">
        <v>-83811</v>
      </c>
      <c r="P265" s="873">
        <v>-84456</v>
      </c>
      <c r="Q265" s="873">
        <v>-3217</v>
      </c>
      <c r="R265" s="873">
        <v>-7128</v>
      </c>
      <c r="S265" s="873">
        <v>0</v>
      </c>
      <c r="T265" s="873">
        <v>0</v>
      </c>
      <c r="U265" s="873">
        <v>0</v>
      </c>
      <c r="V265" s="873">
        <v>0</v>
      </c>
      <c r="W265" s="873">
        <v>-4560</v>
      </c>
      <c r="X265" s="873">
        <v>-4191</v>
      </c>
      <c r="Y265" s="873">
        <v>-368406</v>
      </c>
      <c r="Z265" s="873">
        <v>18776960</v>
      </c>
      <c r="AA265" s="873">
        <v>-104312</v>
      </c>
      <c r="AB265" s="874"/>
      <c r="AC265" s="873">
        <v>120</v>
      </c>
      <c r="AD265" s="873">
        <v>2</v>
      </c>
      <c r="AE265" s="873">
        <v>11</v>
      </c>
      <c r="AF265" s="873">
        <v>1</v>
      </c>
      <c r="AG265" s="873">
        <v>360</v>
      </c>
      <c r="AH265" s="873">
        <v>54</v>
      </c>
      <c r="AI265" s="873">
        <v>37</v>
      </c>
      <c r="AJ265" s="873">
        <v>3</v>
      </c>
      <c r="AK265" s="873">
        <v>9</v>
      </c>
      <c r="AL265" s="873">
        <v>0</v>
      </c>
      <c r="AM265" s="873">
        <v>0</v>
      </c>
      <c r="AN265" s="873">
        <v>0</v>
      </c>
      <c r="AO265" s="873">
        <v>770</v>
      </c>
      <c r="AP265" s="873">
        <v>1356</v>
      </c>
      <c r="AQ265" s="873">
        <v>1054</v>
      </c>
      <c r="AR265" s="873">
        <v>302</v>
      </c>
      <c r="AS265" s="873">
        <v>803</v>
      </c>
      <c r="AT265" s="843">
        <v>2979</v>
      </c>
      <c r="AU265" s="663"/>
      <c r="AV265" s="663"/>
      <c r="AX265" s="666"/>
      <c r="AY265" s="666"/>
      <c r="AZ265" s="666"/>
      <c r="BA265" s="666"/>
      <c r="BB265" s="666"/>
      <c r="BD265" s="666"/>
      <c r="BE265" s="666"/>
      <c r="BG265" s="666"/>
      <c r="BI265" s="666"/>
      <c r="BJ265" s="666"/>
      <c r="BK265" s="666"/>
    </row>
    <row r="266" spans="1:63" ht="12.75" x14ac:dyDescent="0.2">
      <c r="A266" s="288">
        <v>259</v>
      </c>
      <c r="B266" s="290" t="s">
        <v>428</v>
      </c>
      <c r="C266" s="279" t="s">
        <v>429</v>
      </c>
      <c r="D266" s="955">
        <v>112692</v>
      </c>
      <c r="E266" s="843">
        <v>111293263</v>
      </c>
      <c r="F266" s="873">
        <v>53087154</v>
      </c>
      <c r="G266" s="873">
        <v>-917668</v>
      </c>
      <c r="H266" s="873">
        <v>1381979</v>
      </c>
      <c r="I266" s="873">
        <v>464311</v>
      </c>
      <c r="J266" s="873">
        <v>-1573938</v>
      </c>
      <c r="K266" s="873">
        <v>-4028</v>
      </c>
      <c r="L266" s="873">
        <v>0</v>
      </c>
      <c r="M266" s="873">
        <v>-130790</v>
      </c>
      <c r="N266" s="873">
        <v>-2009497</v>
      </c>
      <c r="O266" s="873">
        <v>-129481</v>
      </c>
      <c r="P266" s="873">
        <v>-16984</v>
      </c>
      <c r="Q266" s="873">
        <v>-1034</v>
      </c>
      <c r="R266" s="873">
        <v>0</v>
      </c>
      <c r="S266" s="873">
        <v>0</v>
      </c>
      <c r="T266" s="873">
        <v>0</v>
      </c>
      <c r="U266" s="873">
        <v>0</v>
      </c>
      <c r="V266" s="873">
        <v>0</v>
      </c>
      <c r="W266" s="873">
        <v>-55000</v>
      </c>
      <c r="X266" s="873">
        <v>-20000</v>
      </c>
      <c r="Y266" s="873">
        <v>-261000</v>
      </c>
      <c r="Z266" s="873">
        <v>49129713</v>
      </c>
      <c r="AA266" s="873">
        <v>-400000</v>
      </c>
      <c r="AB266" s="874"/>
      <c r="AC266" s="873">
        <v>104</v>
      </c>
      <c r="AD266" s="873">
        <v>1</v>
      </c>
      <c r="AE266" s="873">
        <v>0</v>
      </c>
      <c r="AF266" s="873">
        <v>3</v>
      </c>
      <c r="AG266" s="873">
        <v>256</v>
      </c>
      <c r="AH266" s="873">
        <v>62</v>
      </c>
      <c r="AI266" s="873">
        <v>6</v>
      </c>
      <c r="AJ266" s="873">
        <v>1</v>
      </c>
      <c r="AK266" s="873">
        <v>0</v>
      </c>
      <c r="AL266" s="873">
        <v>0</v>
      </c>
      <c r="AM266" s="873">
        <v>0</v>
      </c>
      <c r="AN266" s="873">
        <v>189</v>
      </c>
      <c r="AO266" s="873">
        <v>1077</v>
      </c>
      <c r="AP266" s="873">
        <v>441</v>
      </c>
      <c r="AQ266" s="873">
        <v>180</v>
      </c>
      <c r="AR266" s="873">
        <v>261</v>
      </c>
      <c r="AS266" s="873">
        <v>663</v>
      </c>
      <c r="AT266" s="843">
        <v>2150</v>
      </c>
      <c r="AU266" s="663"/>
      <c r="AV266" s="663"/>
      <c r="AX266" s="666"/>
      <c r="AY266" s="666"/>
      <c r="AZ266" s="666"/>
      <c r="BA266" s="666"/>
      <c r="BB266" s="666"/>
      <c r="BD266" s="666"/>
      <c r="BE266" s="666"/>
      <c r="BG266" s="666"/>
      <c r="BI266" s="666"/>
      <c r="BJ266" s="666"/>
      <c r="BK266" s="666"/>
    </row>
    <row r="267" spans="1:63" ht="12.75" x14ac:dyDescent="0.2">
      <c r="A267" s="288">
        <v>260</v>
      </c>
      <c r="B267" s="290" t="s">
        <v>430</v>
      </c>
      <c r="C267" s="279" t="s">
        <v>431</v>
      </c>
      <c r="D267" s="955">
        <v>437845</v>
      </c>
      <c r="E267" s="843">
        <v>236566629</v>
      </c>
      <c r="F267" s="873">
        <v>108879000</v>
      </c>
      <c r="G267" s="873">
        <v>-6873081</v>
      </c>
      <c r="H267" s="873">
        <v>2555363</v>
      </c>
      <c r="I267" s="873">
        <v>-4317718</v>
      </c>
      <c r="J267" s="873">
        <v>-4042537</v>
      </c>
      <c r="K267" s="873">
        <v>-250178</v>
      </c>
      <c r="L267" s="873">
        <v>0</v>
      </c>
      <c r="M267" s="873">
        <v>0</v>
      </c>
      <c r="N267" s="873">
        <v>-4042317</v>
      </c>
      <c r="O267" s="873">
        <v>0</v>
      </c>
      <c r="P267" s="873">
        <v>-36522</v>
      </c>
      <c r="Q267" s="873">
        <v>-21416</v>
      </c>
      <c r="R267" s="873">
        <v>0</v>
      </c>
      <c r="S267" s="873">
        <v>0</v>
      </c>
      <c r="T267" s="873">
        <v>0</v>
      </c>
      <c r="U267" s="873">
        <v>0</v>
      </c>
      <c r="V267" s="873">
        <v>0</v>
      </c>
      <c r="W267" s="873">
        <v>0</v>
      </c>
      <c r="X267" s="873">
        <v>0</v>
      </c>
      <c r="Y267" s="873">
        <v>-1113247</v>
      </c>
      <c r="Z267" s="873">
        <v>92630000</v>
      </c>
      <c r="AA267" s="873">
        <v>-690211</v>
      </c>
      <c r="AB267" s="874"/>
      <c r="AC267" s="873">
        <v>285</v>
      </c>
      <c r="AD267" s="873">
        <v>38</v>
      </c>
      <c r="AE267" s="873">
        <v>0</v>
      </c>
      <c r="AF267" s="873">
        <v>0</v>
      </c>
      <c r="AG267" s="873">
        <v>1292</v>
      </c>
      <c r="AH267" s="873">
        <v>0</v>
      </c>
      <c r="AI267" s="873">
        <v>16</v>
      </c>
      <c r="AJ267" s="873">
        <v>19</v>
      </c>
      <c r="AK267" s="873">
        <v>0</v>
      </c>
      <c r="AL267" s="873">
        <v>0</v>
      </c>
      <c r="AM267" s="873">
        <v>0</v>
      </c>
      <c r="AN267" s="873">
        <v>0</v>
      </c>
      <c r="AO267" s="873">
        <v>4037</v>
      </c>
      <c r="AP267" s="873">
        <v>3581</v>
      </c>
      <c r="AQ267" s="873">
        <v>2341</v>
      </c>
      <c r="AR267" s="873">
        <v>1240</v>
      </c>
      <c r="AS267" s="873">
        <v>2750</v>
      </c>
      <c r="AT267" s="843">
        <v>10550</v>
      </c>
      <c r="AU267" s="663"/>
      <c r="AV267" s="663"/>
      <c r="AX267" s="666"/>
      <c r="AY267" s="666"/>
      <c r="AZ267" s="666"/>
      <c r="BA267" s="666"/>
      <c r="BB267" s="666"/>
      <c r="BD267" s="666"/>
      <c r="BE267" s="666"/>
      <c r="BG267" s="666"/>
      <c r="BI267" s="666"/>
      <c r="BJ267" s="666"/>
      <c r="BK267" s="666"/>
    </row>
    <row r="268" spans="1:63" ht="12.75" x14ac:dyDescent="0.2">
      <c r="A268" s="288">
        <v>261</v>
      </c>
      <c r="B268" s="290" t="s">
        <v>432</v>
      </c>
      <c r="C268" s="279" t="s">
        <v>433</v>
      </c>
      <c r="D268" s="955">
        <v>239900</v>
      </c>
      <c r="E268" s="843">
        <v>197131871</v>
      </c>
      <c r="F268" s="873">
        <v>94501013</v>
      </c>
      <c r="G268" s="873">
        <v>-2853219</v>
      </c>
      <c r="H268" s="873">
        <v>2295433</v>
      </c>
      <c r="I268" s="873">
        <v>-557786</v>
      </c>
      <c r="J268" s="873">
        <v>-3886626</v>
      </c>
      <c r="K268" s="873">
        <v>-36758</v>
      </c>
      <c r="L268" s="873">
        <v>-9983</v>
      </c>
      <c r="M268" s="873">
        <v>-100000</v>
      </c>
      <c r="N268" s="873">
        <v>-2000000</v>
      </c>
      <c r="O268" s="873">
        <v>-188952</v>
      </c>
      <c r="P268" s="873">
        <v>-85783</v>
      </c>
      <c r="Q268" s="873">
        <v>-9506</v>
      </c>
      <c r="R268" s="873">
        <v>-9983</v>
      </c>
      <c r="S268" s="873">
        <v>0</v>
      </c>
      <c r="T268" s="873">
        <v>-227264</v>
      </c>
      <c r="U268" s="873">
        <v>-53763</v>
      </c>
      <c r="V268" s="873">
        <v>-73501</v>
      </c>
      <c r="W268" s="873">
        <v>0</v>
      </c>
      <c r="X268" s="873">
        <v>-6348</v>
      </c>
      <c r="Y268" s="873">
        <v>-800914</v>
      </c>
      <c r="Z268" s="873">
        <v>86581110</v>
      </c>
      <c r="AA268" s="873">
        <v>-1645041</v>
      </c>
      <c r="AB268" s="874"/>
      <c r="AC268" s="873">
        <v>234</v>
      </c>
      <c r="AD268" s="873">
        <v>10</v>
      </c>
      <c r="AE268" s="873">
        <v>7</v>
      </c>
      <c r="AF268" s="873">
        <v>0</v>
      </c>
      <c r="AG268" s="873">
        <v>391</v>
      </c>
      <c r="AH268" s="873">
        <v>104</v>
      </c>
      <c r="AI268" s="873">
        <v>19</v>
      </c>
      <c r="AJ268" s="873">
        <v>8</v>
      </c>
      <c r="AK268" s="873">
        <v>7</v>
      </c>
      <c r="AL268" s="873">
        <v>0</v>
      </c>
      <c r="AM268" s="873">
        <v>5</v>
      </c>
      <c r="AN268" s="873">
        <v>17</v>
      </c>
      <c r="AO268" s="873">
        <v>2170</v>
      </c>
      <c r="AP268" s="873">
        <v>1569</v>
      </c>
      <c r="AQ268" s="873">
        <v>1152</v>
      </c>
      <c r="AR268" s="873">
        <v>417</v>
      </c>
      <c r="AS268" s="873">
        <v>1482</v>
      </c>
      <c r="AT268" s="843">
        <v>5238</v>
      </c>
      <c r="AU268" s="663"/>
      <c r="AV268" s="663"/>
      <c r="AX268" s="666"/>
      <c r="AY268" s="666"/>
      <c r="AZ268" s="666"/>
      <c r="BA268" s="666"/>
      <c r="BB268" s="666"/>
      <c r="BD268" s="666"/>
      <c r="BE268" s="666"/>
      <c r="BG268" s="666"/>
      <c r="BI268" s="666"/>
      <c r="BJ268" s="666"/>
      <c r="BK268" s="666"/>
    </row>
    <row r="269" spans="1:63" ht="12.75" x14ac:dyDescent="0.2">
      <c r="A269" s="288">
        <v>262</v>
      </c>
      <c r="B269" s="290" t="s">
        <v>434</v>
      </c>
      <c r="C269" s="279" t="s">
        <v>435</v>
      </c>
      <c r="D269" s="955">
        <v>366260</v>
      </c>
      <c r="E269" s="843">
        <v>215958088</v>
      </c>
      <c r="F269" s="873">
        <v>102655983</v>
      </c>
      <c r="G269" s="873">
        <v>-5996862</v>
      </c>
      <c r="H269" s="873">
        <v>2359422</v>
      </c>
      <c r="I269" s="873">
        <v>-3637440</v>
      </c>
      <c r="J269" s="873">
        <v>-5561291</v>
      </c>
      <c r="K269" s="873">
        <v>-29087</v>
      </c>
      <c r="L269" s="873">
        <v>0</v>
      </c>
      <c r="M269" s="873">
        <v>-150278</v>
      </c>
      <c r="N269" s="873">
        <v>-3942424</v>
      </c>
      <c r="O269" s="873">
        <v>-101531</v>
      </c>
      <c r="P269" s="873">
        <v>-212323</v>
      </c>
      <c r="Q269" s="873">
        <v>-7412</v>
      </c>
      <c r="R269" s="873">
        <v>0</v>
      </c>
      <c r="S269" s="873">
        <v>0</v>
      </c>
      <c r="T269" s="873">
        <v>0</v>
      </c>
      <c r="U269" s="873">
        <v>0</v>
      </c>
      <c r="V269" s="873">
        <v>0</v>
      </c>
      <c r="W269" s="873">
        <v>0</v>
      </c>
      <c r="X269" s="873">
        <v>-27690</v>
      </c>
      <c r="Y269" s="873">
        <v>-981696</v>
      </c>
      <c r="Z269" s="873">
        <v>88004811</v>
      </c>
      <c r="AA269" s="873">
        <v>-2600000</v>
      </c>
      <c r="AB269" s="874"/>
      <c r="AC269" s="873">
        <v>298</v>
      </c>
      <c r="AD269" s="873">
        <v>12</v>
      </c>
      <c r="AE269" s="873">
        <v>0</v>
      </c>
      <c r="AF269" s="873">
        <v>7</v>
      </c>
      <c r="AG269" s="873">
        <v>1907</v>
      </c>
      <c r="AH269" s="873">
        <v>72</v>
      </c>
      <c r="AI269" s="873">
        <v>16</v>
      </c>
      <c r="AJ269" s="873">
        <v>6</v>
      </c>
      <c r="AK269" s="873">
        <v>0</v>
      </c>
      <c r="AL269" s="873">
        <v>0</v>
      </c>
      <c r="AM269" s="873">
        <v>0</v>
      </c>
      <c r="AN269" s="873">
        <v>0</v>
      </c>
      <c r="AO269" s="873">
        <v>3833</v>
      </c>
      <c r="AP269" s="873">
        <v>3187</v>
      </c>
      <c r="AQ269" s="873">
        <v>2183</v>
      </c>
      <c r="AR269" s="873">
        <v>1004</v>
      </c>
      <c r="AS269" s="873">
        <v>2057</v>
      </c>
      <c r="AT269" s="843">
        <v>8830</v>
      </c>
      <c r="AU269" s="663"/>
      <c r="AV269" s="663"/>
      <c r="AX269" s="666"/>
      <c r="AY269" s="666"/>
      <c r="AZ269" s="666"/>
      <c r="BA269" s="666"/>
      <c r="BB269" s="666"/>
      <c r="BD269" s="666"/>
      <c r="BE269" s="666"/>
      <c r="BG269" s="666"/>
      <c r="BI269" s="666"/>
      <c r="BJ269" s="666"/>
      <c r="BK269" s="666"/>
    </row>
    <row r="270" spans="1:63" ht="12.75" x14ac:dyDescent="0.2">
      <c r="A270" s="288">
        <v>263</v>
      </c>
      <c r="B270" s="290" t="s">
        <v>436</v>
      </c>
      <c r="C270" s="279" t="s">
        <v>437</v>
      </c>
      <c r="D270" s="955">
        <v>217909</v>
      </c>
      <c r="E270" s="843">
        <v>133755744</v>
      </c>
      <c r="F270" s="873">
        <v>63237842</v>
      </c>
      <c r="G270" s="873">
        <v>-3296191</v>
      </c>
      <c r="H270" s="873">
        <v>1446026</v>
      </c>
      <c r="I270" s="873">
        <v>-1850165</v>
      </c>
      <c r="J270" s="873">
        <v>-4176781</v>
      </c>
      <c r="K270" s="873">
        <v>-98799</v>
      </c>
      <c r="L270" s="873">
        <v>-36452</v>
      </c>
      <c r="M270" s="873">
        <v>0</v>
      </c>
      <c r="N270" s="873">
        <v>-1767476</v>
      </c>
      <c r="O270" s="873">
        <v>-9616</v>
      </c>
      <c r="P270" s="873">
        <v>-18485</v>
      </c>
      <c r="Q270" s="873">
        <v>0</v>
      </c>
      <c r="R270" s="873">
        <v>-3037</v>
      </c>
      <c r="S270" s="873">
        <v>0</v>
      </c>
      <c r="T270" s="873">
        <v>0</v>
      </c>
      <c r="U270" s="873">
        <v>0</v>
      </c>
      <c r="V270" s="873">
        <v>0</v>
      </c>
      <c r="W270" s="873">
        <v>0</v>
      </c>
      <c r="X270" s="873">
        <v>0</v>
      </c>
      <c r="Y270" s="873">
        <v>-190965</v>
      </c>
      <c r="Z270" s="873">
        <v>55086066</v>
      </c>
      <c r="AA270" s="873">
        <v>-324404</v>
      </c>
      <c r="AB270" s="874"/>
      <c r="AC270" s="873">
        <v>324</v>
      </c>
      <c r="AD270" s="873">
        <v>23</v>
      </c>
      <c r="AE270" s="873">
        <v>20</v>
      </c>
      <c r="AF270" s="873">
        <v>0</v>
      </c>
      <c r="AG270" s="873">
        <v>406</v>
      </c>
      <c r="AH270" s="873">
        <v>6</v>
      </c>
      <c r="AI270" s="873">
        <v>5</v>
      </c>
      <c r="AJ270" s="873">
        <v>0</v>
      </c>
      <c r="AK270" s="873">
        <v>4</v>
      </c>
      <c r="AL270" s="873">
        <v>0</v>
      </c>
      <c r="AM270" s="873">
        <v>0</v>
      </c>
      <c r="AN270" s="873">
        <v>0</v>
      </c>
      <c r="AO270" s="873">
        <v>1995</v>
      </c>
      <c r="AP270" s="873">
        <v>1784</v>
      </c>
      <c r="AQ270" s="873">
        <v>1126</v>
      </c>
      <c r="AR270" s="873">
        <v>658</v>
      </c>
      <c r="AS270" s="873">
        <v>1274</v>
      </c>
      <c r="AT270" s="843">
        <v>5066</v>
      </c>
      <c r="AU270" s="663"/>
      <c r="AV270" s="663"/>
      <c r="AX270" s="666"/>
      <c r="AY270" s="666"/>
      <c r="AZ270" s="666"/>
      <c r="BA270" s="666"/>
      <c r="BB270" s="666"/>
      <c r="BD270" s="666"/>
      <c r="BE270" s="666"/>
      <c r="BG270" s="666"/>
      <c r="BI270" s="666"/>
      <c r="BJ270" s="666"/>
      <c r="BK270" s="666"/>
    </row>
    <row r="271" spans="1:63" ht="12.75" x14ac:dyDescent="0.2">
      <c r="A271" s="288">
        <v>264</v>
      </c>
      <c r="B271" s="290" t="s">
        <v>438</v>
      </c>
      <c r="C271" s="279" t="s">
        <v>439</v>
      </c>
      <c r="D271" s="955">
        <v>160071</v>
      </c>
      <c r="E271" s="843">
        <v>68021416</v>
      </c>
      <c r="F271" s="873">
        <v>32128151</v>
      </c>
      <c r="G271" s="873">
        <v>-2523280.6</v>
      </c>
      <c r="H271" s="873">
        <v>678456.14</v>
      </c>
      <c r="I271" s="873">
        <v>-1844824.5</v>
      </c>
      <c r="J271" s="873">
        <v>-2051270.4</v>
      </c>
      <c r="K271" s="873">
        <v>-60246.58</v>
      </c>
      <c r="L271" s="873">
        <v>-43930.05</v>
      </c>
      <c r="M271" s="873">
        <v>-19684.8</v>
      </c>
      <c r="N271" s="873">
        <v>-1040209.2</v>
      </c>
      <c r="O271" s="873">
        <v>-89592.51</v>
      </c>
      <c r="P271" s="873">
        <v>-11470.8</v>
      </c>
      <c r="Q271" s="873">
        <v>0</v>
      </c>
      <c r="R271" s="873">
        <v>-3229.14</v>
      </c>
      <c r="S271" s="873">
        <v>0</v>
      </c>
      <c r="T271" s="873">
        <v>0</v>
      </c>
      <c r="U271" s="873">
        <v>0</v>
      </c>
      <c r="V271" s="873">
        <v>0</v>
      </c>
      <c r="W271" s="873">
        <v>0</v>
      </c>
      <c r="X271" s="873">
        <v>0</v>
      </c>
      <c r="Y271" s="873">
        <v>-533856.85</v>
      </c>
      <c r="Z271" s="873">
        <v>26429836</v>
      </c>
      <c r="AA271" s="873">
        <v>-350000</v>
      </c>
      <c r="AB271" s="874"/>
      <c r="AC271" s="873">
        <v>302</v>
      </c>
      <c r="AD271" s="873">
        <v>16</v>
      </c>
      <c r="AE271" s="873">
        <v>35</v>
      </c>
      <c r="AF271" s="873">
        <v>1</v>
      </c>
      <c r="AG271" s="873">
        <v>363</v>
      </c>
      <c r="AH271" s="873">
        <v>145</v>
      </c>
      <c r="AI271" s="873">
        <v>6</v>
      </c>
      <c r="AJ271" s="873">
        <v>0</v>
      </c>
      <c r="AK271" s="873">
        <v>8</v>
      </c>
      <c r="AL271" s="873">
        <v>0</v>
      </c>
      <c r="AM271" s="873">
        <v>0</v>
      </c>
      <c r="AN271" s="873">
        <v>0</v>
      </c>
      <c r="AO271" s="873">
        <v>1383</v>
      </c>
      <c r="AP271" s="873">
        <v>1482</v>
      </c>
      <c r="AQ271" s="873">
        <v>1092</v>
      </c>
      <c r="AR271" s="873">
        <v>390</v>
      </c>
      <c r="AS271" s="873">
        <v>1095</v>
      </c>
      <c r="AT271" s="843">
        <v>4025</v>
      </c>
      <c r="AU271" s="663"/>
      <c r="AV271" s="663"/>
      <c r="AX271" s="666"/>
      <c r="AY271" s="666"/>
      <c r="AZ271" s="666"/>
      <c r="BA271" s="666"/>
      <c r="BB271" s="666"/>
      <c r="BD271" s="666"/>
      <c r="BE271" s="666"/>
      <c r="BG271" s="666"/>
      <c r="BI271" s="666"/>
      <c r="BJ271" s="666"/>
      <c r="BK271" s="666"/>
    </row>
    <row r="272" spans="1:63" ht="12.75" x14ac:dyDescent="0.2">
      <c r="A272" s="288">
        <v>265</v>
      </c>
      <c r="B272" s="290" t="s">
        <v>440</v>
      </c>
      <c r="C272" s="279" t="s">
        <v>441</v>
      </c>
      <c r="D272" s="955">
        <v>277015</v>
      </c>
      <c r="E272" s="843">
        <v>155066927</v>
      </c>
      <c r="F272" s="873">
        <v>76687900</v>
      </c>
      <c r="G272" s="873">
        <v>-3671226</v>
      </c>
      <c r="H272" s="873">
        <v>1829568</v>
      </c>
      <c r="I272" s="873">
        <v>-1841658</v>
      </c>
      <c r="J272" s="873">
        <v>-2277151</v>
      </c>
      <c r="K272" s="873">
        <v>-40525</v>
      </c>
      <c r="L272" s="873">
        <v>-78138</v>
      </c>
      <c r="M272" s="873">
        <v>0</v>
      </c>
      <c r="N272" s="873">
        <v>-969877</v>
      </c>
      <c r="O272" s="873">
        <v>-54824</v>
      </c>
      <c r="P272" s="873">
        <v>-308194</v>
      </c>
      <c r="Q272" s="873">
        <v>-606</v>
      </c>
      <c r="R272" s="873">
        <v>-18413</v>
      </c>
      <c r="S272" s="873">
        <v>-11641</v>
      </c>
      <c r="T272" s="873">
        <v>0</v>
      </c>
      <c r="U272" s="873">
        <v>0</v>
      </c>
      <c r="V272" s="873">
        <v>0</v>
      </c>
      <c r="W272" s="873">
        <v>0</v>
      </c>
      <c r="X272" s="873">
        <v>-2200</v>
      </c>
      <c r="Y272" s="873">
        <v>-773825</v>
      </c>
      <c r="Z272" s="873">
        <v>70310848</v>
      </c>
      <c r="AA272" s="873">
        <v>-4423478</v>
      </c>
      <c r="AB272" s="874"/>
      <c r="AC272" s="873">
        <v>352</v>
      </c>
      <c r="AD272" s="873">
        <v>22</v>
      </c>
      <c r="AE272" s="873">
        <v>55</v>
      </c>
      <c r="AF272" s="873">
        <v>0</v>
      </c>
      <c r="AG272" s="873">
        <v>634</v>
      </c>
      <c r="AH272" s="873">
        <v>130</v>
      </c>
      <c r="AI272" s="873">
        <v>29</v>
      </c>
      <c r="AJ272" s="873">
        <v>2</v>
      </c>
      <c r="AK272" s="873">
        <v>21</v>
      </c>
      <c r="AL272" s="873">
        <v>4</v>
      </c>
      <c r="AM272" s="873">
        <v>0</v>
      </c>
      <c r="AN272" s="873">
        <v>0</v>
      </c>
      <c r="AO272" s="873">
        <v>1730</v>
      </c>
      <c r="AP272" s="873">
        <v>3220</v>
      </c>
      <c r="AQ272" s="873">
        <v>2745</v>
      </c>
      <c r="AR272" s="873">
        <v>475</v>
      </c>
      <c r="AS272" s="873">
        <v>1742</v>
      </c>
      <c r="AT272" s="843">
        <v>6715</v>
      </c>
      <c r="AU272" s="663"/>
      <c r="AV272" s="663"/>
      <c r="AX272" s="666"/>
      <c r="AY272" s="666"/>
      <c r="AZ272" s="666"/>
      <c r="BA272" s="666"/>
      <c r="BB272" s="666"/>
      <c r="BD272" s="666"/>
      <c r="BE272" s="666"/>
      <c r="BG272" s="666"/>
      <c r="BI272" s="666"/>
      <c r="BJ272" s="666"/>
      <c r="BK272" s="666"/>
    </row>
    <row r="273" spans="1:63" ht="12.75" x14ac:dyDescent="0.2">
      <c r="A273" s="288">
        <v>266</v>
      </c>
      <c r="B273" s="290" t="s">
        <v>442</v>
      </c>
      <c r="C273" s="279" t="s">
        <v>443</v>
      </c>
      <c r="D273" s="955">
        <v>342824</v>
      </c>
      <c r="E273" s="843">
        <v>222140765</v>
      </c>
      <c r="F273" s="873">
        <v>104632272</v>
      </c>
      <c r="G273" s="873">
        <v>-4490440</v>
      </c>
      <c r="H273" s="873">
        <v>2562853</v>
      </c>
      <c r="I273" s="873">
        <v>-1927587</v>
      </c>
      <c r="J273" s="873">
        <v>-5457060</v>
      </c>
      <c r="K273" s="873">
        <v>-33879</v>
      </c>
      <c r="L273" s="873">
        <v>-1892</v>
      </c>
      <c r="M273" s="873">
        <v>-100000</v>
      </c>
      <c r="N273" s="873">
        <v>-2118853</v>
      </c>
      <c r="O273" s="873">
        <v>-60386</v>
      </c>
      <c r="P273" s="873">
        <v>-119265</v>
      </c>
      <c r="Q273" s="873">
        <v>-592</v>
      </c>
      <c r="R273" s="873">
        <v>0</v>
      </c>
      <c r="S273" s="873">
        <v>0</v>
      </c>
      <c r="T273" s="873">
        <v>-34510</v>
      </c>
      <c r="U273" s="873">
        <v>-34510</v>
      </c>
      <c r="V273" s="873">
        <v>0</v>
      </c>
      <c r="W273" s="873">
        <v>0</v>
      </c>
      <c r="X273" s="873">
        <v>-11864</v>
      </c>
      <c r="Y273" s="873">
        <v>-1141087</v>
      </c>
      <c r="Z273" s="873">
        <v>91861945</v>
      </c>
      <c r="AA273" s="873">
        <v>-1037000</v>
      </c>
      <c r="AB273" s="874"/>
      <c r="AC273" s="873">
        <v>304</v>
      </c>
      <c r="AD273" s="873">
        <v>5</v>
      </c>
      <c r="AE273" s="873">
        <v>2</v>
      </c>
      <c r="AF273" s="873">
        <v>1</v>
      </c>
      <c r="AG273" s="873">
        <v>795</v>
      </c>
      <c r="AH273" s="873">
        <v>84</v>
      </c>
      <c r="AI273" s="873">
        <v>25</v>
      </c>
      <c r="AJ273" s="873">
        <v>1</v>
      </c>
      <c r="AK273" s="873">
        <v>0</v>
      </c>
      <c r="AL273" s="873">
        <v>0</v>
      </c>
      <c r="AM273" s="873">
        <v>1</v>
      </c>
      <c r="AN273" s="873">
        <v>0</v>
      </c>
      <c r="AO273" s="873">
        <v>2887</v>
      </c>
      <c r="AP273" s="873">
        <v>2729</v>
      </c>
      <c r="AQ273" s="873">
        <v>2067</v>
      </c>
      <c r="AR273" s="873">
        <v>662</v>
      </c>
      <c r="AS273" s="873">
        <v>2298</v>
      </c>
      <c r="AT273" s="843">
        <v>8069</v>
      </c>
      <c r="AU273" s="663"/>
      <c r="AV273" s="663"/>
      <c r="AX273" s="666"/>
      <c r="AY273" s="666"/>
      <c r="AZ273" s="666"/>
      <c r="BA273" s="666"/>
      <c r="BB273" s="666"/>
      <c r="BD273" s="666"/>
      <c r="BE273" s="666"/>
      <c r="BG273" s="666"/>
      <c r="BI273" s="666"/>
      <c r="BJ273" s="666"/>
      <c r="BK273" s="666"/>
    </row>
    <row r="274" spans="1:63" ht="12.75" x14ac:dyDescent="0.2">
      <c r="A274" s="288">
        <v>267</v>
      </c>
      <c r="B274" s="290" t="s">
        <v>444</v>
      </c>
      <c r="C274" s="279" t="s">
        <v>445</v>
      </c>
      <c r="D274" s="955">
        <v>126119</v>
      </c>
      <c r="E274" s="843">
        <v>85667210</v>
      </c>
      <c r="F274" s="873">
        <v>40647197</v>
      </c>
      <c r="G274" s="873">
        <v>-1300000</v>
      </c>
      <c r="H274" s="873">
        <v>974182</v>
      </c>
      <c r="I274" s="873">
        <v>-325818</v>
      </c>
      <c r="J274" s="873">
        <v>-1367779</v>
      </c>
      <c r="K274" s="873">
        <v>-5768</v>
      </c>
      <c r="L274" s="873">
        <v>0</v>
      </c>
      <c r="M274" s="873">
        <v>-650000</v>
      </c>
      <c r="N274" s="873">
        <v>-1500000</v>
      </c>
      <c r="O274" s="873">
        <v>-80000</v>
      </c>
      <c r="P274" s="873">
        <v>-225000</v>
      </c>
      <c r="Q274" s="873">
        <v>-1500</v>
      </c>
      <c r="R274" s="873">
        <v>0</v>
      </c>
      <c r="S274" s="873">
        <v>0</v>
      </c>
      <c r="T274" s="873">
        <v>0</v>
      </c>
      <c r="U274" s="873">
        <v>0</v>
      </c>
      <c r="V274" s="873">
        <v>0</v>
      </c>
      <c r="W274" s="873">
        <v>-10000</v>
      </c>
      <c r="X274" s="873">
        <v>-1000</v>
      </c>
      <c r="Y274" s="873">
        <v>-434000</v>
      </c>
      <c r="Z274" s="873">
        <v>36046332</v>
      </c>
      <c r="AA274" s="873">
        <v>-1600000</v>
      </c>
      <c r="AB274" s="874"/>
      <c r="AC274" s="873">
        <v>95</v>
      </c>
      <c r="AD274" s="873">
        <v>4</v>
      </c>
      <c r="AE274" s="873">
        <v>0</v>
      </c>
      <c r="AF274" s="873">
        <v>1</v>
      </c>
      <c r="AG274" s="873">
        <v>259</v>
      </c>
      <c r="AH274" s="873">
        <v>60</v>
      </c>
      <c r="AI274" s="873">
        <v>30</v>
      </c>
      <c r="AJ274" s="873">
        <v>4</v>
      </c>
      <c r="AK274" s="873">
        <v>0</v>
      </c>
      <c r="AL274" s="873">
        <v>0</v>
      </c>
      <c r="AM274" s="873">
        <v>0</v>
      </c>
      <c r="AN274" s="873">
        <v>0</v>
      </c>
      <c r="AO274" s="873">
        <v>1058</v>
      </c>
      <c r="AP274" s="873">
        <v>706</v>
      </c>
      <c r="AQ274" s="873">
        <v>380</v>
      </c>
      <c r="AR274" s="873">
        <v>326</v>
      </c>
      <c r="AS274" s="873">
        <v>337</v>
      </c>
      <c r="AT274" s="843">
        <v>2575</v>
      </c>
      <c r="AU274" s="663"/>
      <c r="AV274" s="663"/>
      <c r="AX274" s="666"/>
      <c r="AY274" s="666"/>
      <c r="AZ274" s="666"/>
      <c r="BA274" s="666"/>
      <c r="BB274" s="666"/>
      <c r="BD274" s="666"/>
      <c r="BE274" s="666"/>
      <c r="BG274" s="666"/>
      <c r="BI274" s="666"/>
      <c r="BJ274" s="666"/>
      <c r="BK274" s="666"/>
    </row>
    <row r="275" spans="1:63" ht="12.75" x14ac:dyDescent="0.2">
      <c r="A275" s="288">
        <v>268</v>
      </c>
      <c r="B275" s="290" t="s">
        <v>446</v>
      </c>
      <c r="C275" s="279" t="s">
        <v>447</v>
      </c>
      <c r="D275" s="955">
        <v>200296</v>
      </c>
      <c r="E275" s="843">
        <v>125684730</v>
      </c>
      <c r="F275" s="873">
        <v>59561559</v>
      </c>
      <c r="G275" s="873">
        <v>-2686277</v>
      </c>
      <c r="H275" s="873">
        <v>1348894</v>
      </c>
      <c r="I275" s="873">
        <v>-1337383</v>
      </c>
      <c r="J275" s="873">
        <v>-4660733</v>
      </c>
      <c r="K275" s="873">
        <v>-19030</v>
      </c>
      <c r="L275" s="873">
        <v>0</v>
      </c>
      <c r="M275" s="873">
        <v>-25000</v>
      </c>
      <c r="N275" s="873">
        <v>-684807</v>
      </c>
      <c r="O275" s="873">
        <v>0</v>
      </c>
      <c r="P275" s="873">
        <v>-115089</v>
      </c>
      <c r="Q275" s="873">
        <v>0</v>
      </c>
      <c r="R275" s="873">
        <v>0</v>
      </c>
      <c r="S275" s="873">
        <v>0</v>
      </c>
      <c r="T275" s="873">
        <v>0</v>
      </c>
      <c r="U275" s="873">
        <v>0</v>
      </c>
      <c r="V275" s="873">
        <v>0</v>
      </c>
      <c r="W275" s="873">
        <v>-30000</v>
      </c>
      <c r="X275" s="873">
        <v>-5000</v>
      </c>
      <c r="Y275" s="873">
        <v>-722951</v>
      </c>
      <c r="Z275" s="873">
        <v>51886566</v>
      </c>
      <c r="AA275" s="873">
        <v>-345843</v>
      </c>
      <c r="AB275" s="874"/>
      <c r="AC275" s="873">
        <v>187</v>
      </c>
      <c r="AD275" s="873">
        <v>4</v>
      </c>
      <c r="AE275" s="873">
        <v>0</v>
      </c>
      <c r="AF275" s="873">
        <v>0</v>
      </c>
      <c r="AG275" s="873">
        <v>400</v>
      </c>
      <c r="AH275" s="873">
        <v>0</v>
      </c>
      <c r="AI275" s="873">
        <v>31</v>
      </c>
      <c r="AJ275" s="873">
        <v>0</v>
      </c>
      <c r="AK275" s="873">
        <v>0</v>
      </c>
      <c r="AL275" s="873">
        <v>0</v>
      </c>
      <c r="AM275" s="873">
        <v>0</v>
      </c>
      <c r="AN275" s="873">
        <v>1</v>
      </c>
      <c r="AO275" s="873">
        <v>1324</v>
      </c>
      <c r="AP275" s="873">
        <v>1293</v>
      </c>
      <c r="AQ275" s="873">
        <v>593</v>
      </c>
      <c r="AR275" s="873">
        <v>700</v>
      </c>
      <c r="AS275" s="873">
        <v>1548</v>
      </c>
      <c r="AT275" s="843">
        <v>4155</v>
      </c>
      <c r="AU275" s="663"/>
      <c r="AV275" s="663"/>
      <c r="AX275" s="666"/>
      <c r="AY275" s="666"/>
      <c r="AZ275" s="666"/>
      <c r="BA275" s="666"/>
      <c r="BB275" s="666"/>
      <c r="BD275" s="666"/>
      <c r="BE275" s="666"/>
      <c r="BG275" s="666"/>
      <c r="BI275" s="666"/>
      <c r="BJ275" s="666"/>
      <c r="BK275" s="666"/>
    </row>
    <row r="276" spans="1:63" ht="12.75" x14ac:dyDescent="0.2">
      <c r="A276" s="288">
        <v>269</v>
      </c>
      <c r="B276" s="290" t="s">
        <v>448</v>
      </c>
      <c r="C276" s="279" t="s">
        <v>449</v>
      </c>
      <c r="D276" s="955">
        <v>183983</v>
      </c>
      <c r="E276" s="843">
        <v>112608494</v>
      </c>
      <c r="F276" s="873">
        <v>54160996</v>
      </c>
      <c r="G276" s="873">
        <v>-3204100</v>
      </c>
      <c r="H276" s="873">
        <v>1238513</v>
      </c>
      <c r="I276" s="873">
        <v>-1965587</v>
      </c>
      <c r="J276" s="873">
        <v>-2777321</v>
      </c>
      <c r="K276" s="873">
        <v>-91964</v>
      </c>
      <c r="L276" s="873">
        <v>-35132</v>
      </c>
      <c r="M276" s="873">
        <v>-5000</v>
      </c>
      <c r="N276" s="873">
        <v>-1204818</v>
      </c>
      <c r="O276" s="873">
        <v>-243871</v>
      </c>
      <c r="P276" s="873">
        <v>-136858</v>
      </c>
      <c r="Q276" s="873">
        <v>-22991</v>
      </c>
      <c r="R276" s="873">
        <v>-35132</v>
      </c>
      <c r="S276" s="873">
        <v>-9420</v>
      </c>
      <c r="T276" s="873">
        <v>0</v>
      </c>
      <c r="U276" s="873">
        <v>0</v>
      </c>
      <c r="V276" s="873">
        <v>0</v>
      </c>
      <c r="W276" s="873">
        <v>-45356</v>
      </c>
      <c r="X276" s="873">
        <v>0</v>
      </c>
      <c r="Y276" s="873">
        <v>-636711</v>
      </c>
      <c r="Z276" s="873">
        <v>46353327</v>
      </c>
      <c r="AA276" s="873">
        <v>-1374648</v>
      </c>
      <c r="AB276" s="874"/>
      <c r="AC276" s="873">
        <v>224</v>
      </c>
      <c r="AD276" s="873">
        <v>22</v>
      </c>
      <c r="AE276" s="873">
        <v>23</v>
      </c>
      <c r="AF276" s="873">
        <v>0</v>
      </c>
      <c r="AG276" s="873">
        <v>314</v>
      </c>
      <c r="AH276" s="873">
        <v>142</v>
      </c>
      <c r="AI276" s="873">
        <v>27</v>
      </c>
      <c r="AJ276" s="873">
        <v>22</v>
      </c>
      <c r="AK276" s="873">
        <v>23</v>
      </c>
      <c r="AL276" s="873">
        <v>2</v>
      </c>
      <c r="AM276" s="873">
        <v>0</v>
      </c>
      <c r="AN276" s="873">
        <v>0</v>
      </c>
      <c r="AO276" s="873">
        <v>1534</v>
      </c>
      <c r="AP276" s="873">
        <v>1737</v>
      </c>
      <c r="AQ276" s="873">
        <v>1173</v>
      </c>
      <c r="AR276" s="873">
        <v>564</v>
      </c>
      <c r="AS276" s="873">
        <v>990</v>
      </c>
      <c r="AT276" s="843">
        <v>4358</v>
      </c>
      <c r="AU276" s="663"/>
      <c r="AV276" s="663"/>
      <c r="AX276" s="666"/>
      <c r="AY276" s="666"/>
      <c r="AZ276" s="666"/>
      <c r="BA276" s="666"/>
      <c r="BB276" s="666"/>
      <c r="BD276" s="666"/>
      <c r="BE276" s="666"/>
      <c r="BG276" s="666"/>
      <c r="BI276" s="666"/>
      <c r="BJ276" s="666"/>
      <c r="BK276" s="666"/>
    </row>
    <row r="277" spans="1:63" ht="12.75" x14ac:dyDescent="0.2">
      <c r="A277" s="288">
        <v>270</v>
      </c>
      <c r="B277" s="290" t="s">
        <v>450</v>
      </c>
      <c r="C277" s="279" t="s">
        <v>451</v>
      </c>
      <c r="D277" s="955">
        <v>276655</v>
      </c>
      <c r="E277" s="843">
        <v>260977770</v>
      </c>
      <c r="F277" s="873">
        <v>123969790</v>
      </c>
      <c r="G277" s="873">
        <v>-2691463</v>
      </c>
      <c r="H277" s="873">
        <v>3092687</v>
      </c>
      <c r="I277" s="873">
        <v>401224</v>
      </c>
      <c r="J277" s="873">
        <v>-5996491</v>
      </c>
      <c r="K277" s="873">
        <v>-73654</v>
      </c>
      <c r="L277" s="873">
        <v>-7629</v>
      </c>
      <c r="M277" s="873">
        <v>-884264</v>
      </c>
      <c r="N277" s="873">
        <v>-2347146</v>
      </c>
      <c r="O277" s="873">
        <v>-203990</v>
      </c>
      <c r="P277" s="873">
        <v>-78079</v>
      </c>
      <c r="Q277" s="873">
        <v>-18414</v>
      </c>
      <c r="R277" s="873">
        <v>-7629</v>
      </c>
      <c r="S277" s="873">
        <v>0</v>
      </c>
      <c r="T277" s="873">
        <v>0</v>
      </c>
      <c r="U277" s="873">
        <v>0</v>
      </c>
      <c r="V277" s="873">
        <v>0</v>
      </c>
      <c r="W277" s="873">
        <v>0</v>
      </c>
      <c r="X277" s="873">
        <v>0</v>
      </c>
      <c r="Y277" s="873">
        <v>-664159</v>
      </c>
      <c r="Z277" s="873">
        <v>111557541</v>
      </c>
      <c r="AA277" s="873">
        <v>-3259012</v>
      </c>
      <c r="AB277" s="874"/>
      <c r="AC277" s="873">
        <v>288</v>
      </c>
      <c r="AD277" s="873">
        <v>3</v>
      </c>
      <c r="AE277" s="873">
        <v>5</v>
      </c>
      <c r="AF277" s="873">
        <v>17</v>
      </c>
      <c r="AG277" s="873">
        <v>643</v>
      </c>
      <c r="AH277" s="873">
        <v>155</v>
      </c>
      <c r="AI277" s="873">
        <v>16</v>
      </c>
      <c r="AJ277" s="873">
        <v>3</v>
      </c>
      <c r="AK277" s="873">
        <v>5</v>
      </c>
      <c r="AL277" s="873">
        <v>0</v>
      </c>
      <c r="AM277" s="873">
        <v>0</v>
      </c>
      <c r="AN277" s="873">
        <v>0</v>
      </c>
      <c r="AO277" s="873">
        <v>2468</v>
      </c>
      <c r="AP277" s="873">
        <v>1472</v>
      </c>
      <c r="AQ277" s="873">
        <v>936</v>
      </c>
      <c r="AR277" s="873">
        <v>536</v>
      </c>
      <c r="AS277" s="873">
        <v>1428</v>
      </c>
      <c r="AT277" s="843">
        <v>5536</v>
      </c>
      <c r="AU277" s="663"/>
      <c r="AV277" s="663"/>
      <c r="AX277" s="666"/>
      <c r="AY277" s="666"/>
      <c r="AZ277" s="666"/>
      <c r="BA277" s="666"/>
      <c r="BB277" s="666"/>
      <c r="BD277" s="666"/>
      <c r="BE277" s="666"/>
      <c r="BG277" s="666"/>
      <c r="BI277" s="666"/>
      <c r="BJ277" s="666"/>
      <c r="BK277" s="666"/>
    </row>
    <row r="278" spans="1:63" ht="12.75" x14ac:dyDescent="0.2">
      <c r="A278" s="288">
        <v>271</v>
      </c>
      <c r="B278" s="290" t="s">
        <v>452</v>
      </c>
      <c r="C278" s="279" t="s">
        <v>453</v>
      </c>
      <c r="D278" s="955">
        <v>300706</v>
      </c>
      <c r="E278" s="843">
        <v>150183839</v>
      </c>
      <c r="F278" s="873">
        <v>71700952</v>
      </c>
      <c r="G278" s="873">
        <v>-5894908</v>
      </c>
      <c r="H278" s="873">
        <v>1604732</v>
      </c>
      <c r="I278" s="873">
        <v>-4290176</v>
      </c>
      <c r="J278" s="873">
        <v>-3092163</v>
      </c>
      <c r="K278" s="873">
        <v>-132104</v>
      </c>
      <c r="L278" s="873">
        <v>0</v>
      </c>
      <c r="M278" s="873">
        <v>-661</v>
      </c>
      <c r="N278" s="873">
        <v>-2174359</v>
      </c>
      <c r="O278" s="873">
        <v>-26458</v>
      </c>
      <c r="P278" s="873">
        <v>-36354</v>
      </c>
      <c r="Q278" s="873">
        <v>-2592</v>
      </c>
      <c r="R278" s="873">
        <v>0</v>
      </c>
      <c r="S278" s="873">
        <v>0</v>
      </c>
      <c r="T278" s="873">
        <v>0</v>
      </c>
      <c r="U278" s="873">
        <v>0</v>
      </c>
      <c r="V278" s="873">
        <v>0</v>
      </c>
      <c r="W278" s="873">
        <v>0</v>
      </c>
      <c r="X278" s="873">
        <v>-46835</v>
      </c>
      <c r="Y278" s="873">
        <v>-905754</v>
      </c>
      <c r="Z278" s="873">
        <v>60804184</v>
      </c>
      <c r="AA278" s="873">
        <v>-950925</v>
      </c>
      <c r="AB278" s="874"/>
      <c r="AC278" s="873">
        <v>221</v>
      </c>
      <c r="AD278" s="873">
        <v>19</v>
      </c>
      <c r="AE278" s="873">
        <v>0</v>
      </c>
      <c r="AF278" s="873">
        <v>0</v>
      </c>
      <c r="AG278" s="873">
        <v>1374</v>
      </c>
      <c r="AH278" s="873">
        <v>55</v>
      </c>
      <c r="AI278" s="873">
        <v>14</v>
      </c>
      <c r="AJ278" s="873">
        <v>12</v>
      </c>
      <c r="AK278" s="873">
        <v>0</v>
      </c>
      <c r="AL278" s="873">
        <v>0</v>
      </c>
      <c r="AM278" s="873">
        <v>0</v>
      </c>
      <c r="AN278" s="873">
        <v>0</v>
      </c>
      <c r="AO278" s="873">
        <v>2565</v>
      </c>
      <c r="AP278" s="873">
        <v>3248</v>
      </c>
      <c r="AQ278" s="873">
        <v>2375</v>
      </c>
      <c r="AR278" s="873">
        <v>873</v>
      </c>
      <c r="AS278" s="873">
        <v>1501</v>
      </c>
      <c r="AT278" s="843">
        <v>7366</v>
      </c>
      <c r="AU278" s="663"/>
      <c r="AV278" s="663"/>
      <c r="AX278" s="666"/>
      <c r="AY278" s="666"/>
      <c r="AZ278" s="666"/>
      <c r="BA278" s="666"/>
      <c r="BB278" s="666"/>
      <c r="BD278" s="666"/>
      <c r="BE278" s="666"/>
      <c r="BG278" s="666"/>
      <c r="BI278" s="666"/>
      <c r="BJ278" s="666"/>
      <c r="BK278" s="666"/>
    </row>
    <row r="279" spans="1:63" ht="12.75" x14ac:dyDescent="0.2">
      <c r="A279" s="288">
        <v>272</v>
      </c>
      <c r="B279" s="290" t="s">
        <v>454</v>
      </c>
      <c r="C279" s="279" t="s">
        <v>455</v>
      </c>
      <c r="D279" s="955">
        <v>91702</v>
      </c>
      <c r="E279" s="843">
        <v>79153311</v>
      </c>
      <c r="F279" s="873">
        <v>37909424</v>
      </c>
      <c r="G279" s="873">
        <v>-1167217</v>
      </c>
      <c r="H279" s="873">
        <v>924676</v>
      </c>
      <c r="I279" s="873">
        <v>-242541</v>
      </c>
      <c r="J279" s="873">
        <v>-1169189</v>
      </c>
      <c r="K279" s="873">
        <v>-28771</v>
      </c>
      <c r="L279" s="873">
        <v>0</v>
      </c>
      <c r="M279" s="873">
        <v>-142500</v>
      </c>
      <c r="N279" s="873">
        <v>-1065480</v>
      </c>
      <c r="O279" s="873">
        <v>-12131</v>
      </c>
      <c r="P279" s="873">
        <v>-2040</v>
      </c>
      <c r="Q279" s="873">
        <v>-2416</v>
      </c>
      <c r="R279" s="873">
        <v>0</v>
      </c>
      <c r="S279" s="873">
        <v>0</v>
      </c>
      <c r="T279" s="873">
        <v>0</v>
      </c>
      <c r="U279" s="873">
        <v>0</v>
      </c>
      <c r="V279" s="873">
        <v>0</v>
      </c>
      <c r="W279" s="873">
        <v>0</v>
      </c>
      <c r="X279" s="873">
        <v>-70000</v>
      </c>
      <c r="Y279" s="873">
        <v>-201702</v>
      </c>
      <c r="Z279" s="873">
        <v>33653654</v>
      </c>
      <c r="AA279" s="873">
        <v>-340000</v>
      </c>
      <c r="AB279" s="874"/>
      <c r="AC279" s="873">
        <v>77</v>
      </c>
      <c r="AD279" s="873">
        <v>4</v>
      </c>
      <c r="AE279" s="873">
        <v>0</v>
      </c>
      <c r="AF279" s="873">
        <v>1</v>
      </c>
      <c r="AG279" s="873">
        <v>90</v>
      </c>
      <c r="AH279" s="873">
        <v>25</v>
      </c>
      <c r="AI279" s="873">
        <v>1</v>
      </c>
      <c r="AJ279" s="873">
        <v>3</v>
      </c>
      <c r="AK279" s="873">
        <v>0</v>
      </c>
      <c r="AL279" s="873">
        <v>0</v>
      </c>
      <c r="AM279" s="873">
        <v>0</v>
      </c>
      <c r="AN279" s="873">
        <v>0</v>
      </c>
      <c r="AO279" s="873">
        <v>836</v>
      </c>
      <c r="AP279" s="873">
        <v>567</v>
      </c>
      <c r="AQ279" s="873">
        <v>311</v>
      </c>
      <c r="AR279" s="873">
        <v>256</v>
      </c>
      <c r="AS279" s="873">
        <v>533</v>
      </c>
      <c r="AT279" s="843">
        <v>1965</v>
      </c>
      <c r="AU279" s="663"/>
      <c r="AV279" s="663"/>
      <c r="AX279" s="666"/>
      <c r="AY279" s="666"/>
      <c r="AZ279" s="666"/>
      <c r="BA279" s="666"/>
      <c r="BB279" s="666"/>
      <c r="BD279" s="666"/>
      <c r="BE279" s="666"/>
      <c r="BG279" s="666"/>
      <c r="BI279" s="666"/>
      <c r="BJ279" s="666"/>
      <c r="BK279" s="666"/>
    </row>
    <row r="280" spans="1:63" ht="12.75" x14ac:dyDescent="0.2">
      <c r="A280" s="288">
        <v>273</v>
      </c>
      <c r="B280" s="290" t="s">
        <v>456</v>
      </c>
      <c r="C280" s="279" t="s">
        <v>457</v>
      </c>
      <c r="D280" s="955">
        <v>125449</v>
      </c>
      <c r="E280" s="843">
        <v>53509016</v>
      </c>
      <c r="F280" s="873">
        <v>26038676</v>
      </c>
      <c r="G280" s="873">
        <v>-2004134</v>
      </c>
      <c r="H280" s="873">
        <v>465639</v>
      </c>
      <c r="I280" s="873">
        <v>-1538495</v>
      </c>
      <c r="J280" s="873">
        <v>-2718978</v>
      </c>
      <c r="K280" s="873">
        <v>-31602</v>
      </c>
      <c r="L280" s="873">
        <v>-14701</v>
      </c>
      <c r="M280" s="873">
        <v>0</v>
      </c>
      <c r="N280" s="873">
        <v>-605690</v>
      </c>
      <c r="O280" s="873">
        <v>-52854</v>
      </c>
      <c r="P280" s="873">
        <v>-13512</v>
      </c>
      <c r="Q280" s="873">
        <v>-37</v>
      </c>
      <c r="R280" s="873">
        <v>-14701</v>
      </c>
      <c r="S280" s="873">
        <v>-5284</v>
      </c>
      <c r="T280" s="873">
        <v>0</v>
      </c>
      <c r="U280" s="873">
        <v>0</v>
      </c>
      <c r="V280" s="873">
        <v>0</v>
      </c>
      <c r="W280" s="873">
        <v>0</v>
      </c>
      <c r="X280" s="873">
        <v>0</v>
      </c>
      <c r="Y280" s="873">
        <v>-365263</v>
      </c>
      <c r="Z280" s="873">
        <v>20707559</v>
      </c>
      <c r="AA280" s="873">
        <v>-387959</v>
      </c>
      <c r="AB280" s="874"/>
      <c r="AC280" s="873">
        <v>111</v>
      </c>
      <c r="AD280" s="873">
        <v>13</v>
      </c>
      <c r="AE280" s="873">
        <v>12</v>
      </c>
      <c r="AF280" s="873">
        <v>0</v>
      </c>
      <c r="AG280" s="873">
        <v>54</v>
      </c>
      <c r="AH280" s="873">
        <v>37</v>
      </c>
      <c r="AI280" s="873">
        <v>9</v>
      </c>
      <c r="AJ280" s="873">
        <v>2</v>
      </c>
      <c r="AK280" s="873">
        <v>12</v>
      </c>
      <c r="AL280" s="873">
        <v>1</v>
      </c>
      <c r="AM280" s="873">
        <v>0</v>
      </c>
      <c r="AN280" s="873">
        <v>0</v>
      </c>
      <c r="AO280" s="873">
        <v>936</v>
      </c>
      <c r="AP280" s="873">
        <v>1051</v>
      </c>
      <c r="AQ280" s="873">
        <v>678</v>
      </c>
      <c r="AR280" s="873">
        <v>373</v>
      </c>
      <c r="AS280" s="873">
        <v>899</v>
      </c>
      <c r="AT280" s="843">
        <v>2872</v>
      </c>
      <c r="AU280" s="663"/>
      <c r="AV280" s="663"/>
      <c r="AX280" s="666"/>
      <c r="AY280" s="666"/>
      <c r="AZ280" s="666"/>
      <c r="BA280" s="666"/>
      <c r="BB280" s="666"/>
      <c r="BD280" s="666"/>
      <c r="BE280" s="666"/>
      <c r="BG280" s="666"/>
      <c r="BI280" s="666"/>
      <c r="BJ280" s="666"/>
      <c r="BK280" s="666"/>
    </row>
    <row r="281" spans="1:63" ht="12.75" x14ac:dyDescent="0.2">
      <c r="A281" s="288">
        <v>274</v>
      </c>
      <c r="B281" s="290" t="s">
        <v>458</v>
      </c>
      <c r="C281" s="279" t="s">
        <v>459</v>
      </c>
      <c r="D281" s="955">
        <v>165399</v>
      </c>
      <c r="E281" s="843">
        <v>102475269</v>
      </c>
      <c r="F281" s="873">
        <v>47883377</v>
      </c>
      <c r="G281" s="873">
        <v>-2416904</v>
      </c>
      <c r="H281" s="873">
        <v>1124614</v>
      </c>
      <c r="I281" s="873">
        <v>-1292290</v>
      </c>
      <c r="J281" s="873">
        <v>-3633436</v>
      </c>
      <c r="K281" s="873">
        <v>-48689</v>
      </c>
      <c r="L281" s="873">
        <v>-26659</v>
      </c>
      <c r="M281" s="873">
        <v>-5000</v>
      </c>
      <c r="N281" s="873">
        <v>-891894</v>
      </c>
      <c r="O281" s="873">
        <v>-132585</v>
      </c>
      <c r="P281" s="873">
        <v>-56980</v>
      </c>
      <c r="Q281" s="873">
        <v>-2391</v>
      </c>
      <c r="R281" s="873">
        <v>-14228</v>
      </c>
      <c r="S281" s="873">
        <v>-6960</v>
      </c>
      <c r="T281" s="873">
        <v>0</v>
      </c>
      <c r="U281" s="873">
        <v>0</v>
      </c>
      <c r="V281" s="873">
        <v>0</v>
      </c>
      <c r="W281" s="873">
        <v>-14371</v>
      </c>
      <c r="X281" s="873">
        <v>-17722</v>
      </c>
      <c r="Y281" s="873">
        <v>-399482</v>
      </c>
      <c r="Z281" s="873">
        <v>41025190</v>
      </c>
      <c r="AA281" s="873">
        <v>-683000</v>
      </c>
      <c r="AB281" s="874"/>
      <c r="AC281" s="873">
        <v>254</v>
      </c>
      <c r="AD281" s="873">
        <v>13</v>
      </c>
      <c r="AE281" s="873">
        <v>22</v>
      </c>
      <c r="AF281" s="873">
        <v>0</v>
      </c>
      <c r="AG281" s="873">
        <v>240</v>
      </c>
      <c r="AH281" s="873">
        <v>98</v>
      </c>
      <c r="AI281" s="873">
        <v>15</v>
      </c>
      <c r="AJ281" s="873">
        <v>1</v>
      </c>
      <c r="AK281" s="873">
        <v>13</v>
      </c>
      <c r="AL281" s="873">
        <v>2</v>
      </c>
      <c r="AM281" s="873">
        <v>0</v>
      </c>
      <c r="AN281" s="873">
        <v>0</v>
      </c>
      <c r="AO281" s="873">
        <v>1473</v>
      </c>
      <c r="AP281" s="873">
        <v>1747</v>
      </c>
      <c r="AQ281" s="873">
        <v>1317</v>
      </c>
      <c r="AR281" s="873">
        <v>430</v>
      </c>
      <c r="AS281" s="873">
        <v>1181</v>
      </c>
      <c r="AT281" s="843">
        <v>3939</v>
      </c>
      <c r="AU281" s="663"/>
      <c r="AV281" s="663"/>
      <c r="AX281" s="666"/>
      <c r="AY281" s="666"/>
      <c r="AZ281" s="666"/>
      <c r="BA281" s="666"/>
      <c r="BB281" s="666"/>
      <c r="BD281" s="666"/>
      <c r="BE281" s="666"/>
      <c r="BG281" s="666"/>
      <c r="BI281" s="666"/>
      <c r="BJ281" s="666"/>
      <c r="BK281" s="666"/>
    </row>
    <row r="282" spans="1:63" ht="12.75" x14ac:dyDescent="0.2">
      <c r="A282" s="288">
        <v>275</v>
      </c>
      <c r="B282" s="290" t="s">
        <v>460</v>
      </c>
      <c r="C282" s="279" t="s">
        <v>461</v>
      </c>
      <c r="D282" s="955">
        <v>191736</v>
      </c>
      <c r="E282" s="843">
        <v>82590314</v>
      </c>
      <c r="F282" s="873">
        <v>39519056</v>
      </c>
      <c r="G282" s="873">
        <v>-3749867</v>
      </c>
      <c r="H282" s="873">
        <v>810351</v>
      </c>
      <c r="I282" s="873">
        <v>-2939516</v>
      </c>
      <c r="J282" s="873">
        <v>-2213477</v>
      </c>
      <c r="K282" s="873">
        <v>-75906</v>
      </c>
      <c r="L282" s="873">
        <v>-50243</v>
      </c>
      <c r="M282" s="873">
        <v>0</v>
      </c>
      <c r="N282" s="873">
        <v>-622102</v>
      </c>
      <c r="O282" s="873">
        <v>-86896</v>
      </c>
      <c r="P282" s="873">
        <v>-40009</v>
      </c>
      <c r="Q282" s="873">
        <v>-6668</v>
      </c>
      <c r="R282" s="873">
        <v>-20407</v>
      </c>
      <c r="S282" s="873">
        <v>-2004</v>
      </c>
      <c r="T282" s="873">
        <v>0</v>
      </c>
      <c r="U282" s="873">
        <v>0</v>
      </c>
      <c r="V282" s="873">
        <v>0</v>
      </c>
      <c r="W282" s="873">
        <v>0</v>
      </c>
      <c r="X282" s="873">
        <v>-10000</v>
      </c>
      <c r="Y282" s="873">
        <v>-571934</v>
      </c>
      <c r="Z282" s="873">
        <v>32879894</v>
      </c>
      <c r="AA282" s="873">
        <v>-135788</v>
      </c>
      <c r="AB282" s="874"/>
      <c r="AC282" s="873">
        <v>307</v>
      </c>
      <c r="AD282" s="873">
        <v>21</v>
      </c>
      <c r="AE282" s="873">
        <v>34</v>
      </c>
      <c r="AF282" s="873">
        <v>0</v>
      </c>
      <c r="AG282" s="873">
        <v>272</v>
      </c>
      <c r="AH282" s="873">
        <v>155</v>
      </c>
      <c r="AI282" s="873">
        <v>15</v>
      </c>
      <c r="AJ282" s="873">
        <v>14</v>
      </c>
      <c r="AK282" s="873">
        <v>20</v>
      </c>
      <c r="AL282" s="873">
        <v>1</v>
      </c>
      <c r="AM282" s="873">
        <v>0</v>
      </c>
      <c r="AN282" s="873">
        <v>8</v>
      </c>
      <c r="AO282" s="873">
        <v>1434</v>
      </c>
      <c r="AP282" s="873">
        <v>2243</v>
      </c>
      <c r="AQ282" s="873">
        <v>1634</v>
      </c>
      <c r="AR282" s="873">
        <v>609</v>
      </c>
      <c r="AS282" s="873">
        <v>1212</v>
      </c>
      <c r="AT282" s="843">
        <v>4921</v>
      </c>
      <c r="AU282" s="663"/>
      <c r="AV282" s="663"/>
      <c r="AX282" s="666"/>
      <c r="AY282" s="666"/>
      <c r="AZ282" s="666"/>
      <c r="BA282" s="666"/>
      <c r="BB282" s="666"/>
      <c r="BD282" s="666"/>
      <c r="BE282" s="666"/>
      <c r="BG282" s="666"/>
      <c r="BI282" s="666"/>
      <c r="BJ282" s="666"/>
      <c r="BK282" s="666"/>
    </row>
    <row r="283" spans="1:63" ht="12.75" x14ac:dyDescent="0.2">
      <c r="A283" s="288">
        <v>276</v>
      </c>
      <c r="B283" s="290" t="s">
        <v>462</v>
      </c>
      <c r="C283" s="279" t="s">
        <v>463</v>
      </c>
      <c r="D283" s="955">
        <v>217929</v>
      </c>
      <c r="E283" s="843">
        <v>174207748</v>
      </c>
      <c r="F283" s="873">
        <v>82771256</v>
      </c>
      <c r="G283" s="873">
        <v>-2694203</v>
      </c>
      <c r="H283" s="873">
        <v>2000503</v>
      </c>
      <c r="I283" s="873">
        <v>-693700</v>
      </c>
      <c r="J283" s="873">
        <v>-4427388</v>
      </c>
      <c r="K283" s="873">
        <v>-37291</v>
      </c>
      <c r="L283" s="873">
        <v>-8582</v>
      </c>
      <c r="M283" s="873">
        <v>-222893</v>
      </c>
      <c r="N283" s="873">
        <v>-2056008</v>
      </c>
      <c r="O283" s="873">
        <v>-237087</v>
      </c>
      <c r="P283" s="873">
        <v>-42520</v>
      </c>
      <c r="Q283" s="873">
        <v>-3372</v>
      </c>
      <c r="R283" s="873">
        <v>-8582</v>
      </c>
      <c r="S283" s="873">
        <v>0</v>
      </c>
      <c r="T283" s="873">
        <v>-500000</v>
      </c>
      <c r="U283" s="873">
        <v>0</v>
      </c>
      <c r="V283" s="873">
        <v>0</v>
      </c>
      <c r="W283" s="873">
        <v>-53860</v>
      </c>
      <c r="X283" s="873">
        <v>0</v>
      </c>
      <c r="Y283" s="873">
        <v>-382725</v>
      </c>
      <c r="Z283" s="873">
        <v>73097248</v>
      </c>
      <c r="AA283" s="873">
        <v>-2882940</v>
      </c>
      <c r="AB283" s="874"/>
      <c r="AC283" s="873">
        <v>258</v>
      </c>
      <c r="AD283" s="873">
        <v>12</v>
      </c>
      <c r="AE283" s="873">
        <v>2</v>
      </c>
      <c r="AF283" s="873">
        <v>10</v>
      </c>
      <c r="AG283" s="873">
        <v>427</v>
      </c>
      <c r="AH283" s="873">
        <v>137</v>
      </c>
      <c r="AI283" s="873">
        <v>10</v>
      </c>
      <c r="AJ283" s="873">
        <v>2</v>
      </c>
      <c r="AK283" s="873">
        <v>9</v>
      </c>
      <c r="AL283" s="873">
        <v>0</v>
      </c>
      <c r="AM283" s="873">
        <v>0</v>
      </c>
      <c r="AN283" s="873">
        <v>2</v>
      </c>
      <c r="AO283" s="873">
        <v>2701</v>
      </c>
      <c r="AP283" s="873">
        <v>1485</v>
      </c>
      <c r="AQ283" s="873">
        <v>1039</v>
      </c>
      <c r="AR283" s="873">
        <v>446</v>
      </c>
      <c r="AS283" s="873">
        <v>540</v>
      </c>
      <c r="AT283" s="843">
        <v>4806</v>
      </c>
      <c r="AU283" s="663"/>
      <c r="AV283" s="663"/>
      <c r="AX283" s="666"/>
      <c r="AY283" s="666"/>
      <c r="AZ283" s="666"/>
      <c r="BA283" s="666"/>
      <c r="BB283" s="666"/>
      <c r="BD283" s="666"/>
      <c r="BE283" s="666"/>
      <c r="BG283" s="666"/>
      <c r="BI283" s="666"/>
      <c r="BJ283" s="666"/>
      <c r="BK283" s="666"/>
    </row>
    <row r="284" spans="1:63" ht="12.75" x14ac:dyDescent="0.2">
      <c r="A284" s="288">
        <v>277</v>
      </c>
      <c r="B284" s="290" t="s">
        <v>464</v>
      </c>
      <c r="C284" s="279" t="s">
        <v>465</v>
      </c>
      <c r="D284" s="955">
        <v>295093</v>
      </c>
      <c r="E284" s="843">
        <v>71347015</v>
      </c>
      <c r="F284" s="873">
        <v>33652717</v>
      </c>
      <c r="G284" s="873">
        <v>-4397824</v>
      </c>
      <c r="H284" s="873">
        <v>627329</v>
      </c>
      <c r="I284" s="873">
        <v>-3770495</v>
      </c>
      <c r="J284" s="873">
        <v>-2135037</v>
      </c>
      <c r="K284" s="873">
        <v>-124551</v>
      </c>
      <c r="L284" s="873">
        <v>-47618</v>
      </c>
      <c r="M284" s="873">
        <v>0</v>
      </c>
      <c r="N284" s="873">
        <v>-437479</v>
      </c>
      <c r="O284" s="873">
        <v>-30946</v>
      </c>
      <c r="P284" s="873">
        <v>-2013</v>
      </c>
      <c r="Q284" s="873">
        <v>0</v>
      </c>
      <c r="R284" s="873">
        <v>-47618</v>
      </c>
      <c r="S284" s="873">
        <v>0</v>
      </c>
      <c r="T284" s="873">
        <v>0</v>
      </c>
      <c r="U284" s="873">
        <v>0</v>
      </c>
      <c r="V284" s="873">
        <v>0</v>
      </c>
      <c r="W284" s="873">
        <v>0</v>
      </c>
      <c r="X284" s="873">
        <v>0</v>
      </c>
      <c r="Y284" s="873">
        <v>-548209</v>
      </c>
      <c r="Z284" s="873">
        <v>26508751</v>
      </c>
      <c r="AA284" s="873">
        <v>-530000</v>
      </c>
      <c r="AB284" s="874"/>
      <c r="AC284" s="873">
        <v>260</v>
      </c>
      <c r="AD284" s="873">
        <v>30</v>
      </c>
      <c r="AE284" s="873">
        <v>34</v>
      </c>
      <c r="AF284" s="873">
        <v>0</v>
      </c>
      <c r="AG284" s="873">
        <v>332</v>
      </c>
      <c r="AH284" s="873">
        <v>46</v>
      </c>
      <c r="AI284" s="873">
        <v>0</v>
      </c>
      <c r="AJ284" s="873">
        <v>0</v>
      </c>
      <c r="AK284" s="873">
        <v>34</v>
      </c>
      <c r="AL284" s="873">
        <v>0</v>
      </c>
      <c r="AM284" s="873">
        <v>0</v>
      </c>
      <c r="AN284" s="873">
        <v>0</v>
      </c>
      <c r="AO284" s="873">
        <v>1263</v>
      </c>
      <c r="AP284" s="873">
        <v>5066</v>
      </c>
      <c r="AQ284" s="873">
        <v>4502</v>
      </c>
      <c r="AR284" s="873">
        <v>564</v>
      </c>
      <c r="AS284" s="873">
        <v>1643</v>
      </c>
      <c r="AT284" s="843">
        <v>8007</v>
      </c>
      <c r="AU284" s="663"/>
      <c r="AV284" s="663"/>
      <c r="AX284" s="666"/>
      <c r="AY284" s="666"/>
      <c r="AZ284" s="666"/>
      <c r="BA284" s="666"/>
      <c r="BB284" s="666"/>
      <c r="BD284" s="666"/>
      <c r="BE284" s="666"/>
      <c r="BG284" s="666"/>
      <c r="BI284" s="666"/>
      <c r="BJ284" s="666"/>
      <c r="BK284" s="666"/>
    </row>
    <row r="285" spans="1:63" ht="12.75" x14ac:dyDescent="0.2">
      <c r="A285" s="288">
        <v>278</v>
      </c>
      <c r="B285" s="290" t="s">
        <v>466</v>
      </c>
      <c r="C285" s="279" t="s">
        <v>467</v>
      </c>
      <c r="D285" s="955">
        <v>188777</v>
      </c>
      <c r="E285" s="843">
        <v>117643394</v>
      </c>
      <c r="F285" s="873">
        <v>56408281</v>
      </c>
      <c r="G285" s="873">
        <v>-2496168</v>
      </c>
      <c r="H285" s="873">
        <v>1312044</v>
      </c>
      <c r="I285" s="873">
        <v>-1184124</v>
      </c>
      <c r="J285" s="873">
        <v>-2688826</v>
      </c>
      <c r="K285" s="873">
        <v>-77592</v>
      </c>
      <c r="L285" s="873">
        <v>-28286</v>
      </c>
      <c r="M285" s="873">
        <v>-260337</v>
      </c>
      <c r="N285" s="873">
        <v>-1530000</v>
      </c>
      <c r="O285" s="873">
        <v>-172153</v>
      </c>
      <c r="P285" s="873">
        <v>-55657</v>
      </c>
      <c r="Q285" s="873">
        <v>-19398</v>
      </c>
      <c r="R285" s="873">
        <v>-28286</v>
      </c>
      <c r="S285" s="873">
        <v>-42406</v>
      </c>
      <c r="T285" s="873">
        <v>0</v>
      </c>
      <c r="U285" s="873">
        <v>0</v>
      </c>
      <c r="V285" s="873">
        <v>0</v>
      </c>
      <c r="W285" s="873">
        <v>0</v>
      </c>
      <c r="X285" s="873">
        <v>-25000</v>
      </c>
      <c r="Y285" s="873">
        <v>-425000</v>
      </c>
      <c r="Z285" s="873">
        <v>49871216</v>
      </c>
      <c r="AA285" s="873">
        <v>-1530000</v>
      </c>
      <c r="AB285" s="874"/>
      <c r="AC285" s="873">
        <v>233</v>
      </c>
      <c r="AD285" s="873">
        <v>11</v>
      </c>
      <c r="AE285" s="873">
        <v>19</v>
      </c>
      <c r="AF285" s="873">
        <v>0</v>
      </c>
      <c r="AG285" s="873">
        <v>171</v>
      </c>
      <c r="AH285" s="873">
        <v>122</v>
      </c>
      <c r="AI285" s="873">
        <v>16</v>
      </c>
      <c r="AJ285" s="873">
        <v>11</v>
      </c>
      <c r="AK285" s="873">
        <v>19</v>
      </c>
      <c r="AL285" s="873">
        <v>14</v>
      </c>
      <c r="AM285" s="873">
        <v>0</v>
      </c>
      <c r="AN285" s="873">
        <v>0</v>
      </c>
      <c r="AO285" s="873">
        <v>1656</v>
      </c>
      <c r="AP285" s="873">
        <v>1441</v>
      </c>
      <c r="AQ285" s="873">
        <v>988</v>
      </c>
      <c r="AR285" s="873">
        <v>453</v>
      </c>
      <c r="AS285" s="873">
        <v>1177</v>
      </c>
      <c r="AT285" s="843">
        <v>4293</v>
      </c>
      <c r="AU285" s="663"/>
      <c r="AV285" s="663"/>
      <c r="AX285" s="666"/>
      <c r="AY285" s="666"/>
      <c r="AZ285" s="666"/>
      <c r="BA285" s="666"/>
      <c r="BB285" s="666"/>
      <c r="BD285" s="666"/>
      <c r="BE285" s="666"/>
      <c r="BG285" s="666"/>
      <c r="BI285" s="666"/>
      <c r="BJ285" s="666"/>
      <c r="BK285" s="666"/>
    </row>
    <row r="286" spans="1:63" ht="12.75" x14ac:dyDescent="0.2">
      <c r="A286" s="288">
        <v>279</v>
      </c>
      <c r="B286" s="290" t="s">
        <v>468</v>
      </c>
      <c r="C286" s="279" t="s">
        <v>469</v>
      </c>
      <c r="D286" s="955">
        <v>124501</v>
      </c>
      <c r="E286" s="843">
        <v>80823996</v>
      </c>
      <c r="F286" s="873">
        <v>39590360</v>
      </c>
      <c r="G286" s="873">
        <v>-1759920</v>
      </c>
      <c r="H286" s="873">
        <v>781473</v>
      </c>
      <c r="I286" s="873">
        <v>-978447</v>
      </c>
      <c r="J286" s="873">
        <v>-1177544</v>
      </c>
      <c r="K286" s="873">
        <v>-34687</v>
      </c>
      <c r="L286" s="873">
        <v>-6467</v>
      </c>
      <c r="M286" s="873">
        <v>0</v>
      </c>
      <c r="N286" s="873">
        <v>-1029005</v>
      </c>
      <c r="O286" s="873">
        <v>-43943</v>
      </c>
      <c r="P286" s="873">
        <v>-8918</v>
      </c>
      <c r="Q286" s="873">
        <v>-375</v>
      </c>
      <c r="R286" s="873">
        <v>-2867</v>
      </c>
      <c r="S286" s="873">
        <v>0</v>
      </c>
      <c r="T286" s="873">
        <v>0</v>
      </c>
      <c r="U286" s="873">
        <v>0</v>
      </c>
      <c r="V286" s="873">
        <v>0</v>
      </c>
      <c r="W286" s="873">
        <v>0</v>
      </c>
      <c r="X286" s="873">
        <v>-8011</v>
      </c>
      <c r="Y286" s="873">
        <v>-298653</v>
      </c>
      <c r="Z286" s="873">
        <v>36001443</v>
      </c>
      <c r="AA286" s="873">
        <v>-650000</v>
      </c>
      <c r="AB286" s="874"/>
      <c r="AC286" s="873">
        <v>152</v>
      </c>
      <c r="AD286" s="873">
        <v>13</v>
      </c>
      <c r="AE286" s="873">
        <v>9</v>
      </c>
      <c r="AF286" s="873">
        <v>0</v>
      </c>
      <c r="AG286" s="873">
        <v>156</v>
      </c>
      <c r="AH286" s="873">
        <v>77</v>
      </c>
      <c r="AI286" s="873">
        <v>5</v>
      </c>
      <c r="AJ286" s="873">
        <v>1</v>
      </c>
      <c r="AK286" s="873">
        <v>5</v>
      </c>
      <c r="AL286" s="873">
        <v>0</v>
      </c>
      <c r="AM286" s="873">
        <v>0</v>
      </c>
      <c r="AN286" s="873">
        <v>0</v>
      </c>
      <c r="AO286" s="873">
        <v>997</v>
      </c>
      <c r="AP286" s="873">
        <v>1023</v>
      </c>
      <c r="AQ286" s="873">
        <v>716</v>
      </c>
      <c r="AR286" s="873">
        <v>307</v>
      </c>
      <c r="AS286" s="873">
        <v>44</v>
      </c>
      <c r="AT286" s="843">
        <v>2857</v>
      </c>
      <c r="AU286" s="663"/>
      <c r="AV286" s="663"/>
      <c r="AX286" s="666"/>
      <c r="AY286" s="666"/>
      <c r="AZ286" s="666"/>
      <c r="BA286" s="666"/>
      <c r="BB286" s="666"/>
      <c r="BD286" s="666"/>
      <c r="BE286" s="666"/>
      <c r="BG286" s="666"/>
      <c r="BI286" s="666"/>
      <c r="BJ286" s="666"/>
      <c r="BK286" s="666"/>
    </row>
    <row r="287" spans="1:63" ht="12.75" x14ac:dyDescent="0.2">
      <c r="A287" s="288">
        <v>280</v>
      </c>
      <c r="B287" s="290" t="s">
        <v>470</v>
      </c>
      <c r="C287" s="279" t="s">
        <v>471</v>
      </c>
      <c r="D287" s="955">
        <v>192176</v>
      </c>
      <c r="E287" s="843">
        <v>89974192</v>
      </c>
      <c r="F287" s="873">
        <v>42187971</v>
      </c>
      <c r="G287" s="873">
        <v>-3936858</v>
      </c>
      <c r="H287" s="873">
        <v>898550.05</v>
      </c>
      <c r="I287" s="873">
        <v>-3038307.9</v>
      </c>
      <c r="J287" s="873">
        <v>-3667234.1</v>
      </c>
      <c r="K287" s="873">
        <v>-38581.79</v>
      </c>
      <c r="L287" s="873">
        <v>-5065.59</v>
      </c>
      <c r="M287" s="873">
        <v>0</v>
      </c>
      <c r="N287" s="873">
        <v>-1067012.7</v>
      </c>
      <c r="O287" s="873">
        <v>-148761.59</v>
      </c>
      <c r="P287" s="873">
        <v>-41000.800000000003</v>
      </c>
      <c r="Q287" s="873">
        <v>0</v>
      </c>
      <c r="R287" s="873">
        <v>-751.82</v>
      </c>
      <c r="S287" s="873">
        <v>0</v>
      </c>
      <c r="T287" s="873">
        <v>0</v>
      </c>
      <c r="U287" s="873">
        <v>0</v>
      </c>
      <c r="V287" s="873">
        <v>0</v>
      </c>
      <c r="W287" s="873">
        <v>-34066</v>
      </c>
      <c r="X287" s="873">
        <v>-4368</v>
      </c>
      <c r="Y287" s="873">
        <v>-835548</v>
      </c>
      <c r="Z287" s="873">
        <v>32633622.5</v>
      </c>
      <c r="AA287" s="873">
        <v>-1000000</v>
      </c>
      <c r="AB287" s="874"/>
      <c r="AC287" s="873">
        <v>266</v>
      </c>
      <c r="AD287" s="873">
        <v>13</v>
      </c>
      <c r="AE287" s="873">
        <v>4</v>
      </c>
      <c r="AF287" s="873">
        <v>2</v>
      </c>
      <c r="AG287" s="873">
        <v>364</v>
      </c>
      <c r="AH287" s="873">
        <v>70</v>
      </c>
      <c r="AI287" s="873">
        <v>12</v>
      </c>
      <c r="AJ287" s="873">
        <v>0</v>
      </c>
      <c r="AK287" s="873">
        <v>1</v>
      </c>
      <c r="AL287" s="873">
        <v>0</v>
      </c>
      <c r="AM287" s="873">
        <v>0</v>
      </c>
      <c r="AN287" s="873">
        <v>0</v>
      </c>
      <c r="AO287" s="873">
        <v>1416</v>
      </c>
      <c r="AP287" s="873">
        <v>2061</v>
      </c>
      <c r="AQ287" s="873">
        <v>1537</v>
      </c>
      <c r="AR287" s="873">
        <v>524</v>
      </c>
      <c r="AS287" s="873">
        <v>1314</v>
      </c>
      <c r="AT287" s="843">
        <v>4823</v>
      </c>
      <c r="AU287" s="663"/>
      <c r="AV287" s="663"/>
      <c r="AX287" s="666"/>
      <c r="AY287" s="666"/>
      <c r="AZ287" s="666"/>
      <c r="BA287" s="666"/>
      <c r="BB287" s="666"/>
      <c r="BD287" s="666"/>
      <c r="BE287" s="666"/>
      <c r="BG287" s="666"/>
      <c r="BI287" s="666"/>
      <c r="BJ287" s="666"/>
      <c r="BK287" s="666"/>
    </row>
    <row r="288" spans="1:63" ht="12.75" x14ac:dyDescent="0.2">
      <c r="A288" s="288">
        <v>281</v>
      </c>
      <c r="B288" s="290" t="s">
        <v>472</v>
      </c>
      <c r="C288" s="279" t="s">
        <v>473</v>
      </c>
      <c r="D288" s="955">
        <v>94955</v>
      </c>
      <c r="E288" s="843">
        <v>68858111</v>
      </c>
      <c r="F288" s="873">
        <v>33076954</v>
      </c>
      <c r="G288" s="873">
        <v>-902212</v>
      </c>
      <c r="H288" s="873">
        <v>661039</v>
      </c>
      <c r="I288" s="873">
        <v>-241173</v>
      </c>
      <c r="J288" s="873">
        <v>-2345768</v>
      </c>
      <c r="K288" s="873">
        <v>-25989</v>
      </c>
      <c r="L288" s="873">
        <v>-2324</v>
      </c>
      <c r="M288" s="873">
        <v>-61219</v>
      </c>
      <c r="N288" s="873">
        <v>-889480</v>
      </c>
      <c r="O288" s="873">
        <v>-104261</v>
      </c>
      <c r="P288" s="873">
        <v>-142697</v>
      </c>
      <c r="Q288" s="873">
        <v>-6497</v>
      </c>
      <c r="R288" s="873">
        <v>-2324</v>
      </c>
      <c r="S288" s="873">
        <v>0</v>
      </c>
      <c r="T288" s="873">
        <v>0</v>
      </c>
      <c r="U288" s="873">
        <v>0</v>
      </c>
      <c r="V288" s="873">
        <v>0</v>
      </c>
      <c r="W288" s="873">
        <v>0</v>
      </c>
      <c r="X288" s="873">
        <v>0</v>
      </c>
      <c r="Y288" s="873">
        <v>-645000</v>
      </c>
      <c r="Z288" s="873">
        <v>28553027</v>
      </c>
      <c r="AA288" s="873">
        <v>-90000</v>
      </c>
      <c r="AB288" s="874"/>
      <c r="AC288" s="873">
        <v>61</v>
      </c>
      <c r="AD288" s="873">
        <v>7</v>
      </c>
      <c r="AE288" s="873">
        <v>1</v>
      </c>
      <c r="AF288" s="873">
        <v>1</v>
      </c>
      <c r="AG288" s="873">
        <v>246</v>
      </c>
      <c r="AH288" s="873">
        <v>60</v>
      </c>
      <c r="AI288" s="873">
        <v>5</v>
      </c>
      <c r="AJ288" s="873">
        <v>7</v>
      </c>
      <c r="AK288" s="873">
        <v>2</v>
      </c>
      <c r="AL288" s="873">
        <v>0</v>
      </c>
      <c r="AM288" s="873">
        <v>0</v>
      </c>
      <c r="AN288" s="873">
        <v>430</v>
      </c>
      <c r="AO288" s="873">
        <v>875</v>
      </c>
      <c r="AP288" s="873">
        <v>462</v>
      </c>
      <c r="AQ288" s="873">
        <v>200</v>
      </c>
      <c r="AR288" s="873">
        <v>262</v>
      </c>
      <c r="AS288" s="873">
        <v>646</v>
      </c>
      <c r="AT288" s="843">
        <v>1949</v>
      </c>
      <c r="AU288" s="663"/>
      <c r="AV288" s="663"/>
      <c r="AX288" s="666"/>
      <c r="AY288" s="666"/>
      <c r="AZ288" s="666"/>
      <c r="BA288" s="666"/>
      <c r="BB288" s="666"/>
      <c r="BD288" s="666"/>
      <c r="BE288" s="666"/>
      <c r="BG288" s="666"/>
      <c r="BI288" s="666"/>
      <c r="BJ288" s="666"/>
      <c r="BK288" s="666"/>
    </row>
    <row r="289" spans="1:63" ht="12.75" x14ac:dyDescent="0.2">
      <c r="A289" s="288">
        <v>282</v>
      </c>
      <c r="B289" s="290" t="s">
        <v>474</v>
      </c>
      <c r="C289" s="279" t="s">
        <v>475</v>
      </c>
      <c r="D289" s="955">
        <v>234481</v>
      </c>
      <c r="E289" s="843">
        <v>259498907</v>
      </c>
      <c r="F289" s="873">
        <v>127102683</v>
      </c>
      <c r="G289" s="873">
        <v>-2228000</v>
      </c>
      <c r="H289" s="873">
        <v>3215200</v>
      </c>
      <c r="I289" s="873">
        <v>987200</v>
      </c>
      <c r="J289" s="873">
        <v>-3485000</v>
      </c>
      <c r="K289" s="873">
        <v>-34000</v>
      </c>
      <c r="L289" s="873">
        <v>0</v>
      </c>
      <c r="M289" s="873">
        <v>-500000</v>
      </c>
      <c r="N289" s="873">
        <v>-8000000</v>
      </c>
      <c r="O289" s="873">
        <v>-30000</v>
      </c>
      <c r="P289" s="873">
        <v>-30000</v>
      </c>
      <c r="Q289" s="873">
        <v>-220</v>
      </c>
      <c r="R289" s="873">
        <v>0</v>
      </c>
      <c r="S289" s="873">
        <v>0</v>
      </c>
      <c r="T289" s="873">
        <v>0</v>
      </c>
      <c r="U289" s="873">
        <v>0</v>
      </c>
      <c r="V289" s="873">
        <v>0</v>
      </c>
      <c r="W289" s="873">
        <v>-71449</v>
      </c>
      <c r="X289" s="873">
        <v>-23811</v>
      </c>
      <c r="Y289" s="873">
        <v>-355302</v>
      </c>
      <c r="Z289" s="873">
        <v>115449783</v>
      </c>
      <c r="AA289" s="873">
        <v>-4963301</v>
      </c>
      <c r="AB289" s="874"/>
      <c r="AC289" s="873">
        <v>161</v>
      </c>
      <c r="AD289" s="873">
        <v>7</v>
      </c>
      <c r="AE289" s="873">
        <v>0</v>
      </c>
      <c r="AF289" s="873">
        <v>0</v>
      </c>
      <c r="AG289" s="873">
        <v>410</v>
      </c>
      <c r="AH289" s="873">
        <v>98</v>
      </c>
      <c r="AI289" s="873">
        <v>12</v>
      </c>
      <c r="AJ289" s="873">
        <v>6</v>
      </c>
      <c r="AK289" s="873">
        <v>0</v>
      </c>
      <c r="AL289" s="873">
        <v>0</v>
      </c>
      <c r="AM289" s="873">
        <v>0</v>
      </c>
      <c r="AN289" s="873">
        <v>0</v>
      </c>
      <c r="AO289" s="873">
        <v>1792</v>
      </c>
      <c r="AP289" s="873">
        <v>1098</v>
      </c>
      <c r="AQ289" s="873">
        <v>675</v>
      </c>
      <c r="AR289" s="873">
        <v>423</v>
      </c>
      <c r="AS289" s="873">
        <v>1111</v>
      </c>
      <c r="AT289" s="843">
        <v>4057</v>
      </c>
      <c r="AU289" s="663"/>
      <c r="AV289" s="663"/>
      <c r="AX289" s="666"/>
      <c r="AY289" s="666"/>
      <c r="AZ289" s="666"/>
      <c r="BA289" s="666"/>
      <c r="BB289" s="666"/>
      <c r="BD289" s="666"/>
      <c r="BE289" s="666"/>
      <c r="BG289" s="666"/>
      <c r="BI289" s="666"/>
      <c r="BJ289" s="666"/>
      <c r="BK289" s="666"/>
    </row>
    <row r="290" spans="1:63" ht="12.75" x14ac:dyDescent="0.2">
      <c r="A290" s="288">
        <v>283</v>
      </c>
      <c r="B290" s="290" t="s">
        <v>476</v>
      </c>
      <c r="C290" s="279" t="s">
        <v>477</v>
      </c>
      <c r="D290" s="955">
        <v>165827</v>
      </c>
      <c r="E290" s="843">
        <v>135266975</v>
      </c>
      <c r="F290" s="873">
        <v>62782500</v>
      </c>
      <c r="G290" s="873">
        <v>-1855060</v>
      </c>
      <c r="H290" s="873">
        <v>1515630</v>
      </c>
      <c r="I290" s="873">
        <v>-339430</v>
      </c>
      <c r="J290" s="873">
        <v>-4716220</v>
      </c>
      <c r="K290" s="873">
        <v>-87290</v>
      </c>
      <c r="L290" s="873">
        <v>-9220</v>
      </c>
      <c r="M290" s="873">
        <v>-118660</v>
      </c>
      <c r="N290" s="873">
        <v>-1352410</v>
      </c>
      <c r="O290" s="873">
        <v>-133110</v>
      </c>
      <c r="P290" s="873">
        <v>-14000</v>
      </c>
      <c r="Q290" s="873">
        <v>-18340</v>
      </c>
      <c r="R290" s="873">
        <v>-3320</v>
      </c>
      <c r="S290" s="873">
        <v>-8160</v>
      </c>
      <c r="T290" s="873">
        <v>-25130</v>
      </c>
      <c r="U290" s="873">
        <v>0</v>
      </c>
      <c r="V290" s="873">
        <v>0</v>
      </c>
      <c r="W290" s="873">
        <v>-354550</v>
      </c>
      <c r="X290" s="873">
        <v>-3770</v>
      </c>
      <c r="Y290" s="873">
        <v>-675240</v>
      </c>
      <c r="Z290" s="873">
        <v>54923650</v>
      </c>
      <c r="AA290" s="873">
        <v>-400000</v>
      </c>
      <c r="AB290" s="874"/>
      <c r="AC290" s="873">
        <v>202</v>
      </c>
      <c r="AD290" s="873">
        <v>24</v>
      </c>
      <c r="AE290" s="873">
        <v>7</v>
      </c>
      <c r="AF290" s="873">
        <v>3</v>
      </c>
      <c r="AG290" s="873">
        <v>426</v>
      </c>
      <c r="AH290" s="873">
        <v>53</v>
      </c>
      <c r="AI290" s="873">
        <v>1</v>
      </c>
      <c r="AJ290" s="873">
        <v>23</v>
      </c>
      <c r="AK290" s="873">
        <v>4</v>
      </c>
      <c r="AL290" s="873">
        <v>1</v>
      </c>
      <c r="AM290" s="873">
        <v>0</v>
      </c>
      <c r="AN290" s="873">
        <v>0</v>
      </c>
      <c r="AO290" s="873">
        <v>1943</v>
      </c>
      <c r="AP290" s="873">
        <v>931</v>
      </c>
      <c r="AQ290" s="873">
        <v>566</v>
      </c>
      <c r="AR290" s="873">
        <v>365</v>
      </c>
      <c r="AS290" s="873">
        <v>718</v>
      </c>
      <c r="AT290" s="843">
        <v>3597</v>
      </c>
      <c r="AU290" s="663"/>
      <c r="AV290" s="663"/>
      <c r="AX290" s="666"/>
      <c r="AY290" s="666"/>
      <c r="AZ290" s="666"/>
      <c r="BA290" s="666"/>
      <c r="BB290" s="666"/>
      <c r="BD290" s="666"/>
      <c r="BE290" s="666"/>
      <c r="BG290" s="666"/>
      <c r="BI290" s="666"/>
      <c r="BJ290" s="666"/>
      <c r="BK290" s="666"/>
    </row>
    <row r="291" spans="1:63" ht="12.75" x14ac:dyDescent="0.2">
      <c r="A291" s="288">
        <v>284</v>
      </c>
      <c r="B291" s="290" t="s">
        <v>478</v>
      </c>
      <c r="C291" s="279" t="s">
        <v>479</v>
      </c>
      <c r="D291" s="955">
        <v>201543</v>
      </c>
      <c r="E291" s="843">
        <v>98518619</v>
      </c>
      <c r="F291" s="873">
        <v>46784565</v>
      </c>
      <c r="G291" s="873">
        <v>-4230398</v>
      </c>
      <c r="H291" s="873">
        <v>1005833</v>
      </c>
      <c r="I291" s="873">
        <v>-3224565</v>
      </c>
      <c r="J291" s="873">
        <v>-3434575</v>
      </c>
      <c r="K291" s="873">
        <v>-150006</v>
      </c>
      <c r="L291" s="873">
        <v>0</v>
      </c>
      <c r="M291" s="873">
        <v>0</v>
      </c>
      <c r="N291" s="873">
        <v>-789703</v>
      </c>
      <c r="O291" s="873">
        <v>-71874</v>
      </c>
      <c r="P291" s="873">
        <v>-320910</v>
      </c>
      <c r="Q291" s="873">
        <v>-5002</v>
      </c>
      <c r="R291" s="873">
        <v>0</v>
      </c>
      <c r="S291" s="873">
        <v>0</v>
      </c>
      <c r="T291" s="873">
        <v>0</v>
      </c>
      <c r="U291" s="873">
        <v>0</v>
      </c>
      <c r="V291" s="873">
        <v>0</v>
      </c>
      <c r="W291" s="873">
        <v>-48314</v>
      </c>
      <c r="X291" s="873">
        <v>0</v>
      </c>
      <c r="Y291" s="873">
        <v>-661066</v>
      </c>
      <c r="Z291" s="873">
        <v>37478550</v>
      </c>
      <c r="AA291" s="873">
        <v>-408651</v>
      </c>
      <c r="AB291" s="874"/>
      <c r="AC291" s="873">
        <v>243</v>
      </c>
      <c r="AD291" s="873">
        <v>27</v>
      </c>
      <c r="AE291" s="873">
        <v>0</v>
      </c>
      <c r="AF291" s="873">
        <v>0</v>
      </c>
      <c r="AG291" s="873">
        <v>260</v>
      </c>
      <c r="AH291" s="873">
        <v>83</v>
      </c>
      <c r="AI291" s="873">
        <v>47</v>
      </c>
      <c r="AJ291" s="873">
        <v>3</v>
      </c>
      <c r="AK291" s="873">
        <v>0</v>
      </c>
      <c r="AL291" s="873">
        <v>0</v>
      </c>
      <c r="AM291" s="873">
        <v>0</v>
      </c>
      <c r="AN291" s="873">
        <v>0</v>
      </c>
      <c r="AO291" s="873">
        <v>1567</v>
      </c>
      <c r="AP291" s="873">
        <v>2224</v>
      </c>
      <c r="AQ291" s="873">
        <v>1479</v>
      </c>
      <c r="AR291" s="873">
        <v>745</v>
      </c>
      <c r="AS291" s="873">
        <v>1243</v>
      </c>
      <c r="AT291" s="843">
        <v>5058</v>
      </c>
      <c r="AU291" s="663"/>
      <c r="AV291" s="663"/>
      <c r="AX291" s="666"/>
      <c r="AY291" s="666"/>
      <c r="AZ291" s="666"/>
      <c r="BA291" s="666"/>
      <c r="BB291" s="666"/>
      <c r="BD291" s="666"/>
      <c r="BE291" s="666"/>
      <c r="BG291" s="666"/>
      <c r="BI291" s="666"/>
      <c r="BJ291" s="666"/>
      <c r="BK291" s="666"/>
    </row>
    <row r="292" spans="1:63" ht="12.75" x14ac:dyDescent="0.2">
      <c r="A292" s="288">
        <v>285</v>
      </c>
      <c r="B292" s="290" t="s">
        <v>480</v>
      </c>
      <c r="C292" s="279" t="s">
        <v>481</v>
      </c>
      <c r="D292" s="955">
        <v>131975</v>
      </c>
      <c r="E292" s="843">
        <v>33194585</v>
      </c>
      <c r="F292" s="873">
        <v>16334994.199999999</v>
      </c>
      <c r="G292" s="873">
        <v>-2798145</v>
      </c>
      <c r="H292" s="873">
        <v>268283</v>
      </c>
      <c r="I292" s="873">
        <v>-2529862</v>
      </c>
      <c r="J292" s="873">
        <v>-1105040</v>
      </c>
      <c r="K292" s="873">
        <v>-26119</v>
      </c>
      <c r="L292" s="873">
        <v>-59678</v>
      </c>
      <c r="M292" s="873">
        <v>0</v>
      </c>
      <c r="N292" s="873">
        <v>-341435</v>
      </c>
      <c r="O292" s="873">
        <v>-73073</v>
      </c>
      <c r="P292" s="873">
        <v>-26246</v>
      </c>
      <c r="Q292" s="873">
        <v>-4012</v>
      </c>
      <c r="R292" s="873">
        <v>-14278</v>
      </c>
      <c r="S292" s="873">
        <v>-5544</v>
      </c>
      <c r="T292" s="873">
        <v>-300</v>
      </c>
      <c r="U292" s="873">
        <v>0</v>
      </c>
      <c r="V292" s="873">
        <v>0</v>
      </c>
      <c r="W292" s="873">
        <v>-4634</v>
      </c>
      <c r="X292" s="873">
        <v>-3420</v>
      </c>
      <c r="Y292" s="873">
        <v>-316161</v>
      </c>
      <c r="Z292" s="873">
        <v>11825192.199999999</v>
      </c>
      <c r="AA292" s="873">
        <v>-157441</v>
      </c>
      <c r="AB292" s="874"/>
      <c r="AC292" s="873">
        <v>190</v>
      </c>
      <c r="AD292" s="873">
        <v>11</v>
      </c>
      <c r="AE292" s="873">
        <v>45</v>
      </c>
      <c r="AF292" s="873">
        <v>0</v>
      </c>
      <c r="AG292" s="873">
        <v>157</v>
      </c>
      <c r="AH292" s="873">
        <v>121</v>
      </c>
      <c r="AI292" s="873">
        <v>12</v>
      </c>
      <c r="AJ292" s="873">
        <v>8</v>
      </c>
      <c r="AK292" s="873">
        <v>21</v>
      </c>
      <c r="AL292" s="873">
        <v>1</v>
      </c>
      <c r="AM292" s="873">
        <v>0</v>
      </c>
      <c r="AN292" s="873">
        <v>1</v>
      </c>
      <c r="AO292" s="873">
        <v>745</v>
      </c>
      <c r="AP292" s="873">
        <v>1981</v>
      </c>
      <c r="AQ292" s="873">
        <v>1657</v>
      </c>
      <c r="AR292" s="873">
        <v>324</v>
      </c>
      <c r="AS292" s="873">
        <v>827</v>
      </c>
      <c r="AT292" s="843">
        <v>3619</v>
      </c>
      <c r="AU292" s="663"/>
      <c r="AV292" s="663"/>
      <c r="AX292" s="666"/>
      <c r="AY292" s="666"/>
      <c r="AZ292" s="666"/>
      <c r="BA292" s="666"/>
      <c r="BB292" s="666"/>
      <c r="BD292" s="666"/>
      <c r="BE292" s="666"/>
      <c r="BG292" s="666"/>
      <c r="BI292" s="666"/>
      <c r="BJ292" s="666"/>
      <c r="BK292" s="666"/>
    </row>
    <row r="293" spans="1:63" ht="12.75" x14ac:dyDescent="0.2">
      <c r="A293" s="288">
        <v>286</v>
      </c>
      <c r="B293" s="290" t="s">
        <v>482</v>
      </c>
      <c r="C293" s="279" t="s">
        <v>483</v>
      </c>
      <c r="D293" s="955">
        <v>962576</v>
      </c>
      <c r="E293" s="843">
        <v>833305454</v>
      </c>
      <c r="F293" s="873">
        <v>417207694</v>
      </c>
      <c r="G293" s="873">
        <v>-6047662</v>
      </c>
      <c r="H293" s="873">
        <v>9746123</v>
      </c>
      <c r="I293" s="873">
        <v>3698461</v>
      </c>
      <c r="J293" s="873">
        <v>-12144314</v>
      </c>
      <c r="K293" s="873">
        <v>0</v>
      </c>
      <c r="L293" s="873">
        <v>0</v>
      </c>
      <c r="M293" s="873">
        <v>-128918</v>
      </c>
      <c r="N293" s="873">
        <v>-7903942</v>
      </c>
      <c r="O293" s="873">
        <v>-561794</v>
      </c>
      <c r="P293" s="873">
        <v>-302668</v>
      </c>
      <c r="Q293" s="873">
        <v>0</v>
      </c>
      <c r="R293" s="873">
        <v>0</v>
      </c>
      <c r="S293" s="873">
        <v>0</v>
      </c>
      <c r="T293" s="873">
        <v>0</v>
      </c>
      <c r="U293" s="873">
        <v>0</v>
      </c>
      <c r="V293" s="873">
        <v>0</v>
      </c>
      <c r="W293" s="873">
        <v>-14494</v>
      </c>
      <c r="X293" s="873">
        <v>-2940</v>
      </c>
      <c r="Y293" s="873">
        <v>-2893500</v>
      </c>
      <c r="Z293" s="873">
        <v>396606722</v>
      </c>
      <c r="AA293" s="873">
        <v>-10000000</v>
      </c>
      <c r="AB293" s="874"/>
      <c r="AC293" s="873">
        <v>606</v>
      </c>
      <c r="AD293" s="873">
        <v>0</v>
      </c>
      <c r="AE293" s="873">
        <v>0</v>
      </c>
      <c r="AF293" s="873">
        <v>1</v>
      </c>
      <c r="AG293" s="873">
        <v>2082</v>
      </c>
      <c r="AH293" s="873">
        <v>267</v>
      </c>
      <c r="AI293" s="873">
        <v>59</v>
      </c>
      <c r="AJ293" s="873">
        <v>0</v>
      </c>
      <c r="AK293" s="873">
        <v>0</v>
      </c>
      <c r="AL293" s="873">
        <v>0</v>
      </c>
      <c r="AM293" s="873">
        <v>0</v>
      </c>
      <c r="AN293" s="873">
        <v>0</v>
      </c>
      <c r="AO293" s="873">
        <v>6100</v>
      </c>
      <c r="AP293" s="873">
        <v>3318</v>
      </c>
      <c r="AQ293" s="873">
        <v>1873</v>
      </c>
      <c r="AR293" s="873">
        <v>1445</v>
      </c>
      <c r="AS293" s="873">
        <v>6187</v>
      </c>
      <c r="AT293" s="843">
        <v>15399</v>
      </c>
      <c r="AU293" s="663"/>
      <c r="AV293" s="663"/>
      <c r="AX293" s="666"/>
      <c r="AY293" s="666"/>
      <c r="AZ293" s="666"/>
      <c r="BA293" s="666"/>
      <c r="BB293" s="666"/>
      <c r="BD293" s="666"/>
      <c r="BE293" s="666"/>
      <c r="BG293" s="666"/>
      <c r="BI293" s="666"/>
      <c r="BJ293" s="666"/>
      <c r="BK293" s="666"/>
    </row>
    <row r="294" spans="1:63" ht="12.75" x14ac:dyDescent="0.2">
      <c r="A294" s="288">
        <v>287</v>
      </c>
      <c r="B294" s="290" t="s">
        <v>484</v>
      </c>
      <c r="C294" s="279" t="s">
        <v>485</v>
      </c>
      <c r="D294" s="955">
        <v>460679</v>
      </c>
      <c r="E294" s="843">
        <v>381071595</v>
      </c>
      <c r="F294" s="873">
        <v>181306503</v>
      </c>
      <c r="G294" s="873">
        <v>-4235591</v>
      </c>
      <c r="H294" s="873">
        <v>4528446</v>
      </c>
      <c r="I294" s="873">
        <v>292855</v>
      </c>
      <c r="J294" s="873">
        <v>-4846078</v>
      </c>
      <c r="K294" s="873">
        <v>-62118</v>
      </c>
      <c r="L294" s="873">
        <v>-505</v>
      </c>
      <c r="M294" s="873">
        <v>0</v>
      </c>
      <c r="N294" s="873">
        <v>-4771635</v>
      </c>
      <c r="O294" s="873">
        <v>-129479</v>
      </c>
      <c r="P294" s="873">
        <v>-295036</v>
      </c>
      <c r="Q294" s="873">
        <v>-11166</v>
      </c>
      <c r="R294" s="873">
        <v>-505</v>
      </c>
      <c r="S294" s="873">
        <v>0</v>
      </c>
      <c r="T294" s="873">
        <v>0</v>
      </c>
      <c r="U294" s="873">
        <v>0</v>
      </c>
      <c r="V294" s="873">
        <v>0</v>
      </c>
      <c r="W294" s="873">
        <v>0</v>
      </c>
      <c r="X294" s="873">
        <v>-28431</v>
      </c>
      <c r="Y294" s="873">
        <v>-1247048</v>
      </c>
      <c r="Z294" s="873">
        <v>170207357</v>
      </c>
      <c r="AA294" s="873">
        <v>-4320000</v>
      </c>
      <c r="AB294" s="874"/>
      <c r="AC294" s="873">
        <v>315</v>
      </c>
      <c r="AD294" s="873">
        <v>9</v>
      </c>
      <c r="AE294" s="873">
        <v>1</v>
      </c>
      <c r="AF294" s="873">
        <v>0</v>
      </c>
      <c r="AG294" s="873">
        <v>1395</v>
      </c>
      <c r="AH294" s="873">
        <v>56</v>
      </c>
      <c r="AI294" s="873">
        <v>43</v>
      </c>
      <c r="AJ294" s="873">
        <v>0</v>
      </c>
      <c r="AK294" s="873">
        <v>1</v>
      </c>
      <c r="AL294" s="873">
        <v>0</v>
      </c>
      <c r="AM294" s="873">
        <v>0</v>
      </c>
      <c r="AN294" s="873">
        <v>0</v>
      </c>
      <c r="AO294" s="873">
        <v>4656</v>
      </c>
      <c r="AP294" s="873">
        <v>2081</v>
      </c>
      <c r="AQ294" s="873">
        <v>1073</v>
      </c>
      <c r="AR294" s="873">
        <v>1008</v>
      </c>
      <c r="AS294" s="873">
        <v>3007</v>
      </c>
      <c r="AT294" s="843">
        <v>9805</v>
      </c>
      <c r="AU294" s="663"/>
      <c r="AV294" s="663"/>
      <c r="AX294" s="666"/>
      <c r="AY294" s="666"/>
      <c r="AZ294" s="666"/>
      <c r="BA294" s="666"/>
      <c r="BB294" s="666"/>
      <c r="BD294" s="666"/>
      <c r="BE294" s="666"/>
      <c r="BG294" s="666"/>
      <c r="BI294" s="666"/>
      <c r="BJ294" s="666"/>
      <c r="BK294" s="666"/>
    </row>
    <row r="295" spans="1:63" ht="12.75" x14ac:dyDescent="0.2">
      <c r="A295" s="288">
        <v>288</v>
      </c>
      <c r="B295" s="290" t="s">
        <v>486</v>
      </c>
      <c r="C295" s="279" t="s">
        <v>487</v>
      </c>
      <c r="D295" s="955">
        <v>176880</v>
      </c>
      <c r="E295" s="843">
        <v>127009508</v>
      </c>
      <c r="F295" s="873">
        <v>59877839</v>
      </c>
      <c r="G295" s="873">
        <v>-2342052</v>
      </c>
      <c r="H295" s="873">
        <v>1436573</v>
      </c>
      <c r="I295" s="873">
        <v>-905479</v>
      </c>
      <c r="J295" s="873">
        <v>-4117556</v>
      </c>
      <c r="K295" s="873">
        <v>-20509</v>
      </c>
      <c r="L295" s="873">
        <v>-11123</v>
      </c>
      <c r="M295" s="873">
        <v>0</v>
      </c>
      <c r="N295" s="873">
        <v>-1326123</v>
      </c>
      <c r="O295" s="873">
        <v>-26580</v>
      </c>
      <c r="P295" s="873">
        <v>-12742</v>
      </c>
      <c r="Q295" s="873">
        <v>-759</v>
      </c>
      <c r="R295" s="873">
        <v>-26635</v>
      </c>
      <c r="S295" s="873">
        <v>-12720</v>
      </c>
      <c r="T295" s="873">
        <v>0</v>
      </c>
      <c r="U295" s="873">
        <v>0</v>
      </c>
      <c r="V295" s="873">
        <v>0</v>
      </c>
      <c r="W295" s="873">
        <v>0</v>
      </c>
      <c r="X295" s="873">
        <v>-3360</v>
      </c>
      <c r="Y295" s="873">
        <v>-980404</v>
      </c>
      <c r="Z295" s="873">
        <v>52433849</v>
      </c>
      <c r="AA295" s="873">
        <v>-625000</v>
      </c>
      <c r="AB295" s="874"/>
      <c r="AC295" s="873">
        <v>247</v>
      </c>
      <c r="AD295" s="873">
        <v>4</v>
      </c>
      <c r="AE295" s="873">
        <v>11</v>
      </c>
      <c r="AF295" s="873">
        <v>0</v>
      </c>
      <c r="AG295" s="873">
        <v>220</v>
      </c>
      <c r="AH295" s="873">
        <v>47</v>
      </c>
      <c r="AI295" s="873">
        <v>4</v>
      </c>
      <c r="AJ295" s="873">
        <v>1</v>
      </c>
      <c r="AK295" s="873">
        <v>11</v>
      </c>
      <c r="AL295" s="873">
        <v>2</v>
      </c>
      <c r="AM295" s="873">
        <v>0</v>
      </c>
      <c r="AN295" s="873">
        <v>0</v>
      </c>
      <c r="AO295" s="873">
        <v>1761</v>
      </c>
      <c r="AP295" s="873">
        <v>1212</v>
      </c>
      <c r="AQ295" s="873">
        <v>694</v>
      </c>
      <c r="AR295" s="873">
        <v>518</v>
      </c>
      <c r="AS295" s="873">
        <v>1023</v>
      </c>
      <c r="AT295" s="843">
        <v>4006</v>
      </c>
      <c r="AU295" s="663"/>
      <c r="AV295" s="663"/>
      <c r="AX295" s="666"/>
      <c r="AY295" s="666"/>
      <c r="AZ295" s="666"/>
      <c r="BA295" s="666"/>
      <c r="BB295" s="666"/>
      <c r="BD295" s="666"/>
      <c r="BE295" s="666"/>
      <c r="BG295" s="666"/>
      <c r="BI295" s="666"/>
      <c r="BJ295" s="666"/>
      <c r="BK295" s="666"/>
    </row>
    <row r="296" spans="1:63" ht="12.75" x14ac:dyDescent="0.2">
      <c r="A296" s="288">
        <v>289</v>
      </c>
      <c r="B296" s="290" t="s">
        <v>488</v>
      </c>
      <c r="C296" s="279" t="s">
        <v>489</v>
      </c>
      <c r="D296" s="955">
        <v>137627</v>
      </c>
      <c r="E296" s="843">
        <v>102702154</v>
      </c>
      <c r="F296" s="873">
        <v>48607226</v>
      </c>
      <c r="G296" s="873">
        <v>-1798167</v>
      </c>
      <c r="H296" s="873">
        <v>1144035</v>
      </c>
      <c r="I296" s="873">
        <v>-654132</v>
      </c>
      <c r="J296" s="873">
        <v>-1843433</v>
      </c>
      <c r="K296" s="873">
        <v>-54526</v>
      </c>
      <c r="L296" s="873">
        <v>-48617</v>
      </c>
      <c r="M296" s="873">
        <v>0</v>
      </c>
      <c r="N296" s="873">
        <v>-1013294</v>
      </c>
      <c r="O296" s="873">
        <v>-45129</v>
      </c>
      <c r="P296" s="873">
        <v>-111043</v>
      </c>
      <c r="Q296" s="873">
        <v>-168</v>
      </c>
      <c r="R296" s="873">
        <v>-39349</v>
      </c>
      <c r="S296" s="873">
        <v>-106652</v>
      </c>
      <c r="T296" s="873">
        <v>-38520</v>
      </c>
      <c r="U296" s="873">
        <v>0</v>
      </c>
      <c r="V296" s="873">
        <v>0</v>
      </c>
      <c r="W296" s="873">
        <v>0</v>
      </c>
      <c r="X296" s="873">
        <v>-6432</v>
      </c>
      <c r="Y296" s="873">
        <v>-437371</v>
      </c>
      <c r="Z296" s="873">
        <v>44098560</v>
      </c>
      <c r="AA296" s="873">
        <v>-2327128</v>
      </c>
      <c r="AB296" s="874"/>
      <c r="AC296" s="873">
        <v>167</v>
      </c>
      <c r="AD296" s="873">
        <v>6</v>
      </c>
      <c r="AE296" s="873">
        <v>29</v>
      </c>
      <c r="AF296" s="873">
        <v>0</v>
      </c>
      <c r="AG296" s="873">
        <v>389</v>
      </c>
      <c r="AH296" s="873">
        <v>79</v>
      </c>
      <c r="AI296" s="873">
        <v>74</v>
      </c>
      <c r="AJ296" s="873">
        <v>1</v>
      </c>
      <c r="AK296" s="873">
        <v>24</v>
      </c>
      <c r="AL296" s="873">
        <v>18</v>
      </c>
      <c r="AM296" s="873">
        <v>0</v>
      </c>
      <c r="AN296" s="873">
        <v>6</v>
      </c>
      <c r="AO296" s="873">
        <v>1283</v>
      </c>
      <c r="AP296" s="873">
        <v>955</v>
      </c>
      <c r="AQ296" s="873">
        <v>595</v>
      </c>
      <c r="AR296" s="873">
        <v>360</v>
      </c>
      <c r="AS296" s="873">
        <v>832</v>
      </c>
      <c r="AT296" s="843">
        <v>3054</v>
      </c>
      <c r="AU296" s="663"/>
      <c r="AV296" s="663"/>
      <c r="AX296" s="666"/>
      <c r="AY296" s="666"/>
      <c r="AZ296" s="666"/>
      <c r="BA296" s="666"/>
      <c r="BB296" s="666"/>
      <c r="BD296" s="666"/>
      <c r="BE296" s="666"/>
      <c r="BG296" s="666"/>
      <c r="BI296" s="666"/>
      <c r="BJ296" s="666"/>
      <c r="BK296" s="666"/>
    </row>
    <row r="297" spans="1:63" ht="12.75" x14ac:dyDescent="0.2">
      <c r="A297" s="288">
        <v>290</v>
      </c>
      <c r="B297" s="290" t="s">
        <v>490</v>
      </c>
      <c r="C297" s="279" t="s">
        <v>491</v>
      </c>
      <c r="D297" s="955">
        <v>184498</v>
      </c>
      <c r="E297" s="843">
        <v>141487875</v>
      </c>
      <c r="F297" s="873">
        <v>68095651</v>
      </c>
      <c r="G297" s="873">
        <v>-1676391</v>
      </c>
      <c r="H297" s="873">
        <v>1665443</v>
      </c>
      <c r="I297" s="873">
        <v>-10948</v>
      </c>
      <c r="J297" s="873">
        <v>-6775700</v>
      </c>
      <c r="K297" s="873">
        <v>-82263</v>
      </c>
      <c r="L297" s="873">
        <v>-36210</v>
      </c>
      <c r="M297" s="873">
        <v>0</v>
      </c>
      <c r="N297" s="873">
        <v>-1399657</v>
      </c>
      <c r="O297" s="873">
        <v>-167070</v>
      </c>
      <c r="P297" s="873">
        <v>-5725</v>
      </c>
      <c r="Q297" s="873">
        <v>-5141</v>
      </c>
      <c r="R297" s="873">
        <v>-14049</v>
      </c>
      <c r="S297" s="873">
        <v>0</v>
      </c>
      <c r="T297" s="873">
        <v>-373238</v>
      </c>
      <c r="U297" s="873">
        <v>-373238</v>
      </c>
      <c r="V297" s="873">
        <v>0</v>
      </c>
      <c r="W297" s="873">
        <v>0</v>
      </c>
      <c r="X297" s="873">
        <v>0</v>
      </c>
      <c r="Y297" s="873">
        <v>-402290</v>
      </c>
      <c r="Z297" s="873">
        <v>58175408</v>
      </c>
      <c r="AA297" s="873">
        <v>-256000</v>
      </c>
      <c r="AB297" s="874"/>
      <c r="AC297" s="873">
        <v>268</v>
      </c>
      <c r="AD297" s="873">
        <v>29</v>
      </c>
      <c r="AE297" s="873">
        <v>30</v>
      </c>
      <c r="AF297" s="873">
        <v>0</v>
      </c>
      <c r="AG297" s="873">
        <v>474</v>
      </c>
      <c r="AH297" s="873">
        <v>122</v>
      </c>
      <c r="AI297" s="873">
        <v>6</v>
      </c>
      <c r="AJ297" s="873">
        <v>29</v>
      </c>
      <c r="AK297" s="873">
        <v>15</v>
      </c>
      <c r="AL297" s="873">
        <v>0</v>
      </c>
      <c r="AM297" s="873">
        <v>31</v>
      </c>
      <c r="AN297" s="873">
        <v>0</v>
      </c>
      <c r="AO297" s="873">
        <v>1699</v>
      </c>
      <c r="AP297" s="873">
        <v>878</v>
      </c>
      <c r="AQ297" s="873">
        <v>520</v>
      </c>
      <c r="AR297" s="873">
        <v>358</v>
      </c>
      <c r="AS297" s="873">
        <v>1249</v>
      </c>
      <c r="AT297" s="843">
        <v>3848</v>
      </c>
      <c r="AU297" s="663"/>
      <c r="AV297" s="663"/>
      <c r="AX297" s="666"/>
      <c r="AY297" s="666"/>
      <c r="AZ297" s="666"/>
      <c r="BA297" s="666"/>
      <c r="BB297" s="666"/>
      <c r="BD297" s="666"/>
      <c r="BE297" s="666"/>
      <c r="BG297" s="666"/>
      <c r="BI297" s="666"/>
      <c r="BJ297" s="666"/>
      <c r="BK297" s="666"/>
    </row>
    <row r="298" spans="1:63" ht="12.75" x14ac:dyDescent="0.2">
      <c r="A298" s="288">
        <v>291</v>
      </c>
      <c r="B298" s="290" t="s">
        <v>492</v>
      </c>
      <c r="C298" s="279" t="s">
        <v>493</v>
      </c>
      <c r="D298" s="955">
        <v>462307</v>
      </c>
      <c r="E298" s="843">
        <v>307997313</v>
      </c>
      <c r="F298" s="873">
        <v>148371566</v>
      </c>
      <c r="G298" s="873">
        <v>-7600000</v>
      </c>
      <c r="H298" s="873">
        <v>3500000</v>
      </c>
      <c r="I298" s="873">
        <v>-4100000</v>
      </c>
      <c r="J298" s="873">
        <v>-7217425</v>
      </c>
      <c r="K298" s="873">
        <v>-65850</v>
      </c>
      <c r="L298" s="873">
        <v>-9071</v>
      </c>
      <c r="M298" s="873">
        <v>-400000</v>
      </c>
      <c r="N298" s="873">
        <v>-7100000</v>
      </c>
      <c r="O298" s="873">
        <v>-800000</v>
      </c>
      <c r="P298" s="873">
        <v>-590046</v>
      </c>
      <c r="Q298" s="873">
        <v>-9954</v>
      </c>
      <c r="R298" s="873">
        <v>0</v>
      </c>
      <c r="S298" s="873">
        <v>0</v>
      </c>
      <c r="T298" s="873">
        <v>0</v>
      </c>
      <c r="U298" s="873">
        <v>0</v>
      </c>
      <c r="V298" s="873">
        <v>0</v>
      </c>
      <c r="W298" s="873">
        <v>-1298</v>
      </c>
      <c r="X298" s="873">
        <v>-98702</v>
      </c>
      <c r="Y298" s="873">
        <v>-1750000</v>
      </c>
      <c r="Z298" s="873">
        <v>126229220</v>
      </c>
      <c r="AA298" s="873">
        <v>-4000000</v>
      </c>
      <c r="AB298" s="874"/>
      <c r="AC298" s="873">
        <v>424</v>
      </c>
      <c r="AD298" s="873">
        <v>6</v>
      </c>
      <c r="AE298" s="873">
        <v>10</v>
      </c>
      <c r="AF298" s="873">
        <v>0</v>
      </c>
      <c r="AG298" s="873">
        <v>684</v>
      </c>
      <c r="AH298" s="873">
        <v>298</v>
      </c>
      <c r="AI298" s="873">
        <v>91</v>
      </c>
      <c r="AJ298" s="873">
        <v>0</v>
      </c>
      <c r="AK298" s="873">
        <v>0</v>
      </c>
      <c r="AL298" s="873">
        <v>0</v>
      </c>
      <c r="AM298" s="873">
        <v>0</v>
      </c>
      <c r="AN298" s="873">
        <v>0</v>
      </c>
      <c r="AO298" s="873">
        <v>3694</v>
      </c>
      <c r="AP298" s="873">
        <v>4265</v>
      </c>
      <c r="AQ298" s="873">
        <v>3070</v>
      </c>
      <c r="AR298" s="873">
        <v>1195</v>
      </c>
      <c r="AS298" s="873">
        <v>2635</v>
      </c>
      <c r="AT298" s="843">
        <v>10723</v>
      </c>
      <c r="AU298" s="663"/>
      <c r="AV298" s="663"/>
      <c r="AX298" s="666"/>
      <c r="AY298" s="666"/>
      <c r="AZ298" s="666"/>
      <c r="BA298" s="666"/>
      <c r="BB298" s="666"/>
      <c r="BD298" s="666"/>
      <c r="BE298" s="666"/>
      <c r="BG298" s="666"/>
      <c r="BI298" s="666"/>
      <c r="BJ298" s="666"/>
      <c r="BK298" s="666"/>
    </row>
    <row r="299" spans="1:63" ht="12.75" x14ac:dyDescent="0.2">
      <c r="A299" s="288">
        <v>292</v>
      </c>
      <c r="B299" s="290" t="s">
        <v>494</v>
      </c>
      <c r="C299" s="279" t="s">
        <v>495</v>
      </c>
      <c r="D299" s="955">
        <v>339364</v>
      </c>
      <c r="E299" s="843">
        <v>175248576</v>
      </c>
      <c r="F299" s="873">
        <v>84713546</v>
      </c>
      <c r="G299" s="873">
        <v>-5631939</v>
      </c>
      <c r="H299" s="873">
        <v>1885631</v>
      </c>
      <c r="I299" s="873">
        <v>-3746308</v>
      </c>
      <c r="J299" s="873">
        <v>-4887766</v>
      </c>
      <c r="K299" s="873">
        <v>-30931</v>
      </c>
      <c r="L299" s="873">
        <v>0</v>
      </c>
      <c r="M299" s="873">
        <v>-58048</v>
      </c>
      <c r="N299" s="873">
        <v>-2644383</v>
      </c>
      <c r="O299" s="873">
        <v>-167648</v>
      </c>
      <c r="P299" s="873">
        <v>-58750</v>
      </c>
      <c r="Q299" s="873">
        <v>-2310</v>
      </c>
      <c r="R299" s="873">
        <v>0</v>
      </c>
      <c r="S299" s="873">
        <v>0</v>
      </c>
      <c r="T299" s="873">
        <v>0</v>
      </c>
      <c r="U299" s="873">
        <v>0</v>
      </c>
      <c r="V299" s="873">
        <v>0</v>
      </c>
      <c r="W299" s="873">
        <v>0</v>
      </c>
      <c r="X299" s="873">
        <v>-25197</v>
      </c>
      <c r="Y299" s="873">
        <v>-669459</v>
      </c>
      <c r="Z299" s="873">
        <v>72422746</v>
      </c>
      <c r="AA299" s="873">
        <v>-850000</v>
      </c>
      <c r="AB299" s="874"/>
      <c r="AC299" s="873">
        <v>387</v>
      </c>
      <c r="AD299" s="873">
        <v>9</v>
      </c>
      <c r="AE299" s="873">
        <v>0</v>
      </c>
      <c r="AF299" s="873">
        <v>11</v>
      </c>
      <c r="AG299" s="873">
        <v>889</v>
      </c>
      <c r="AH299" s="873">
        <v>164</v>
      </c>
      <c r="AI299" s="873">
        <v>40</v>
      </c>
      <c r="AJ299" s="873">
        <v>7</v>
      </c>
      <c r="AK299" s="873">
        <v>0</v>
      </c>
      <c r="AL299" s="873">
        <v>0</v>
      </c>
      <c r="AM299" s="873">
        <v>0</v>
      </c>
      <c r="AN299" s="873">
        <v>0</v>
      </c>
      <c r="AO299" s="873">
        <v>2862</v>
      </c>
      <c r="AP299" s="873">
        <v>3011</v>
      </c>
      <c r="AQ299" s="873">
        <v>2042</v>
      </c>
      <c r="AR299" s="873">
        <v>969</v>
      </c>
      <c r="AS299" s="873">
        <v>2368</v>
      </c>
      <c r="AT299" s="843">
        <v>8291</v>
      </c>
      <c r="AU299" s="663"/>
      <c r="AV299" s="663"/>
      <c r="AX299" s="666"/>
      <c r="AY299" s="666"/>
      <c r="AZ299" s="666"/>
      <c r="BA299" s="666"/>
      <c r="BB299" s="666"/>
      <c r="BD299" s="666"/>
      <c r="BE299" s="666"/>
      <c r="BG299" s="666"/>
      <c r="BI299" s="666"/>
      <c r="BJ299" s="666"/>
      <c r="BK299" s="666"/>
    </row>
    <row r="300" spans="1:63" ht="12.75" x14ac:dyDescent="0.2">
      <c r="A300" s="288">
        <v>293</v>
      </c>
      <c r="B300" s="290" t="s">
        <v>496</v>
      </c>
      <c r="C300" s="279" t="s">
        <v>497</v>
      </c>
      <c r="D300" s="955">
        <v>288618</v>
      </c>
      <c r="E300" s="843">
        <v>145984030</v>
      </c>
      <c r="F300" s="873">
        <v>69942142</v>
      </c>
      <c r="G300" s="873">
        <v>-5365134</v>
      </c>
      <c r="H300" s="873">
        <v>1342849</v>
      </c>
      <c r="I300" s="873">
        <v>-4022285</v>
      </c>
      <c r="J300" s="873">
        <v>-4799493</v>
      </c>
      <c r="K300" s="873">
        <v>-42480</v>
      </c>
      <c r="L300" s="873">
        <v>0</v>
      </c>
      <c r="M300" s="873">
        <v>-10000</v>
      </c>
      <c r="N300" s="873">
        <v>-1526806</v>
      </c>
      <c r="O300" s="873">
        <v>-152758</v>
      </c>
      <c r="P300" s="873">
        <v>-26561</v>
      </c>
      <c r="Q300" s="873">
        <v>0</v>
      </c>
      <c r="R300" s="873">
        <v>0</v>
      </c>
      <c r="S300" s="873">
        <v>0</v>
      </c>
      <c r="T300" s="873">
        <v>0</v>
      </c>
      <c r="U300" s="873">
        <v>0</v>
      </c>
      <c r="V300" s="873">
        <v>0</v>
      </c>
      <c r="W300" s="873">
        <v>-60000</v>
      </c>
      <c r="X300" s="873">
        <v>-40000</v>
      </c>
      <c r="Y300" s="873">
        <v>-2000000</v>
      </c>
      <c r="Z300" s="873">
        <v>57261759</v>
      </c>
      <c r="AA300" s="873">
        <v>-1015511</v>
      </c>
      <c r="AB300" s="874"/>
      <c r="AC300" s="873">
        <v>283</v>
      </c>
      <c r="AD300" s="873">
        <v>9</v>
      </c>
      <c r="AE300" s="873">
        <v>0</v>
      </c>
      <c r="AF300" s="873">
        <v>0</v>
      </c>
      <c r="AG300" s="873">
        <v>205</v>
      </c>
      <c r="AH300" s="873">
        <v>32</v>
      </c>
      <c r="AI300" s="873">
        <v>3</v>
      </c>
      <c r="AJ300" s="873">
        <v>0</v>
      </c>
      <c r="AK300" s="873">
        <v>0</v>
      </c>
      <c r="AL300" s="873">
        <v>0</v>
      </c>
      <c r="AM300" s="873">
        <v>0</v>
      </c>
      <c r="AN300" s="873">
        <v>0</v>
      </c>
      <c r="AO300" s="873">
        <v>1719</v>
      </c>
      <c r="AP300" s="873">
        <v>2551</v>
      </c>
      <c r="AQ300" s="873">
        <v>1101</v>
      </c>
      <c r="AR300" s="873">
        <v>1450</v>
      </c>
      <c r="AS300" s="873">
        <v>2305</v>
      </c>
      <c r="AT300" s="843">
        <v>6586</v>
      </c>
      <c r="AU300" s="663"/>
      <c r="AV300" s="663"/>
      <c r="AX300" s="666"/>
      <c r="AY300" s="666"/>
      <c r="AZ300" s="666"/>
      <c r="BA300" s="666"/>
      <c r="BB300" s="666"/>
      <c r="BD300" s="666"/>
      <c r="BE300" s="666"/>
      <c r="BG300" s="666"/>
      <c r="BI300" s="666"/>
      <c r="BJ300" s="666"/>
      <c r="BK300" s="666"/>
    </row>
    <row r="301" spans="1:63" ht="12.75" x14ac:dyDescent="0.2">
      <c r="A301" s="288">
        <v>294</v>
      </c>
      <c r="B301" s="290" t="s">
        <v>498</v>
      </c>
      <c r="C301" s="279" t="s">
        <v>499</v>
      </c>
      <c r="D301" s="955">
        <v>462876</v>
      </c>
      <c r="E301" s="843">
        <v>253254391</v>
      </c>
      <c r="F301" s="873">
        <v>123322724</v>
      </c>
      <c r="G301" s="873">
        <v>-3742628</v>
      </c>
      <c r="H301" s="873">
        <v>2633137</v>
      </c>
      <c r="I301" s="873">
        <v>-1109491</v>
      </c>
      <c r="J301" s="873">
        <v>-8514993</v>
      </c>
      <c r="K301" s="873">
        <v>-30278</v>
      </c>
      <c r="L301" s="873">
        <v>0</v>
      </c>
      <c r="M301" s="873">
        <v>-100000</v>
      </c>
      <c r="N301" s="873">
        <v>-4068204</v>
      </c>
      <c r="O301" s="873">
        <v>-155256</v>
      </c>
      <c r="P301" s="873">
        <v>-693932</v>
      </c>
      <c r="Q301" s="873">
        <v>-1373</v>
      </c>
      <c r="R301" s="873">
        <v>0</v>
      </c>
      <c r="S301" s="873">
        <v>0</v>
      </c>
      <c r="T301" s="873">
        <v>0</v>
      </c>
      <c r="U301" s="873">
        <v>0</v>
      </c>
      <c r="V301" s="873">
        <v>0</v>
      </c>
      <c r="W301" s="873">
        <v>0</v>
      </c>
      <c r="X301" s="873">
        <v>0</v>
      </c>
      <c r="Y301" s="873">
        <v>-2352234</v>
      </c>
      <c r="Z301" s="873">
        <v>106296963</v>
      </c>
      <c r="AA301" s="873">
        <v>-1157000</v>
      </c>
      <c r="AB301" s="874"/>
      <c r="AC301" s="873">
        <v>339</v>
      </c>
      <c r="AD301" s="873">
        <v>9</v>
      </c>
      <c r="AE301" s="873">
        <v>0</v>
      </c>
      <c r="AF301" s="873">
        <v>0</v>
      </c>
      <c r="AG301" s="873">
        <v>394</v>
      </c>
      <c r="AH301" s="873">
        <v>70</v>
      </c>
      <c r="AI301" s="873">
        <v>21</v>
      </c>
      <c r="AJ301" s="873">
        <v>2</v>
      </c>
      <c r="AK301" s="873">
        <v>0</v>
      </c>
      <c r="AL301" s="873">
        <v>0</v>
      </c>
      <c r="AM301" s="873">
        <v>0</v>
      </c>
      <c r="AN301" s="873">
        <v>0</v>
      </c>
      <c r="AO301" s="873">
        <v>3103</v>
      </c>
      <c r="AP301" s="873">
        <v>1935</v>
      </c>
      <c r="AQ301" s="873">
        <v>890</v>
      </c>
      <c r="AR301" s="873">
        <v>1045</v>
      </c>
      <c r="AS301" s="873">
        <v>3853</v>
      </c>
      <c r="AT301" s="843">
        <v>8850</v>
      </c>
      <c r="AU301" s="663"/>
      <c r="AV301" s="663"/>
      <c r="AX301" s="666"/>
      <c r="AY301" s="666"/>
      <c r="AZ301" s="666"/>
      <c r="BA301" s="666"/>
      <c r="BB301" s="666"/>
      <c r="BD301" s="666"/>
      <c r="BE301" s="666"/>
      <c r="BG301" s="666"/>
      <c r="BI301" s="666"/>
      <c r="BJ301" s="666"/>
      <c r="BK301" s="666"/>
    </row>
    <row r="302" spans="1:63" ht="12.75" x14ac:dyDescent="0.2">
      <c r="A302" s="288">
        <v>295</v>
      </c>
      <c r="B302" s="290" t="s">
        <v>500</v>
      </c>
      <c r="C302" s="279" t="s">
        <v>501</v>
      </c>
      <c r="D302" s="955">
        <v>308089</v>
      </c>
      <c r="E302" s="843">
        <v>256295884</v>
      </c>
      <c r="F302" s="873">
        <v>122230544</v>
      </c>
      <c r="G302" s="873">
        <v>-2941455</v>
      </c>
      <c r="H302" s="873">
        <v>3005556</v>
      </c>
      <c r="I302" s="873">
        <v>64101</v>
      </c>
      <c r="J302" s="873">
        <v>-4121579</v>
      </c>
      <c r="K302" s="873">
        <v>-61783</v>
      </c>
      <c r="L302" s="873">
        <v>-1818</v>
      </c>
      <c r="M302" s="873">
        <v>0</v>
      </c>
      <c r="N302" s="873">
        <v>-1783111</v>
      </c>
      <c r="O302" s="873">
        <v>-166360</v>
      </c>
      <c r="P302" s="873">
        <v>-519058</v>
      </c>
      <c r="Q302" s="873">
        <v>-2174</v>
      </c>
      <c r="R302" s="873">
        <v>-909</v>
      </c>
      <c r="S302" s="873">
        <v>-3528</v>
      </c>
      <c r="T302" s="873">
        <v>0</v>
      </c>
      <c r="U302" s="873">
        <v>0</v>
      </c>
      <c r="V302" s="873">
        <v>0</v>
      </c>
      <c r="W302" s="873">
        <v>0</v>
      </c>
      <c r="X302" s="873">
        <v>0</v>
      </c>
      <c r="Y302" s="873">
        <v>-856095</v>
      </c>
      <c r="Z302" s="873">
        <v>114778230</v>
      </c>
      <c r="AA302" s="873">
        <v>-789599</v>
      </c>
      <c r="AB302" s="874"/>
      <c r="AC302" s="873">
        <v>246</v>
      </c>
      <c r="AD302" s="873">
        <v>6</v>
      </c>
      <c r="AE302" s="873">
        <v>3</v>
      </c>
      <c r="AF302" s="873">
        <v>0</v>
      </c>
      <c r="AG302" s="873">
        <v>975</v>
      </c>
      <c r="AH302" s="873">
        <v>91</v>
      </c>
      <c r="AI302" s="873">
        <v>44</v>
      </c>
      <c r="AJ302" s="873">
        <v>3</v>
      </c>
      <c r="AK302" s="873">
        <v>3</v>
      </c>
      <c r="AL302" s="873">
        <v>1</v>
      </c>
      <c r="AM302" s="873">
        <v>0</v>
      </c>
      <c r="AN302" s="873">
        <v>637</v>
      </c>
      <c r="AO302" s="873">
        <v>3009</v>
      </c>
      <c r="AP302" s="873">
        <v>1522</v>
      </c>
      <c r="AQ302" s="873">
        <v>1020</v>
      </c>
      <c r="AR302" s="873">
        <v>502</v>
      </c>
      <c r="AS302" s="873">
        <v>1987</v>
      </c>
      <c r="AT302" s="843">
        <v>6578</v>
      </c>
      <c r="AU302" s="663"/>
      <c r="AV302" s="663"/>
      <c r="AX302" s="666"/>
      <c r="AY302" s="666"/>
      <c r="AZ302" s="666"/>
      <c r="BA302" s="666"/>
      <c r="BB302" s="666"/>
      <c r="BD302" s="666"/>
      <c r="BE302" s="666"/>
      <c r="BG302" s="666"/>
      <c r="BI302" s="666"/>
      <c r="BJ302" s="666"/>
      <c r="BK302" s="666"/>
    </row>
    <row r="303" spans="1:63" ht="12.75" x14ac:dyDescent="0.2">
      <c r="A303" s="288">
        <v>296</v>
      </c>
      <c r="B303" s="290" t="s">
        <v>502</v>
      </c>
      <c r="C303" s="279" t="s">
        <v>503</v>
      </c>
      <c r="D303" s="955">
        <v>214443</v>
      </c>
      <c r="E303" s="843">
        <v>163713964</v>
      </c>
      <c r="F303" s="873">
        <v>78270741</v>
      </c>
      <c r="G303" s="873">
        <v>-2221299</v>
      </c>
      <c r="H303" s="873">
        <v>1871579</v>
      </c>
      <c r="I303" s="873">
        <v>-349720</v>
      </c>
      <c r="J303" s="873">
        <v>-4217445</v>
      </c>
      <c r="K303" s="873">
        <v>-63429</v>
      </c>
      <c r="L303" s="873">
        <v>-9743</v>
      </c>
      <c r="M303" s="873">
        <v>-75000</v>
      </c>
      <c r="N303" s="873">
        <v>-2010009</v>
      </c>
      <c r="O303" s="873">
        <v>-6474</v>
      </c>
      <c r="P303" s="873">
        <v>-97595</v>
      </c>
      <c r="Q303" s="873">
        <v>0</v>
      </c>
      <c r="R303" s="873">
        <v>-12318</v>
      </c>
      <c r="S303" s="873">
        <v>0</v>
      </c>
      <c r="T303" s="873">
        <v>0</v>
      </c>
      <c r="U303" s="873">
        <v>0</v>
      </c>
      <c r="V303" s="873">
        <v>0</v>
      </c>
      <c r="W303" s="873">
        <v>0</v>
      </c>
      <c r="X303" s="873">
        <v>-70000</v>
      </c>
      <c r="Y303" s="873">
        <v>-1000000</v>
      </c>
      <c r="Z303" s="873">
        <v>70009008</v>
      </c>
      <c r="AA303" s="873">
        <v>-498035</v>
      </c>
      <c r="AB303" s="874"/>
      <c r="AC303" s="873">
        <v>261</v>
      </c>
      <c r="AD303" s="873">
        <v>15</v>
      </c>
      <c r="AE303" s="873">
        <v>9</v>
      </c>
      <c r="AF303" s="873">
        <v>0</v>
      </c>
      <c r="AG303" s="873">
        <v>304</v>
      </c>
      <c r="AH303" s="873">
        <v>32</v>
      </c>
      <c r="AI303" s="873">
        <v>28</v>
      </c>
      <c r="AJ303" s="873">
        <v>0</v>
      </c>
      <c r="AK303" s="873">
        <v>9</v>
      </c>
      <c r="AL303" s="873">
        <v>0</v>
      </c>
      <c r="AM303" s="873">
        <v>0</v>
      </c>
      <c r="AN303" s="873">
        <v>0</v>
      </c>
      <c r="AO303" s="873">
        <v>1992</v>
      </c>
      <c r="AP303" s="873">
        <v>1448</v>
      </c>
      <c r="AQ303" s="873">
        <v>863</v>
      </c>
      <c r="AR303" s="873">
        <v>585</v>
      </c>
      <c r="AS303" s="873">
        <v>1190</v>
      </c>
      <c r="AT303" s="843">
        <v>4671</v>
      </c>
      <c r="AU303" s="663"/>
      <c r="AV303" s="663"/>
      <c r="AX303" s="666"/>
      <c r="AY303" s="666"/>
      <c r="AZ303" s="666"/>
      <c r="BA303" s="666"/>
      <c r="BB303" s="666"/>
      <c r="BD303" s="666"/>
      <c r="BE303" s="666"/>
      <c r="BG303" s="666"/>
      <c r="BI303" s="666"/>
      <c r="BJ303" s="666"/>
      <c r="BK303" s="666"/>
    </row>
    <row r="304" spans="1:63" ht="12.75" x14ac:dyDescent="0.2">
      <c r="A304" s="288">
        <v>297</v>
      </c>
      <c r="B304" s="290" t="s">
        <v>504</v>
      </c>
      <c r="C304" s="279" t="s">
        <v>505</v>
      </c>
      <c r="D304" s="955">
        <v>171747</v>
      </c>
      <c r="E304" s="843">
        <v>155995327</v>
      </c>
      <c r="F304" s="873">
        <v>75171655</v>
      </c>
      <c r="G304" s="873">
        <v>-1307286</v>
      </c>
      <c r="H304" s="873">
        <v>1606614</v>
      </c>
      <c r="I304" s="873">
        <v>299328</v>
      </c>
      <c r="J304" s="873">
        <v>-2614922</v>
      </c>
      <c r="K304" s="873">
        <v>0</v>
      </c>
      <c r="L304" s="873">
        <v>0</v>
      </c>
      <c r="M304" s="873">
        <v>-33255</v>
      </c>
      <c r="N304" s="873">
        <v>-2777795</v>
      </c>
      <c r="O304" s="873">
        <v>-287966</v>
      </c>
      <c r="P304" s="873">
        <v>-100802</v>
      </c>
      <c r="Q304" s="873">
        <v>0</v>
      </c>
      <c r="R304" s="873">
        <v>0</v>
      </c>
      <c r="S304" s="873">
        <v>0</v>
      </c>
      <c r="T304" s="873">
        <v>0</v>
      </c>
      <c r="U304" s="873">
        <v>0</v>
      </c>
      <c r="V304" s="873">
        <v>0</v>
      </c>
      <c r="W304" s="873">
        <v>0</v>
      </c>
      <c r="X304" s="873">
        <v>-235000</v>
      </c>
      <c r="Y304" s="873">
        <v>-903000</v>
      </c>
      <c r="Z304" s="873">
        <v>68518243</v>
      </c>
      <c r="AA304" s="873">
        <v>-1200000</v>
      </c>
      <c r="AB304" s="874"/>
      <c r="AC304" s="873">
        <v>138</v>
      </c>
      <c r="AD304" s="873">
        <v>0</v>
      </c>
      <c r="AE304" s="873">
        <v>0</v>
      </c>
      <c r="AF304" s="873">
        <v>5</v>
      </c>
      <c r="AG304" s="873">
        <v>780</v>
      </c>
      <c r="AH304" s="873">
        <v>80</v>
      </c>
      <c r="AI304" s="873">
        <v>5</v>
      </c>
      <c r="AJ304" s="873">
        <v>0</v>
      </c>
      <c r="AK304" s="873">
        <v>0</v>
      </c>
      <c r="AL304" s="873">
        <v>0</v>
      </c>
      <c r="AM304" s="873">
        <v>0</v>
      </c>
      <c r="AN304" s="873">
        <v>0</v>
      </c>
      <c r="AO304" s="873">
        <v>1813</v>
      </c>
      <c r="AP304" s="873">
        <v>637</v>
      </c>
      <c r="AQ304" s="873">
        <v>294</v>
      </c>
      <c r="AR304" s="873">
        <v>343</v>
      </c>
      <c r="AS304" s="873">
        <v>852</v>
      </c>
      <c r="AT304" s="843">
        <v>3217</v>
      </c>
      <c r="AU304" s="663"/>
      <c r="AV304" s="663"/>
      <c r="AX304" s="666"/>
      <c r="AY304" s="666"/>
      <c r="AZ304" s="666"/>
      <c r="BA304" s="666"/>
      <c r="BB304" s="666"/>
      <c r="BD304" s="666"/>
      <c r="BE304" s="666"/>
      <c r="BG304" s="666"/>
      <c r="BI304" s="666"/>
      <c r="BJ304" s="666"/>
      <c r="BK304" s="666"/>
    </row>
    <row r="305" spans="1:63" ht="12.75" x14ac:dyDescent="0.2">
      <c r="A305" s="288">
        <v>298</v>
      </c>
      <c r="B305" s="290" t="s">
        <v>506</v>
      </c>
      <c r="C305" s="279" t="s">
        <v>507</v>
      </c>
      <c r="D305" s="955">
        <v>204024</v>
      </c>
      <c r="E305" s="843">
        <v>71111704</v>
      </c>
      <c r="F305" s="873">
        <v>34121695</v>
      </c>
      <c r="G305" s="873">
        <v>-3150387</v>
      </c>
      <c r="H305" s="873">
        <v>716975</v>
      </c>
      <c r="I305" s="873">
        <v>-2433412</v>
      </c>
      <c r="J305" s="873">
        <v>-2010811</v>
      </c>
      <c r="K305" s="873">
        <v>-64252</v>
      </c>
      <c r="L305" s="873">
        <v>-19708</v>
      </c>
      <c r="M305" s="873">
        <v>-18000</v>
      </c>
      <c r="N305" s="873">
        <v>-1232975</v>
      </c>
      <c r="O305" s="873">
        <v>-59308</v>
      </c>
      <c r="P305" s="873">
        <v>-5095</v>
      </c>
      <c r="Q305" s="873">
        <v>-202</v>
      </c>
      <c r="R305" s="873">
        <v>0</v>
      </c>
      <c r="S305" s="873">
        <v>0</v>
      </c>
      <c r="T305" s="873">
        <v>-82624</v>
      </c>
      <c r="U305" s="873">
        <v>-82624</v>
      </c>
      <c r="V305" s="873">
        <v>0</v>
      </c>
      <c r="W305" s="873">
        <v>0</v>
      </c>
      <c r="X305" s="873">
        <v>0</v>
      </c>
      <c r="Y305" s="873">
        <v>-678613</v>
      </c>
      <c r="Z305" s="873">
        <v>27516695</v>
      </c>
      <c r="AA305" s="873">
        <v>-535842</v>
      </c>
      <c r="AB305" s="874"/>
      <c r="AC305" s="873">
        <v>269</v>
      </c>
      <c r="AD305" s="873">
        <v>18</v>
      </c>
      <c r="AE305" s="873">
        <v>11</v>
      </c>
      <c r="AF305" s="873">
        <v>0</v>
      </c>
      <c r="AG305" s="873">
        <v>532</v>
      </c>
      <c r="AH305" s="873">
        <v>52</v>
      </c>
      <c r="AI305" s="873">
        <v>1</v>
      </c>
      <c r="AJ305" s="873">
        <v>1</v>
      </c>
      <c r="AK305" s="873">
        <v>0</v>
      </c>
      <c r="AL305" s="873">
        <v>0</v>
      </c>
      <c r="AM305" s="873">
        <v>8</v>
      </c>
      <c r="AN305" s="873">
        <v>0</v>
      </c>
      <c r="AO305" s="873">
        <v>1380</v>
      </c>
      <c r="AP305" s="873">
        <v>2544</v>
      </c>
      <c r="AQ305" s="873">
        <v>2189</v>
      </c>
      <c r="AR305" s="873">
        <v>355</v>
      </c>
      <c r="AS305" s="873">
        <v>1407</v>
      </c>
      <c r="AT305" s="843">
        <v>5368</v>
      </c>
      <c r="AU305" s="663"/>
      <c r="AV305" s="663"/>
      <c r="AX305" s="666"/>
      <c r="AY305" s="666"/>
      <c r="AZ305" s="666"/>
      <c r="BA305" s="666"/>
      <c r="BB305" s="666"/>
      <c r="BD305" s="666"/>
      <c r="BE305" s="666"/>
      <c r="BG305" s="666"/>
      <c r="BI305" s="666"/>
      <c r="BJ305" s="666"/>
      <c r="BK305" s="666"/>
    </row>
    <row r="306" spans="1:63" ht="12.75" x14ac:dyDescent="0.2">
      <c r="A306" s="288">
        <v>299</v>
      </c>
      <c r="B306" s="290" t="s">
        <v>508</v>
      </c>
      <c r="C306" s="279" t="s">
        <v>509</v>
      </c>
      <c r="D306" s="955">
        <v>179430</v>
      </c>
      <c r="E306" s="843">
        <v>96007520</v>
      </c>
      <c r="F306" s="873">
        <v>45794815</v>
      </c>
      <c r="G306" s="873">
        <v>-2152881</v>
      </c>
      <c r="H306" s="873">
        <v>1034545</v>
      </c>
      <c r="I306" s="873">
        <v>-1118336</v>
      </c>
      <c r="J306" s="873">
        <v>-4863256</v>
      </c>
      <c r="K306" s="873">
        <v>-44646</v>
      </c>
      <c r="L306" s="873">
        <v>-7050</v>
      </c>
      <c r="M306" s="873">
        <v>-12769</v>
      </c>
      <c r="N306" s="873">
        <v>-863458</v>
      </c>
      <c r="O306" s="873">
        <v>-66174</v>
      </c>
      <c r="P306" s="873">
        <v>-487337</v>
      </c>
      <c r="Q306" s="873">
        <v>0</v>
      </c>
      <c r="R306" s="873">
        <v>-4230</v>
      </c>
      <c r="S306" s="873">
        <v>-6643</v>
      </c>
      <c r="T306" s="873">
        <v>0</v>
      </c>
      <c r="U306" s="873">
        <v>0</v>
      </c>
      <c r="V306" s="873">
        <v>0</v>
      </c>
      <c r="W306" s="873">
        <v>-24428</v>
      </c>
      <c r="X306" s="873">
        <v>-5115</v>
      </c>
      <c r="Y306" s="873">
        <v>-1143452</v>
      </c>
      <c r="Z306" s="873">
        <v>37147921</v>
      </c>
      <c r="AA306" s="873">
        <v>-50000</v>
      </c>
      <c r="AB306" s="874"/>
      <c r="AC306" s="873">
        <v>268</v>
      </c>
      <c r="AD306" s="873">
        <v>26</v>
      </c>
      <c r="AE306" s="873">
        <v>5</v>
      </c>
      <c r="AF306" s="873">
        <v>1</v>
      </c>
      <c r="AG306" s="873">
        <v>262</v>
      </c>
      <c r="AH306" s="873">
        <v>58</v>
      </c>
      <c r="AI306" s="873">
        <v>15</v>
      </c>
      <c r="AJ306" s="873">
        <v>0</v>
      </c>
      <c r="AK306" s="873">
        <v>5</v>
      </c>
      <c r="AL306" s="873">
        <v>2</v>
      </c>
      <c r="AM306" s="873">
        <v>0</v>
      </c>
      <c r="AN306" s="873">
        <v>0</v>
      </c>
      <c r="AO306" s="873">
        <v>1644</v>
      </c>
      <c r="AP306" s="873">
        <v>1136</v>
      </c>
      <c r="AQ306" s="873">
        <v>619</v>
      </c>
      <c r="AR306" s="873">
        <v>517</v>
      </c>
      <c r="AS306" s="873">
        <v>1140</v>
      </c>
      <c r="AT306" s="843">
        <v>3917</v>
      </c>
      <c r="AU306" s="663"/>
      <c r="AV306" s="663"/>
      <c r="AX306" s="666"/>
      <c r="AY306" s="666"/>
      <c r="AZ306" s="666"/>
      <c r="BA306" s="666"/>
      <c r="BB306" s="666"/>
      <c r="BD306" s="666"/>
      <c r="BE306" s="666"/>
      <c r="BG306" s="666"/>
      <c r="BI306" s="666"/>
      <c r="BJ306" s="666"/>
      <c r="BK306" s="666"/>
    </row>
    <row r="307" spans="1:63" ht="12.75" x14ac:dyDescent="0.2">
      <c r="A307" s="288">
        <v>300</v>
      </c>
      <c r="B307" s="290" t="s">
        <v>510</v>
      </c>
      <c r="C307" s="279" t="s">
        <v>511</v>
      </c>
      <c r="D307" s="955">
        <v>211815</v>
      </c>
      <c r="E307" s="843">
        <v>81531512</v>
      </c>
      <c r="F307" s="873">
        <v>38608796</v>
      </c>
      <c r="G307" s="873">
        <v>-4600882</v>
      </c>
      <c r="H307" s="873">
        <v>723556</v>
      </c>
      <c r="I307" s="873">
        <v>-3877326</v>
      </c>
      <c r="J307" s="873">
        <v>-2606556</v>
      </c>
      <c r="K307" s="873">
        <v>-133017</v>
      </c>
      <c r="L307" s="873">
        <v>-67054</v>
      </c>
      <c r="M307" s="873">
        <v>-16000</v>
      </c>
      <c r="N307" s="873">
        <v>-793937</v>
      </c>
      <c r="O307" s="873">
        <v>-81959</v>
      </c>
      <c r="P307" s="873">
        <v>-10086</v>
      </c>
      <c r="Q307" s="873">
        <v>0</v>
      </c>
      <c r="R307" s="873">
        <v>-11275</v>
      </c>
      <c r="S307" s="873">
        <v>-10648</v>
      </c>
      <c r="T307" s="873">
        <v>-60520</v>
      </c>
      <c r="U307" s="873">
        <v>0</v>
      </c>
      <c r="V307" s="873">
        <v>0</v>
      </c>
      <c r="W307" s="873">
        <v>-72000</v>
      </c>
      <c r="X307" s="873">
        <v>-10000</v>
      </c>
      <c r="Y307" s="873">
        <v>-1010379</v>
      </c>
      <c r="Z307" s="873">
        <v>29848039</v>
      </c>
      <c r="AA307" s="873">
        <v>-50000</v>
      </c>
      <c r="AB307" s="874"/>
      <c r="AC307" s="873">
        <v>291</v>
      </c>
      <c r="AD307" s="873">
        <v>45</v>
      </c>
      <c r="AE307" s="873">
        <v>40</v>
      </c>
      <c r="AF307" s="873">
        <v>0</v>
      </c>
      <c r="AG307" s="873">
        <v>184</v>
      </c>
      <c r="AH307" s="873">
        <v>15</v>
      </c>
      <c r="AI307" s="873">
        <v>4</v>
      </c>
      <c r="AJ307" s="873">
        <v>0</v>
      </c>
      <c r="AK307" s="873">
        <v>17</v>
      </c>
      <c r="AL307" s="873">
        <v>4</v>
      </c>
      <c r="AM307" s="873">
        <v>0</v>
      </c>
      <c r="AN307" s="873">
        <v>0</v>
      </c>
      <c r="AO307" s="873">
        <v>1522</v>
      </c>
      <c r="AP307" s="873">
        <v>2520</v>
      </c>
      <c r="AQ307" s="873">
        <v>1606</v>
      </c>
      <c r="AR307" s="873">
        <v>914</v>
      </c>
      <c r="AS307" s="873">
        <v>1300</v>
      </c>
      <c r="AT307" s="843">
        <v>5475</v>
      </c>
      <c r="AU307" s="663"/>
      <c r="AV307" s="663"/>
      <c r="AX307" s="666"/>
      <c r="AY307" s="666"/>
      <c r="AZ307" s="666"/>
      <c r="BA307" s="666"/>
      <c r="BB307" s="666"/>
      <c r="BD307" s="666"/>
      <c r="BE307" s="666"/>
      <c r="BG307" s="666"/>
      <c r="BI307" s="666"/>
      <c r="BJ307" s="666"/>
      <c r="BK307" s="666"/>
    </row>
    <row r="308" spans="1:63" ht="12.75" x14ac:dyDescent="0.2">
      <c r="A308" s="288">
        <v>301</v>
      </c>
      <c r="B308" s="290" t="s">
        <v>512</v>
      </c>
      <c r="C308" s="279" t="s">
        <v>513</v>
      </c>
      <c r="D308" s="955">
        <v>111171</v>
      </c>
      <c r="E308" s="843">
        <v>71456980</v>
      </c>
      <c r="F308" s="873">
        <v>34363028</v>
      </c>
      <c r="G308" s="873">
        <v>-1930471</v>
      </c>
      <c r="H308" s="873">
        <v>689515</v>
      </c>
      <c r="I308" s="873">
        <v>-1240956</v>
      </c>
      <c r="J308" s="873">
        <v>-1711613</v>
      </c>
      <c r="K308" s="873">
        <v>-3028</v>
      </c>
      <c r="L308" s="873">
        <v>-2160</v>
      </c>
      <c r="M308" s="873">
        <v>-116207</v>
      </c>
      <c r="N308" s="873">
        <v>-902624</v>
      </c>
      <c r="O308" s="873">
        <v>-82111</v>
      </c>
      <c r="P308" s="873">
        <v>-11711</v>
      </c>
      <c r="Q308" s="873">
        <v>0</v>
      </c>
      <c r="R308" s="873">
        <v>0</v>
      </c>
      <c r="S308" s="873">
        <v>0</v>
      </c>
      <c r="T308" s="873">
        <v>0</v>
      </c>
      <c r="U308" s="873">
        <v>0</v>
      </c>
      <c r="V308" s="873">
        <v>0</v>
      </c>
      <c r="W308" s="873">
        <v>0</v>
      </c>
      <c r="X308" s="873">
        <v>-7263</v>
      </c>
      <c r="Y308" s="873">
        <v>-372324</v>
      </c>
      <c r="Z308" s="873">
        <v>29913031</v>
      </c>
      <c r="AA308" s="873">
        <v>-113309</v>
      </c>
      <c r="AB308" s="874"/>
      <c r="AC308" s="873">
        <v>134</v>
      </c>
      <c r="AD308" s="873">
        <v>3</v>
      </c>
      <c r="AE308" s="873">
        <v>1</v>
      </c>
      <c r="AF308" s="873">
        <v>7</v>
      </c>
      <c r="AG308" s="873">
        <v>244</v>
      </c>
      <c r="AH308" s="873">
        <v>61</v>
      </c>
      <c r="AI308" s="873">
        <v>3</v>
      </c>
      <c r="AJ308" s="873">
        <v>0</v>
      </c>
      <c r="AK308" s="873">
        <v>0</v>
      </c>
      <c r="AL308" s="873">
        <v>0</v>
      </c>
      <c r="AM308" s="873">
        <v>0</v>
      </c>
      <c r="AN308" s="873">
        <v>0</v>
      </c>
      <c r="AO308" s="873">
        <v>967</v>
      </c>
      <c r="AP308" s="873">
        <v>1008</v>
      </c>
      <c r="AQ308" s="873">
        <v>662</v>
      </c>
      <c r="AR308" s="873">
        <v>346</v>
      </c>
      <c r="AS308" s="873">
        <v>607</v>
      </c>
      <c r="AT308" s="843">
        <v>2579</v>
      </c>
      <c r="AU308" s="663"/>
      <c r="AV308" s="663"/>
      <c r="AX308" s="666"/>
      <c r="AY308" s="666"/>
      <c r="AZ308" s="666"/>
      <c r="BA308" s="666"/>
      <c r="BB308" s="666"/>
      <c r="BD308" s="666"/>
      <c r="BE308" s="666"/>
      <c r="BG308" s="666"/>
      <c r="BI308" s="666"/>
      <c r="BJ308" s="666"/>
      <c r="BK308" s="666"/>
    </row>
    <row r="309" spans="1:63" ht="12.75" x14ac:dyDescent="0.2">
      <c r="A309" s="288">
        <v>302</v>
      </c>
      <c r="B309" s="290" t="s">
        <v>514</v>
      </c>
      <c r="C309" s="279" t="s">
        <v>515</v>
      </c>
      <c r="D309" s="955">
        <v>154290</v>
      </c>
      <c r="E309" s="843">
        <v>143203797</v>
      </c>
      <c r="F309" s="873">
        <v>67017352</v>
      </c>
      <c r="G309" s="873">
        <v>-1306502</v>
      </c>
      <c r="H309" s="873">
        <v>1729427</v>
      </c>
      <c r="I309" s="873">
        <v>422925</v>
      </c>
      <c r="J309" s="873">
        <v>-5641901</v>
      </c>
      <c r="K309" s="873">
        <v>-44789</v>
      </c>
      <c r="L309" s="873">
        <v>0</v>
      </c>
      <c r="M309" s="873">
        <v>-43226</v>
      </c>
      <c r="N309" s="873">
        <v>-1703349</v>
      </c>
      <c r="O309" s="873">
        <v>-236728</v>
      </c>
      <c r="P309" s="873">
        <v>-48581</v>
      </c>
      <c r="Q309" s="873">
        <v>-5689</v>
      </c>
      <c r="R309" s="873">
        <v>0</v>
      </c>
      <c r="S309" s="873">
        <v>0</v>
      </c>
      <c r="T309" s="873">
        <v>0</v>
      </c>
      <c r="U309" s="873">
        <v>0</v>
      </c>
      <c r="V309" s="873">
        <v>0</v>
      </c>
      <c r="W309" s="873">
        <v>-18340</v>
      </c>
      <c r="X309" s="873">
        <v>-81852</v>
      </c>
      <c r="Y309" s="873">
        <v>-469495</v>
      </c>
      <c r="Z309" s="873">
        <v>58721377</v>
      </c>
      <c r="AA309" s="873">
        <v>-360429</v>
      </c>
      <c r="AB309" s="874"/>
      <c r="AC309" s="873">
        <v>195</v>
      </c>
      <c r="AD309" s="873">
        <v>9</v>
      </c>
      <c r="AE309" s="873">
        <v>0</v>
      </c>
      <c r="AF309" s="873">
        <v>4</v>
      </c>
      <c r="AG309" s="873">
        <v>84</v>
      </c>
      <c r="AH309" s="873">
        <v>72</v>
      </c>
      <c r="AI309" s="873">
        <v>12</v>
      </c>
      <c r="AJ309" s="873">
        <v>9</v>
      </c>
      <c r="AK309" s="873">
        <v>0</v>
      </c>
      <c r="AL309" s="873">
        <v>0</v>
      </c>
      <c r="AM309" s="873">
        <v>0</v>
      </c>
      <c r="AN309" s="873">
        <v>0</v>
      </c>
      <c r="AO309" s="873">
        <v>1352</v>
      </c>
      <c r="AP309" s="873">
        <v>671</v>
      </c>
      <c r="AQ309" s="873">
        <v>443</v>
      </c>
      <c r="AR309" s="873">
        <v>228</v>
      </c>
      <c r="AS309" s="873">
        <v>827</v>
      </c>
      <c r="AT309" s="843">
        <v>2860</v>
      </c>
      <c r="AU309" s="663"/>
      <c r="AV309" s="663"/>
      <c r="AX309" s="666"/>
      <c r="AY309" s="666"/>
      <c r="AZ309" s="666"/>
      <c r="BA309" s="666"/>
      <c r="BB309" s="666"/>
      <c r="BD309" s="666"/>
      <c r="BE309" s="666"/>
      <c r="BG309" s="666"/>
      <c r="BI309" s="666"/>
      <c r="BJ309" s="666"/>
      <c r="BK309" s="666"/>
    </row>
    <row r="310" spans="1:63" ht="12.75" x14ac:dyDescent="0.2">
      <c r="A310" s="288">
        <v>303</v>
      </c>
      <c r="B310" s="290" t="s">
        <v>516</v>
      </c>
      <c r="C310" s="279" t="s">
        <v>517</v>
      </c>
      <c r="D310" s="955">
        <v>259093</v>
      </c>
      <c r="E310" s="843">
        <v>193361152</v>
      </c>
      <c r="F310" s="873">
        <v>90244576</v>
      </c>
      <c r="G310" s="873">
        <v>-2255732</v>
      </c>
      <c r="H310" s="873">
        <v>2240056</v>
      </c>
      <c r="I310" s="873">
        <v>-15676</v>
      </c>
      <c r="J310" s="873">
        <v>-3675695</v>
      </c>
      <c r="K310" s="873">
        <v>-37002</v>
      </c>
      <c r="L310" s="873">
        <v>-35040</v>
      </c>
      <c r="M310" s="873">
        <v>0</v>
      </c>
      <c r="N310" s="873">
        <v>-1262755</v>
      </c>
      <c r="O310" s="873">
        <v>-35599</v>
      </c>
      <c r="P310" s="873">
        <v>-31899</v>
      </c>
      <c r="Q310" s="873">
        <v>0</v>
      </c>
      <c r="R310" s="873">
        <v>-8190</v>
      </c>
      <c r="S310" s="873">
        <v>-37805</v>
      </c>
      <c r="T310" s="873">
        <v>0</v>
      </c>
      <c r="U310" s="873">
        <v>0</v>
      </c>
      <c r="V310" s="873">
        <v>0</v>
      </c>
      <c r="W310" s="873">
        <v>-17767</v>
      </c>
      <c r="X310" s="873">
        <v>-137700</v>
      </c>
      <c r="Y310" s="873">
        <v>-442827</v>
      </c>
      <c r="Z310" s="873">
        <v>84506621</v>
      </c>
      <c r="AA310" s="873">
        <v>-1279363</v>
      </c>
      <c r="AB310" s="874"/>
      <c r="AC310" s="873">
        <v>235</v>
      </c>
      <c r="AD310" s="873">
        <v>6</v>
      </c>
      <c r="AE310" s="873">
        <v>18</v>
      </c>
      <c r="AF310" s="873">
        <v>0</v>
      </c>
      <c r="AG310" s="873">
        <v>353</v>
      </c>
      <c r="AH310" s="873">
        <v>30</v>
      </c>
      <c r="AI310" s="873">
        <v>16</v>
      </c>
      <c r="AJ310" s="873">
        <v>0</v>
      </c>
      <c r="AK310" s="873">
        <v>5</v>
      </c>
      <c r="AL310" s="873">
        <v>18</v>
      </c>
      <c r="AM310" s="873">
        <v>0</v>
      </c>
      <c r="AN310" s="873">
        <v>0</v>
      </c>
      <c r="AO310" s="873">
        <v>2193</v>
      </c>
      <c r="AP310" s="873">
        <v>1202</v>
      </c>
      <c r="AQ310" s="873">
        <v>667</v>
      </c>
      <c r="AR310" s="873">
        <v>535</v>
      </c>
      <c r="AS310" s="873">
        <v>1827</v>
      </c>
      <c r="AT310" s="843">
        <v>5271</v>
      </c>
      <c r="AU310" s="663"/>
      <c r="AV310" s="663"/>
      <c r="AX310" s="666"/>
      <c r="AY310" s="666"/>
      <c r="AZ310" s="666"/>
      <c r="BA310" s="666"/>
      <c r="BB310" s="666"/>
      <c r="BD310" s="666"/>
      <c r="BE310" s="666"/>
      <c r="BG310" s="666"/>
      <c r="BI310" s="666"/>
      <c r="BJ310" s="666"/>
      <c r="BK310" s="666"/>
    </row>
    <row r="311" spans="1:63" ht="12.75" x14ac:dyDescent="0.2">
      <c r="A311" s="288">
        <v>304</v>
      </c>
      <c r="B311" s="290" t="s">
        <v>518</v>
      </c>
      <c r="C311" s="279" t="s">
        <v>519</v>
      </c>
      <c r="D311" s="955">
        <v>85017</v>
      </c>
      <c r="E311" s="843">
        <v>28763626</v>
      </c>
      <c r="F311" s="873">
        <v>13855193</v>
      </c>
      <c r="G311" s="873">
        <v>-1601099</v>
      </c>
      <c r="H311" s="873">
        <v>253521</v>
      </c>
      <c r="I311" s="873">
        <v>-1347578</v>
      </c>
      <c r="J311" s="873">
        <v>-754842</v>
      </c>
      <c r="K311" s="873">
        <v>-71777</v>
      </c>
      <c r="L311" s="873">
        <v>-46209</v>
      </c>
      <c r="M311" s="873">
        <v>-40000</v>
      </c>
      <c r="N311" s="873">
        <v>-302870</v>
      </c>
      <c r="O311" s="873">
        <v>-69630</v>
      </c>
      <c r="P311" s="873">
        <v>-18527</v>
      </c>
      <c r="Q311" s="873">
        <v>-10876</v>
      </c>
      <c r="R311" s="873">
        <v>-22383</v>
      </c>
      <c r="S311" s="873">
        <v>0</v>
      </c>
      <c r="T311" s="873">
        <v>0</v>
      </c>
      <c r="U311" s="873">
        <v>0</v>
      </c>
      <c r="V311" s="873">
        <v>0</v>
      </c>
      <c r="W311" s="873">
        <v>-10000</v>
      </c>
      <c r="X311" s="873">
        <v>-20000</v>
      </c>
      <c r="Y311" s="873">
        <v>-535110</v>
      </c>
      <c r="Z311" s="873">
        <v>10605391</v>
      </c>
      <c r="AA311" s="873">
        <v>-67307</v>
      </c>
      <c r="AB311" s="874"/>
      <c r="AC311" s="873">
        <v>164</v>
      </c>
      <c r="AD311" s="873">
        <v>28</v>
      </c>
      <c r="AE311" s="873">
        <v>34</v>
      </c>
      <c r="AF311" s="873">
        <v>0</v>
      </c>
      <c r="AG311" s="873">
        <v>152</v>
      </c>
      <c r="AH311" s="873">
        <v>92</v>
      </c>
      <c r="AI311" s="873">
        <v>6</v>
      </c>
      <c r="AJ311" s="873">
        <v>7</v>
      </c>
      <c r="AK311" s="873">
        <v>10</v>
      </c>
      <c r="AL311" s="873">
        <v>0</v>
      </c>
      <c r="AM311" s="873">
        <v>0</v>
      </c>
      <c r="AN311" s="873">
        <v>4</v>
      </c>
      <c r="AO311" s="873">
        <v>653</v>
      </c>
      <c r="AP311" s="873">
        <v>859</v>
      </c>
      <c r="AQ311" s="873">
        <v>633</v>
      </c>
      <c r="AR311" s="873">
        <v>226</v>
      </c>
      <c r="AS311" s="873">
        <v>724</v>
      </c>
      <c r="AT311" s="843">
        <v>2259</v>
      </c>
      <c r="AU311" s="663"/>
      <c r="AV311" s="663"/>
      <c r="AX311" s="666"/>
      <c r="AY311" s="666"/>
      <c r="AZ311" s="666"/>
      <c r="BA311" s="666"/>
      <c r="BB311" s="666"/>
      <c r="BD311" s="666"/>
      <c r="BE311" s="666"/>
      <c r="BG311" s="666"/>
      <c r="BI311" s="666"/>
      <c r="BJ311" s="666"/>
      <c r="BK311" s="666"/>
    </row>
    <row r="312" spans="1:63" ht="12.75" x14ac:dyDescent="0.2">
      <c r="A312" s="288">
        <v>305</v>
      </c>
      <c r="B312" s="290" t="s">
        <v>520</v>
      </c>
      <c r="C312" s="279" t="s">
        <v>521</v>
      </c>
      <c r="D312" s="955">
        <v>209221</v>
      </c>
      <c r="E312" s="843">
        <v>81424226</v>
      </c>
      <c r="F312" s="873">
        <v>38885508</v>
      </c>
      <c r="G312" s="873">
        <v>-3815233</v>
      </c>
      <c r="H312" s="873">
        <v>776824</v>
      </c>
      <c r="I312" s="873">
        <v>-3038409</v>
      </c>
      <c r="J312" s="873">
        <v>-2920891</v>
      </c>
      <c r="K312" s="873">
        <v>-108563</v>
      </c>
      <c r="L312" s="873">
        <v>-84143</v>
      </c>
      <c r="M312" s="873">
        <v>0</v>
      </c>
      <c r="N312" s="873">
        <v>-780109</v>
      </c>
      <c r="O312" s="873">
        <v>-161232</v>
      </c>
      <c r="P312" s="873">
        <v>-7808</v>
      </c>
      <c r="Q312" s="873">
        <v>-1518</v>
      </c>
      <c r="R312" s="873">
        <v>-65704</v>
      </c>
      <c r="S312" s="873">
        <v>0</v>
      </c>
      <c r="T312" s="873">
        <v>0</v>
      </c>
      <c r="U312" s="873">
        <v>0</v>
      </c>
      <c r="V312" s="873">
        <v>0</v>
      </c>
      <c r="W312" s="873">
        <v>-79965</v>
      </c>
      <c r="X312" s="873">
        <v>-3420</v>
      </c>
      <c r="Y312" s="873">
        <v>-1051017</v>
      </c>
      <c r="Z312" s="873">
        <v>30582729</v>
      </c>
      <c r="AA312" s="873">
        <v>-1620885</v>
      </c>
      <c r="AB312" s="874"/>
      <c r="AC312" s="873">
        <v>330</v>
      </c>
      <c r="AD312" s="873">
        <v>26</v>
      </c>
      <c r="AE312" s="873">
        <v>63</v>
      </c>
      <c r="AF312" s="873">
        <v>0</v>
      </c>
      <c r="AG312" s="873">
        <v>342</v>
      </c>
      <c r="AH312" s="873">
        <v>167</v>
      </c>
      <c r="AI312" s="873">
        <v>2</v>
      </c>
      <c r="AJ312" s="873">
        <v>3</v>
      </c>
      <c r="AK312" s="873">
        <v>51</v>
      </c>
      <c r="AL312" s="873">
        <v>0</v>
      </c>
      <c r="AM312" s="873">
        <v>0</v>
      </c>
      <c r="AN312" s="873">
        <v>0</v>
      </c>
      <c r="AO312" s="873">
        <v>1586</v>
      </c>
      <c r="AP312" s="873">
        <v>2380</v>
      </c>
      <c r="AQ312" s="873">
        <v>1785</v>
      </c>
      <c r="AR312" s="873">
        <v>595</v>
      </c>
      <c r="AS312" s="873">
        <v>1430</v>
      </c>
      <c r="AT312" s="843">
        <v>5455</v>
      </c>
      <c r="AU312" s="663"/>
      <c r="AV312" s="663"/>
      <c r="AX312" s="666"/>
      <c r="AY312" s="666"/>
      <c r="AZ312" s="666"/>
      <c r="BA312" s="666"/>
      <c r="BB312" s="666"/>
      <c r="BD312" s="666"/>
      <c r="BE312" s="666"/>
      <c r="BG312" s="666"/>
      <c r="BI312" s="666"/>
      <c r="BJ312" s="666"/>
      <c r="BK312" s="666"/>
    </row>
    <row r="313" spans="1:63" ht="12.75" x14ac:dyDescent="0.2">
      <c r="A313" s="288">
        <v>306</v>
      </c>
      <c r="B313" s="290" t="s">
        <v>522</v>
      </c>
      <c r="C313" s="279" t="s">
        <v>523</v>
      </c>
      <c r="D313" s="955">
        <v>132268</v>
      </c>
      <c r="E313" s="843">
        <v>80313907</v>
      </c>
      <c r="F313" s="873">
        <v>38369346</v>
      </c>
      <c r="G313" s="873">
        <v>-2040486</v>
      </c>
      <c r="H313" s="873">
        <v>878647</v>
      </c>
      <c r="I313" s="873">
        <v>-1161839</v>
      </c>
      <c r="J313" s="873">
        <v>-2466986</v>
      </c>
      <c r="K313" s="873">
        <v>0</v>
      </c>
      <c r="L313" s="873">
        <v>-5509</v>
      </c>
      <c r="M313" s="873">
        <v>-80000</v>
      </c>
      <c r="N313" s="873">
        <v>-1687093</v>
      </c>
      <c r="O313" s="873">
        <v>-9347</v>
      </c>
      <c r="P313" s="873">
        <v>-28265</v>
      </c>
      <c r="Q313" s="873">
        <v>0</v>
      </c>
      <c r="R313" s="873">
        <v>0</v>
      </c>
      <c r="S313" s="873">
        <v>0</v>
      </c>
      <c r="T313" s="873">
        <v>0</v>
      </c>
      <c r="U313" s="873">
        <v>0</v>
      </c>
      <c r="V313" s="873">
        <v>0</v>
      </c>
      <c r="W313" s="873">
        <v>-8997</v>
      </c>
      <c r="X313" s="873">
        <v>-129295</v>
      </c>
      <c r="Y313" s="873">
        <v>-353176</v>
      </c>
      <c r="Z313" s="873">
        <v>32438839</v>
      </c>
      <c r="AA313" s="873">
        <v>-440238</v>
      </c>
      <c r="AB313" s="874"/>
      <c r="AC313" s="873">
        <v>177</v>
      </c>
      <c r="AD313" s="873">
        <v>0</v>
      </c>
      <c r="AE313" s="873">
        <v>5</v>
      </c>
      <c r="AF313" s="873">
        <v>0</v>
      </c>
      <c r="AG313" s="873">
        <v>421</v>
      </c>
      <c r="AH313" s="873">
        <v>7</v>
      </c>
      <c r="AI313" s="873">
        <v>22</v>
      </c>
      <c r="AJ313" s="873">
        <v>0</v>
      </c>
      <c r="AK313" s="873">
        <v>4</v>
      </c>
      <c r="AL313" s="873">
        <v>0</v>
      </c>
      <c r="AM313" s="873">
        <v>0</v>
      </c>
      <c r="AN313" s="873">
        <v>0</v>
      </c>
      <c r="AO313" s="873">
        <v>1199</v>
      </c>
      <c r="AP313" s="873">
        <v>1100</v>
      </c>
      <c r="AQ313" s="873">
        <v>725</v>
      </c>
      <c r="AR313" s="873">
        <v>375</v>
      </c>
      <c r="AS313" s="873">
        <v>848</v>
      </c>
      <c r="AT313" s="843">
        <v>3166</v>
      </c>
      <c r="AU313" s="663"/>
      <c r="AV313" s="663"/>
      <c r="AX313" s="666"/>
      <c r="AY313" s="666"/>
      <c r="AZ313" s="666"/>
      <c r="BA313" s="666"/>
      <c r="BB313" s="666"/>
      <c r="BD313" s="666"/>
      <c r="BE313" s="666"/>
      <c r="BG313" s="666"/>
      <c r="BI313" s="666"/>
      <c r="BJ313" s="666"/>
      <c r="BK313" s="666"/>
    </row>
    <row r="314" spans="1:63" ht="12.75" x14ac:dyDescent="0.2">
      <c r="A314" s="288">
        <v>307</v>
      </c>
      <c r="B314" s="290" t="s">
        <v>524</v>
      </c>
      <c r="C314" s="279" t="s">
        <v>525</v>
      </c>
      <c r="D314" s="955">
        <v>106298</v>
      </c>
      <c r="E314" s="843">
        <v>42951206</v>
      </c>
      <c r="F314" s="873">
        <v>20546458</v>
      </c>
      <c r="G314" s="873">
        <v>-1719139</v>
      </c>
      <c r="H314" s="873">
        <v>431854</v>
      </c>
      <c r="I314" s="873">
        <v>-1287285</v>
      </c>
      <c r="J314" s="873">
        <v>-1398335</v>
      </c>
      <c r="K314" s="873">
        <v>-41106</v>
      </c>
      <c r="L314" s="873">
        <v>-35171</v>
      </c>
      <c r="M314" s="873">
        <v>-20000</v>
      </c>
      <c r="N314" s="873">
        <v>-534989</v>
      </c>
      <c r="O314" s="873">
        <v>-29504</v>
      </c>
      <c r="P314" s="873">
        <v>-31974</v>
      </c>
      <c r="Q314" s="873">
        <v>-3350</v>
      </c>
      <c r="R314" s="873">
        <v>-6594</v>
      </c>
      <c r="S314" s="873">
        <v>-243</v>
      </c>
      <c r="T314" s="873">
        <v>0</v>
      </c>
      <c r="U314" s="873">
        <v>0</v>
      </c>
      <c r="V314" s="873">
        <v>0</v>
      </c>
      <c r="W314" s="873">
        <v>-30000</v>
      </c>
      <c r="X314" s="873">
        <v>-50000</v>
      </c>
      <c r="Y314" s="873">
        <v>-271555</v>
      </c>
      <c r="Z314" s="873">
        <v>16806352</v>
      </c>
      <c r="AA314" s="873">
        <v>-227450</v>
      </c>
      <c r="AB314" s="874"/>
      <c r="AC314" s="873">
        <v>165</v>
      </c>
      <c r="AD314" s="873">
        <v>11</v>
      </c>
      <c r="AE314" s="873">
        <v>38</v>
      </c>
      <c r="AF314" s="873">
        <v>0</v>
      </c>
      <c r="AG314" s="873">
        <v>295</v>
      </c>
      <c r="AH314" s="873">
        <v>82</v>
      </c>
      <c r="AI314" s="873">
        <v>32</v>
      </c>
      <c r="AJ314" s="873">
        <v>8</v>
      </c>
      <c r="AK314" s="873">
        <v>15</v>
      </c>
      <c r="AL314" s="873">
        <v>1</v>
      </c>
      <c r="AM314" s="873">
        <v>0</v>
      </c>
      <c r="AN314" s="873">
        <v>0</v>
      </c>
      <c r="AO314" s="873">
        <v>1146</v>
      </c>
      <c r="AP314" s="873">
        <v>1247</v>
      </c>
      <c r="AQ314" s="873">
        <v>976</v>
      </c>
      <c r="AR314" s="873">
        <v>271</v>
      </c>
      <c r="AS314" s="873">
        <v>657</v>
      </c>
      <c r="AT314" s="843">
        <v>2756</v>
      </c>
      <c r="AU314" s="663"/>
      <c r="AV314" s="663"/>
      <c r="AX314" s="666"/>
      <c r="AY314" s="666"/>
      <c r="AZ314" s="666"/>
      <c r="BA314" s="666"/>
      <c r="BB314" s="666"/>
      <c r="BD314" s="666"/>
      <c r="BE314" s="666"/>
      <c r="BG314" s="666"/>
      <c r="BI314" s="666"/>
      <c r="BJ314" s="666"/>
      <c r="BK314" s="666"/>
    </row>
    <row r="315" spans="1:63" ht="12.75" x14ac:dyDescent="0.2">
      <c r="A315" s="288">
        <v>308</v>
      </c>
      <c r="B315" s="290" t="s">
        <v>526</v>
      </c>
      <c r="C315" s="279" t="s">
        <v>527</v>
      </c>
      <c r="D315" s="955">
        <v>164154</v>
      </c>
      <c r="E315" s="843">
        <v>81873262</v>
      </c>
      <c r="F315" s="873">
        <v>39252172</v>
      </c>
      <c r="G315" s="873">
        <v>-2351042</v>
      </c>
      <c r="H315" s="873">
        <v>854544</v>
      </c>
      <c r="I315" s="873">
        <v>-1496498</v>
      </c>
      <c r="J315" s="873">
        <v>-2414734</v>
      </c>
      <c r="K315" s="873">
        <v>-60515</v>
      </c>
      <c r="L315" s="873">
        <v>-48109</v>
      </c>
      <c r="M315" s="873">
        <v>0</v>
      </c>
      <c r="N315" s="873">
        <v>-673517</v>
      </c>
      <c r="O315" s="873">
        <v>-81818</v>
      </c>
      <c r="P315" s="873">
        <v>0</v>
      </c>
      <c r="Q315" s="873">
        <v>0</v>
      </c>
      <c r="R315" s="873">
        <v>-3531</v>
      </c>
      <c r="S315" s="873">
        <v>0</v>
      </c>
      <c r="T315" s="873">
        <v>0</v>
      </c>
      <c r="U315" s="873">
        <v>0</v>
      </c>
      <c r="V315" s="873">
        <v>0</v>
      </c>
      <c r="W315" s="873">
        <v>0</v>
      </c>
      <c r="X315" s="873">
        <v>-3636</v>
      </c>
      <c r="Y315" s="873">
        <v>-539625</v>
      </c>
      <c r="Z315" s="873">
        <v>33930189</v>
      </c>
      <c r="AA315" s="873">
        <v>-116565</v>
      </c>
      <c r="AB315" s="874"/>
      <c r="AC315" s="873">
        <v>251</v>
      </c>
      <c r="AD315" s="873">
        <v>19</v>
      </c>
      <c r="AE315" s="873">
        <v>35</v>
      </c>
      <c r="AF315" s="873">
        <v>0</v>
      </c>
      <c r="AG315" s="873">
        <v>129</v>
      </c>
      <c r="AH315" s="873">
        <v>19</v>
      </c>
      <c r="AI315" s="873">
        <v>0</v>
      </c>
      <c r="AJ315" s="873">
        <v>0</v>
      </c>
      <c r="AK315" s="873">
        <v>4</v>
      </c>
      <c r="AL315" s="873">
        <v>0</v>
      </c>
      <c r="AM315" s="873">
        <v>0</v>
      </c>
      <c r="AN315" s="873">
        <v>0</v>
      </c>
      <c r="AO315" s="873">
        <v>1347</v>
      </c>
      <c r="AP315" s="873">
        <v>1342</v>
      </c>
      <c r="AQ315" s="873">
        <v>921</v>
      </c>
      <c r="AR315" s="873">
        <v>421</v>
      </c>
      <c r="AS315" s="873">
        <v>1134</v>
      </c>
      <c r="AT315" s="843">
        <v>3855</v>
      </c>
      <c r="AU315" s="663"/>
      <c r="AV315" s="663"/>
      <c r="AX315" s="666"/>
      <c r="AY315" s="666"/>
      <c r="AZ315" s="666"/>
      <c r="BA315" s="666"/>
      <c r="BB315" s="666"/>
      <c r="BD315" s="666"/>
      <c r="BE315" s="666"/>
      <c r="BG315" s="666"/>
      <c r="BI315" s="666"/>
      <c r="BJ315" s="666"/>
      <c r="BK315" s="666"/>
    </row>
    <row r="316" spans="1:63" ht="12.75" x14ac:dyDescent="0.2">
      <c r="A316" s="288">
        <v>309</v>
      </c>
      <c r="B316" s="290" t="s">
        <v>528</v>
      </c>
      <c r="C316" s="279" t="s">
        <v>529</v>
      </c>
      <c r="D316" s="955">
        <v>73383</v>
      </c>
      <c r="E316" s="843">
        <v>28284316</v>
      </c>
      <c r="F316" s="873">
        <v>14286891</v>
      </c>
      <c r="G316" s="873">
        <v>-1356810</v>
      </c>
      <c r="H316" s="873">
        <v>275890</v>
      </c>
      <c r="I316" s="873">
        <v>-1080920</v>
      </c>
      <c r="J316" s="873">
        <v>-606513</v>
      </c>
      <c r="K316" s="873">
        <v>-11612</v>
      </c>
      <c r="L316" s="873">
        <v>-48863</v>
      </c>
      <c r="M316" s="873">
        <v>-2000</v>
      </c>
      <c r="N316" s="873">
        <v>-70577</v>
      </c>
      <c r="O316" s="873">
        <v>-31869</v>
      </c>
      <c r="P316" s="873">
        <v>-93098</v>
      </c>
      <c r="Q316" s="873">
        <v>-2402</v>
      </c>
      <c r="R316" s="873">
        <v>-89026</v>
      </c>
      <c r="S316" s="873">
        <v>0</v>
      </c>
      <c r="T316" s="873">
        <v>0</v>
      </c>
      <c r="U316" s="873">
        <v>0</v>
      </c>
      <c r="V316" s="873">
        <v>0</v>
      </c>
      <c r="W316" s="873">
        <v>-750</v>
      </c>
      <c r="X316" s="873">
        <v>-3500</v>
      </c>
      <c r="Y316" s="873">
        <v>-271074</v>
      </c>
      <c r="Z316" s="873">
        <v>11941687</v>
      </c>
      <c r="AA316" s="873">
        <v>-263000</v>
      </c>
      <c r="AB316" s="874"/>
      <c r="AC316" s="873">
        <v>148</v>
      </c>
      <c r="AD316" s="873">
        <v>4</v>
      </c>
      <c r="AE316" s="873">
        <v>39</v>
      </c>
      <c r="AF316" s="873">
        <v>0</v>
      </c>
      <c r="AG316" s="873">
        <v>172</v>
      </c>
      <c r="AH316" s="873">
        <v>29</v>
      </c>
      <c r="AI316" s="873">
        <v>33</v>
      </c>
      <c r="AJ316" s="873">
        <v>2</v>
      </c>
      <c r="AK316" s="873">
        <v>41</v>
      </c>
      <c r="AL316" s="873">
        <v>30</v>
      </c>
      <c r="AM316" s="873">
        <v>0</v>
      </c>
      <c r="AN316" s="873">
        <v>38</v>
      </c>
      <c r="AO316" s="873">
        <v>474</v>
      </c>
      <c r="AP316" s="873">
        <v>882</v>
      </c>
      <c r="AQ316" s="873">
        <v>698</v>
      </c>
      <c r="AR316" s="873">
        <v>184</v>
      </c>
      <c r="AS316" s="873">
        <v>610</v>
      </c>
      <c r="AT316" s="843">
        <v>1916</v>
      </c>
      <c r="AU316" s="663"/>
      <c r="AV316" s="663"/>
      <c r="AX316" s="666"/>
      <c r="AY316" s="666"/>
      <c r="AZ316" s="666"/>
      <c r="BA316" s="666"/>
      <c r="BB316" s="666"/>
      <c r="BD316" s="666"/>
      <c r="BE316" s="666"/>
      <c r="BG316" s="666"/>
      <c r="BI316" s="666"/>
      <c r="BJ316" s="666"/>
      <c r="BK316" s="666"/>
    </row>
    <row r="317" spans="1:63" ht="12.75" x14ac:dyDescent="0.2">
      <c r="A317" s="288">
        <v>310</v>
      </c>
      <c r="B317" s="290" t="s">
        <v>530</v>
      </c>
      <c r="C317" s="279" t="s">
        <v>531</v>
      </c>
      <c r="D317" s="955">
        <v>3097183</v>
      </c>
      <c r="E317" s="843">
        <v>4112408421</v>
      </c>
      <c r="F317" s="873">
        <v>1996431435</v>
      </c>
      <c r="G317" s="873">
        <v>-2147789</v>
      </c>
      <c r="H317" s="873">
        <v>52184578</v>
      </c>
      <c r="I317" s="873">
        <v>50036789</v>
      </c>
      <c r="J317" s="873">
        <v>-65607490</v>
      </c>
      <c r="K317" s="873">
        <v>-23270</v>
      </c>
      <c r="L317" s="873">
        <v>0</v>
      </c>
      <c r="M317" s="873">
        <v>-37568</v>
      </c>
      <c r="N317" s="873">
        <v>-119215623</v>
      </c>
      <c r="O317" s="873">
        <v>-356308</v>
      </c>
      <c r="P317" s="873">
        <v>-32603</v>
      </c>
      <c r="Q317" s="873">
        <v>-5817</v>
      </c>
      <c r="R317" s="873">
        <v>0</v>
      </c>
      <c r="S317" s="873">
        <v>0</v>
      </c>
      <c r="T317" s="873">
        <v>0</v>
      </c>
      <c r="U317" s="873">
        <v>0</v>
      </c>
      <c r="V317" s="873">
        <v>0</v>
      </c>
      <c r="W317" s="873">
        <v>0</v>
      </c>
      <c r="X317" s="873">
        <v>-24449</v>
      </c>
      <c r="Y317" s="873">
        <v>-3289982</v>
      </c>
      <c r="Z317" s="873">
        <v>1857875114</v>
      </c>
      <c r="AA317" s="873">
        <v>-29682484</v>
      </c>
      <c r="AB317" s="874"/>
      <c r="AC317" s="873">
        <v>1117</v>
      </c>
      <c r="AD317" s="873">
        <v>1</v>
      </c>
      <c r="AE317" s="873">
        <v>0</v>
      </c>
      <c r="AF317" s="873">
        <v>1</v>
      </c>
      <c r="AG317" s="873">
        <v>5361</v>
      </c>
      <c r="AH317" s="873">
        <v>125</v>
      </c>
      <c r="AI317" s="873">
        <v>5</v>
      </c>
      <c r="AJ317" s="873">
        <v>1</v>
      </c>
      <c r="AK317" s="873">
        <v>0</v>
      </c>
      <c r="AL317" s="873">
        <v>0</v>
      </c>
      <c r="AM317" s="873">
        <v>0</v>
      </c>
      <c r="AN317" s="873">
        <v>0</v>
      </c>
      <c r="AO317" s="873">
        <v>21483</v>
      </c>
      <c r="AP317" s="873">
        <v>1095</v>
      </c>
      <c r="AQ317" s="873">
        <v>401</v>
      </c>
      <c r="AR317" s="873">
        <v>694</v>
      </c>
      <c r="AS317" s="873">
        <v>11892</v>
      </c>
      <c r="AT317" s="843">
        <v>35523</v>
      </c>
      <c r="AU317" s="663"/>
      <c r="AV317" s="663"/>
      <c r="AX317" s="666"/>
      <c r="AY317" s="666"/>
      <c r="AZ317" s="666"/>
      <c r="BA317" s="666"/>
      <c r="BB317" s="666"/>
      <c r="BD317" s="666"/>
      <c r="BE317" s="666"/>
      <c r="BG317" s="666"/>
      <c r="BI317" s="666"/>
      <c r="BJ317" s="666"/>
      <c r="BK317" s="666"/>
    </row>
    <row r="318" spans="1:63" ht="12.75" x14ac:dyDescent="0.2">
      <c r="A318" s="288">
        <v>311</v>
      </c>
      <c r="B318" s="290" t="s">
        <v>532</v>
      </c>
      <c r="C318" s="279" t="s">
        <v>533</v>
      </c>
      <c r="D318" s="955">
        <v>107015</v>
      </c>
      <c r="E318" s="843">
        <v>44321834</v>
      </c>
      <c r="F318" s="873">
        <v>21178519</v>
      </c>
      <c r="G318" s="873">
        <v>-1576059</v>
      </c>
      <c r="H318" s="873">
        <v>468635</v>
      </c>
      <c r="I318" s="873">
        <v>-1107424</v>
      </c>
      <c r="J318" s="873">
        <v>-1197006</v>
      </c>
      <c r="K318" s="873">
        <v>-73132</v>
      </c>
      <c r="L318" s="873">
        <v>0</v>
      </c>
      <c r="M318" s="873">
        <v>0</v>
      </c>
      <c r="N318" s="873">
        <v>-595857</v>
      </c>
      <c r="O318" s="873">
        <v>-26104</v>
      </c>
      <c r="P318" s="873">
        <v>-97508</v>
      </c>
      <c r="Q318" s="873">
        <v>0</v>
      </c>
      <c r="R318" s="873">
        <v>0</v>
      </c>
      <c r="S318" s="873">
        <v>0</v>
      </c>
      <c r="T318" s="873">
        <v>0</v>
      </c>
      <c r="U318" s="873">
        <v>0</v>
      </c>
      <c r="V318" s="873">
        <v>0</v>
      </c>
      <c r="W318" s="873">
        <v>0</v>
      </c>
      <c r="X318" s="873">
        <v>-14655</v>
      </c>
      <c r="Y318" s="873">
        <v>-568666</v>
      </c>
      <c r="Z318" s="873">
        <v>17498167</v>
      </c>
      <c r="AA318" s="873">
        <v>-927403</v>
      </c>
      <c r="AB318" s="874"/>
      <c r="AC318" s="873">
        <v>127</v>
      </c>
      <c r="AD318" s="873">
        <v>15</v>
      </c>
      <c r="AE318" s="873">
        <v>0</v>
      </c>
      <c r="AF318" s="873">
        <v>0</v>
      </c>
      <c r="AG318" s="873">
        <v>237</v>
      </c>
      <c r="AH318" s="873">
        <v>7</v>
      </c>
      <c r="AI318" s="873">
        <v>3</v>
      </c>
      <c r="AJ318" s="873">
        <v>0</v>
      </c>
      <c r="AK318" s="873">
        <v>0</v>
      </c>
      <c r="AL318" s="873">
        <v>0</v>
      </c>
      <c r="AM318" s="873">
        <v>0</v>
      </c>
      <c r="AN318" s="873">
        <v>0</v>
      </c>
      <c r="AO318" s="873">
        <v>751</v>
      </c>
      <c r="AP318" s="873">
        <v>1285</v>
      </c>
      <c r="AQ318" s="873">
        <v>964</v>
      </c>
      <c r="AR318" s="873">
        <v>321</v>
      </c>
      <c r="AS318" s="873">
        <v>672</v>
      </c>
      <c r="AT318" s="843">
        <v>2764</v>
      </c>
      <c r="AU318" s="663"/>
      <c r="AV318" s="663"/>
      <c r="AX318" s="666"/>
      <c r="AY318" s="666"/>
      <c r="AZ318" s="666"/>
      <c r="BA318" s="666"/>
      <c r="BB318" s="666"/>
      <c r="BD318" s="666"/>
      <c r="BE318" s="666"/>
      <c r="BG318" s="666"/>
      <c r="BI318" s="666"/>
      <c r="BJ318" s="666"/>
      <c r="BK318" s="666"/>
    </row>
    <row r="319" spans="1:63" ht="12.75" x14ac:dyDescent="0.2">
      <c r="A319" s="288">
        <v>312</v>
      </c>
      <c r="B319" s="290" t="s">
        <v>534</v>
      </c>
      <c r="C319" s="279" t="s">
        <v>535</v>
      </c>
      <c r="D319" s="955">
        <v>385297</v>
      </c>
      <c r="E319" s="843">
        <v>207853594</v>
      </c>
      <c r="F319" s="873">
        <v>100030452</v>
      </c>
      <c r="G319" s="873">
        <v>-6876104</v>
      </c>
      <c r="H319" s="873">
        <v>1997929</v>
      </c>
      <c r="I319" s="873">
        <v>-4878175</v>
      </c>
      <c r="J319" s="873">
        <v>-5142446</v>
      </c>
      <c r="K319" s="873">
        <v>-159037</v>
      </c>
      <c r="L319" s="873">
        <v>0</v>
      </c>
      <c r="M319" s="873">
        <v>0</v>
      </c>
      <c r="N319" s="873">
        <v>-3448466</v>
      </c>
      <c r="O319" s="873">
        <v>-766875</v>
      </c>
      <c r="P319" s="873">
        <v>-405612</v>
      </c>
      <c r="Q319" s="873">
        <v>-19985</v>
      </c>
      <c r="R319" s="873">
        <v>0</v>
      </c>
      <c r="S319" s="873">
        <v>0</v>
      </c>
      <c r="T319" s="873">
        <v>0</v>
      </c>
      <c r="U319" s="873">
        <v>0</v>
      </c>
      <c r="V319" s="873">
        <v>0</v>
      </c>
      <c r="W319" s="873">
        <v>0</v>
      </c>
      <c r="X319" s="873">
        <v>-23692</v>
      </c>
      <c r="Y319" s="873">
        <v>-1968937</v>
      </c>
      <c r="Z319" s="873">
        <v>83217227</v>
      </c>
      <c r="AA319" s="873">
        <v>-793329</v>
      </c>
      <c r="AB319" s="874"/>
      <c r="AC319" s="873">
        <v>359</v>
      </c>
      <c r="AD319" s="873">
        <v>9</v>
      </c>
      <c r="AE319" s="873">
        <v>0</v>
      </c>
      <c r="AF319" s="873">
        <v>0</v>
      </c>
      <c r="AG319" s="873">
        <v>1260</v>
      </c>
      <c r="AH319" s="873">
        <v>285</v>
      </c>
      <c r="AI319" s="873">
        <v>91</v>
      </c>
      <c r="AJ319" s="873">
        <v>7</v>
      </c>
      <c r="AK319" s="873">
        <v>0</v>
      </c>
      <c r="AL319" s="873">
        <v>0</v>
      </c>
      <c r="AM319" s="873">
        <v>0</v>
      </c>
      <c r="AN319" s="873">
        <v>0</v>
      </c>
      <c r="AO319" s="873">
        <v>3322</v>
      </c>
      <c r="AP319" s="873">
        <v>3606</v>
      </c>
      <c r="AQ319" s="873">
        <v>2475</v>
      </c>
      <c r="AR319" s="873">
        <v>1131</v>
      </c>
      <c r="AS319" s="873">
        <v>2373</v>
      </c>
      <c r="AT319" s="843">
        <v>9287</v>
      </c>
      <c r="AU319" s="663"/>
      <c r="AV319" s="663"/>
      <c r="AX319" s="666"/>
      <c r="AY319" s="666"/>
      <c r="AZ319" s="666"/>
      <c r="BA319" s="666"/>
      <c r="BB319" s="666"/>
      <c r="BD319" s="666"/>
      <c r="BE319" s="666"/>
      <c r="BG319" s="666"/>
      <c r="BI319" s="666"/>
      <c r="BJ319" s="666"/>
      <c r="BK319" s="666"/>
    </row>
    <row r="320" spans="1:63" ht="12.75" x14ac:dyDescent="0.2">
      <c r="A320" s="288">
        <v>313</v>
      </c>
      <c r="B320" s="290" t="s">
        <v>536</v>
      </c>
      <c r="C320" s="279" t="s">
        <v>537</v>
      </c>
      <c r="D320" s="955">
        <v>625526</v>
      </c>
      <c r="E320" s="843">
        <v>360183252</v>
      </c>
      <c r="F320" s="873">
        <v>167685809</v>
      </c>
      <c r="G320" s="873">
        <v>-9629927</v>
      </c>
      <c r="H320" s="873">
        <v>3882255</v>
      </c>
      <c r="I320" s="873">
        <v>-5747672</v>
      </c>
      <c r="J320" s="873">
        <v>-10246372</v>
      </c>
      <c r="K320" s="873">
        <v>-185333</v>
      </c>
      <c r="L320" s="873">
        <v>-243252</v>
      </c>
      <c r="M320" s="873">
        <v>-150000</v>
      </c>
      <c r="N320" s="873">
        <v>-2622374</v>
      </c>
      <c r="O320" s="873">
        <v>-339690</v>
      </c>
      <c r="P320" s="873">
        <v>-61701</v>
      </c>
      <c r="Q320" s="873">
        <v>0</v>
      </c>
      <c r="R320" s="873">
        <v>-257909</v>
      </c>
      <c r="S320" s="873">
        <v>0</v>
      </c>
      <c r="T320" s="873">
        <v>-50000</v>
      </c>
      <c r="U320" s="873">
        <v>0</v>
      </c>
      <c r="V320" s="873">
        <v>0</v>
      </c>
      <c r="W320" s="873">
        <v>-336251</v>
      </c>
      <c r="X320" s="873">
        <v>-17642</v>
      </c>
      <c r="Y320" s="873">
        <v>-2668624</v>
      </c>
      <c r="Z320" s="873">
        <v>143273406</v>
      </c>
      <c r="AA320" s="873">
        <v>-1488517</v>
      </c>
      <c r="AB320" s="874"/>
      <c r="AC320" s="873">
        <v>1038</v>
      </c>
      <c r="AD320" s="873">
        <v>34</v>
      </c>
      <c r="AE320" s="873">
        <v>168</v>
      </c>
      <c r="AF320" s="873">
        <v>0</v>
      </c>
      <c r="AG320" s="873">
        <v>1307</v>
      </c>
      <c r="AH320" s="873">
        <v>420</v>
      </c>
      <c r="AI320" s="873">
        <v>47</v>
      </c>
      <c r="AJ320" s="873">
        <v>0</v>
      </c>
      <c r="AK320" s="873">
        <v>172</v>
      </c>
      <c r="AL320" s="873">
        <v>0</v>
      </c>
      <c r="AM320" s="873">
        <v>0</v>
      </c>
      <c r="AN320" s="873">
        <v>1</v>
      </c>
      <c r="AO320" s="873">
        <v>5558</v>
      </c>
      <c r="AP320" s="873">
        <v>5266</v>
      </c>
      <c r="AQ320" s="873">
        <v>3461</v>
      </c>
      <c r="AR320" s="873">
        <v>1805</v>
      </c>
      <c r="AS320" s="873">
        <v>3796</v>
      </c>
      <c r="AT320" s="843">
        <v>14770</v>
      </c>
      <c r="AU320" s="663"/>
      <c r="AV320" s="663"/>
      <c r="AX320" s="666"/>
      <c r="AY320" s="666"/>
      <c r="AZ320" s="666"/>
      <c r="BA320" s="666"/>
      <c r="BB320" s="666"/>
      <c r="BD320" s="666"/>
      <c r="BE320" s="666"/>
      <c r="BG320" s="666"/>
      <c r="BI320" s="666"/>
      <c r="BJ320" s="666"/>
      <c r="BK320" s="666"/>
    </row>
    <row r="321" spans="1:63" ht="12.75" x14ac:dyDescent="0.2">
      <c r="A321" s="288">
        <v>314</v>
      </c>
      <c r="B321" s="290" t="s">
        <v>538</v>
      </c>
      <c r="C321" s="279" t="s">
        <v>539</v>
      </c>
      <c r="D321" s="955">
        <v>198716</v>
      </c>
      <c r="E321" s="843">
        <v>134352293</v>
      </c>
      <c r="F321" s="873">
        <v>64402747</v>
      </c>
      <c r="G321" s="873">
        <v>-2414897</v>
      </c>
      <c r="H321" s="873">
        <v>1519211</v>
      </c>
      <c r="I321" s="873">
        <v>-895686</v>
      </c>
      <c r="J321" s="873">
        <v>-3303749</v>
      </c>
      <c r="K321" s="873">
        <v>-45015</v>
      </c>
      <c r="L321" s="873">
        <v>-15425</v>
      </c>
      <c r="M321" s="873">
        <v>-100000</v>
      </c>
      <c r="N321" s="873">
        <v>-1221549</v>
      </c>
      <c r="O321" s="873">
        <v>-73655</v>
      </c>
      <c r="P321" s="873">
        <v>-186539</v>
      </c>
      <c r="Q321" s="873">
        <v>-4087</v>
      </c>
      <c r="R321" s="873">
        <v>-9218</v>
      </c>
      <c r="S321" s="873">
        <v>-9631</v>
      </c>
      <c r="T321" s="873">
        <v>-10000</v>
      </c>
      <c r="U321" s="873">
        <v>0</v>
      </c>
      <c r="V321" s="873">
        <v>0</v>
      </c>
      <c r="W321" s="873">
        <v>0</v>
      </c>
      <c r="X321" s="873">
        <v>0</v>
      </c>
      <c r="Y321" s="873">
        <v>-668568</v>
      </c>
      <c r="Z321" s="873">
        <v>57852939</v>
      </c>
      <c r="AA321" s="873">
        <v>-530996</v>
      </c>
      <c r="AB321" s="874"/>
      <c r="AC321" s="873">
        <v>213</v>
      </c>
      <c r="AD321" s="873">
        <v>22</v>
      </c>
      <c r="AE321" s="873">
        <v>12</v>
      </c>
      <c r="AF321" s="873">
        <v>2</v>
      </c>
      <c r="AG321" s="873">
        <v>342</v>
      </c>
      <c r="AH321" s="873">
        <v>92</v>
      </c>
      <c r="AI321" s="873">
        <v>2</v>
      </c>
      <c r="AJ321" s="873">
        <v>7</v>
      </c>
      <c r="AK321" s="873">
        <v>9</v>
      </c>
      <c r="AL321" s="873">
        <v>4</v>
      </c>
      <c r="AM321" s="873">
        <v>0</v>
      </c>
      <c r="AN321" s="873">
        <v>1</v>
      </c>
      <c r="AO321" s="873">
        <v>1768</v>
      </c>
      <c r="AP321" s="873">
        <v>1404</v>
      </c>
      <c r="AQ321" s="873">
        <v>930</v>
      </c>
      <c r="AR321" s="873">
        <v>474</v>
      </c>
      <c r="AS321" s="873">
        <v>1235</v>
      </c>
      <c r="AT321" s="843">
        <v>4416</v>
      </c>
      <c r="AU321" s="663"/>
      <c r="AV321" s="663"/>
      <c r="AX321" s="666"/>
      <c r="AY321" s="666"/>
      <c r="AZ321" s="666"/>
      <c r="BA321" s="666"/>
      <c r="BB321" s="666"/>
      <c r="BD321" s="666"/>
      <c r="BE321" s="666"/>
      <c r="BG321" s="666"/>
      <c r="BI321" s="666"/>
      <c r="BJ321" s="666"/>
      <c r="BK321" s="666"/>
    </row>
    <row r="322" spans="1:63" ht="12.75" x14ac:dyDescent="0.2">
      <c r="A322" s="288">
        <v>315</v>
      </c>
      <c r="B322" s="290" t="s">
        <v>540</v>
      </c>
      <c r="C322" s="279" t="s">
        <v>541</v>
      </c>
      <c r="D322" s="955">
        <v>242888</v>
      </c>
      <c r="E322" s="843">
        <v>190506150</v>
      </c>
      <c r="F322" s="873">
        <v>92012438</v>
      </c>
      <c r="G322" s="873">
        <v>-1753062</v>
      </c>
      <c r="H322" s="873">
        <v>2250305</v>
      </c>
      <c r="I322" s="873">
        <v>497243</v>
      </c>
      <c r="J322" s="873">
        <v>-5868047</v>
      </c>
      <c r="K322" s="873">
        <v>-80000</v>
      </c>
      <c r="L322" s="873">
        <v>-6138</v>
      </c>
      <c r="M322" s="873">
        <v>-96000</v>
      </c>
      <c r="N322" s="873">
        <v>-3765317</v>
      </c>
      <c r="O322" s="873">
        <v>-341935</v>
      </c>
      <c r="P322" s="873">
        <v>-178163</v>
      </c>
      <c r="Q322" s="873">
        <v>-20000</v>
      </c>
      <c r="R322" s="873">
        <v>0</v>
      </c>
      <c r="S322" s="873">
        <v>-14470</v>
      </c>
      <c r="T322" s="873">
        <v>-3148</v>
      </c>
      <c r="U322" s="873">
        <v>0</v>
      </c>
      <c r="V322" s="873">
        <v>0</v>
      </c>
      <c r="W322" s="873">
        <v>-500000</v>
      </c>
      <c r="X322" s="873">
        <v>-48000</v>
      </c>
      <c r="Y322" s="873">
        <v>-1286914</v>
      </c>
      <c r="Z322" s="873">
        <v>79876549</v>
      </c>
      <c r="AA322" s="873">
        <v>-763000</v>
      </c>
      <c r="AB322" s="874"/>
      <c r="AC322" s="873">
        <v>273</v>
      </c>
      <c r="AD322" s="873">
        <v>0</v>
      </c>
      <c r="AE322" s="873">
        <v>2</v>
      </c>
      <c r="AF322" s="873">
        <v>0</v>
      </c>
      <c r="AG322" s="873">
        <v>605</v>
      </c>
      <c r="AH322" s="873">
        <v>123</v>
      </c>
      <c r="AI322" s="873">
        <v>44</v>
      </c>
      <c r="AJ322" s="873">
        <v>0</v>
      </c>
      <c r="AK322" s="873">
        <v>0</v>
      </c>
      <c r="AL322" s="873">
        <v>4</v>
      </c>
      <c r="AM322" s="873">
        <v>0</v>
      </c>
      <c r="AN322" s="873">
        <v>0</v>
      </c>
      <c r="AO322" s="873">
        <v>2439</v>
      </c>
      <c r="AP322" s="873">
        <v>913</v>
      </c>
      <c r="AQ322" s="873">
        <v>450</v>
      </c>
      <c r="AR322" s="873">
        <v>463</v>
      </c>
      <c r="AS322" s="873">
        <v>1375</v>
      </c>
      <c r="AT322" s="843">
        <v>4709</v>
      </c>
      <c r="AU322" s="663"/>
      <c r="AV322" s="663"/>
      <c r="AX322" s="666"/>
      <c r="AY322" s="666"/>
      <c r="AZ322" s="666"/>
      <c r="BA322" s="666"/>
      <c r="BB322" s="666"/>
      <c r="BD322" s="666"/>
      <c r="BE322" s="666"/>
      <c r="BG322" s="666"/>
      <c r="BI322" s="666"/>
      <c r="BJ322" s="666"/>
      <c r="BK322" s="666"/>
    </row>
    <row r="323" spans="1:63" ht="12.75" x14ac:dyDescent="0.2">
      <c r="A323" s="288">
        <v>316</v>
      </c>
      <c r="B323" s="290" t="s">
        <v>542</v>
      </c>
      <c r="C323" s="279" t="s">
        <v>543</v>
      </c>
      <c r="D323" s="955">
        <v>337829</v>
      </c>
      <c r="E323" s="843">
        <v>181071145</v>
      </c>
      <c r="F323" s="873">
        <v>87185339</v>
      </c>
      <c r="G323" s="873">
        <v>-6218946</v>
      </c>
      <c r="H323" s="873">
        <v>1944597</v>
      </c>
      <c r="I323" s="873">
        <v>-4274349</v>
      </c>
      <c r="J323" s="873">
        <v>-4503498</v>
      </c>
      <c r="K323" s="873">
        <v>-29481</v>
      </c>
      <c r="L323" s="873">
        <v>-592</v>
      </c>
      <c r="M323" s="873">
        <v>-200000</v>
      </c>
      <c r="N323" s="873">
        <v>-2653122</v>
      </c>
      <c r="O323" s="873">
        <v>-461806</v>
      </c>
      <c r="P323" s="873">
        <v>-133768</v>
      </c>
      <c r="Q323" s="873">
        <v>-7370</v>
      </c>
      <c r="R323" s="873">
        <v>0</v>
      </c>
      <c r="S323" s="873">
        <v>0</v>
      </c>
      <c r="T323" s="873">
        <v>0</v>
      </c>
      <c r="U323" s="873">
        <v>0</v>
      </c>
      <c r="V323" s="873">
        <v>0</v>
      </c>
      <c r="W323" s="873">
        <v>-50000</v>
      </c>
      <c r="X323" s="873">
        <v>-32656</v>
      </c>
      <c r="Y323" s="873">
        <v>-1405161</v>
      </c>
      <c r="Z323" s="873">
        <v>72183536</v>
      </c>
      <c r="AA323" s="873">
        <v>-1500000</v>
      </c>
      <c r="AB323" s="874"/>
      <c r="AC323" s="873">
        <v>390</v>
      </c>
      <c r="AD323" s="873">
        <v>8</v>
      </c>
      <c r="AE323" s="873">
        <v>1</v>
      </c>
      <c r="AF323" s="873">
        <v>0</v>
      </c>
      <c r="AG323" s="873">
        <v>678</v>
      </c>
      <c r="AH323" s="873">
        <v>316</v>
      </c>
      <c r="AI323" s="873">
        <v>19</v>
      </c>
      <c r="AJ323" s="873">
        <v>8</v>
      </c>
      <c r="AK323" s="873">
        <v>0</v>
      </c>
      <c r="AL323" s="873">
        <v>0</v>
      </c>
      <c r="AM323" s="873">
        <v>0</v>
      </c>
      <c r="AN323" s="873">
        <v>0</v>
      </c>
      <c r="AO323" s="873">
        <v>2934</v>
      </c>
      <c r="AP323" s="873">
        <v>3445</v>
      </c>
      <c r="AQ323" s="873">
        <v>2527</v>
      </c>
      <c r="AR323" s="873">
        <v>918</v>
      </c>
      <c r="AS323" s="873">
        <v>1830</v>
      </c>
      <c r="AT323" s="843">
        <v>8247</v>
      </c>
      <c r="AU323" s="663"/>
      <c r="AV323" s="663"/>
      <c r="AX323" s="666"/>
      <c r="AY323" s="666"/>
      <c r="AZ323" s="666"/>
      <c r="BA323" s="666"/>
      <c r="BB323" s="666"/>
      <c r="BD323" s="666"/>
      <c r="BE323" s="666"/>
      <c r="BG323" s="666"/>
      <c r="BI323" s="666"/>
      <c r="BJ323" s="666"/>
      <c r="BK323" s="666"/>
    </row>
    <row r="324" spans="1:63" ht="12.75" x14ac:dyDescent="0.2">
      <c r="A324" s="288">
        <v>317</v>
      </c>
      <c r="B324" s="290" t="s">
        <v>544</v>
      </c>
      <c r="C324" s="279" t="s">
        <v>545</v>
      </c>
      <c r="D324" s="955">
        <v>138353</v>
      </c>
      <c r="E324" s="843">
        <v>111611112</v>
      </c>
      <c r="F324" s="873">
        <v>52115007</v>
      </c>
      <c r="G324" s="873">
        <v>-1019975</v>
      </c>
      <c r="H324" s="873">
        <v>1094334</v>
      </c>
      <c r="I324" s="873">
        <v>74359</v>
      </c>
      <c r="J324" s="873">
        <v>-2609132</v>
      </c>
      <c r="K324" s="873">
        <v>0</v>
      </c>
      <c r="L324" s="873">
        <v>-699</v>
      </c>
      <c r="M324" s="873">
        <v>0</v>
      </c>
      <c r="N324" s="873">
        <v>-1518047</v>
      </c>
      <c r="O324" s="873">
        <v>-309437</v>
      </c>
      <c r="P324" s="873">
        <v>-64432</v>
      </c>
      <c r="Q324" s="873">
        <v>0</v>
      </c>
      <c r="R324" s="873">
        <v>0</v>
      </c>
      <c r="S324" s="873">
        <v>0</v>
      </c>
      <c r="T324" s="873">
        <v>-323053</v>
      </c>
      <c r="U324" s="873">
        <v>0</v>
      </c>
      <c r="V324" s="873">
        <v>0</v>
      </c>
      <c r="W324" s="873">
        <v>0</v>
      </c>
      <c r="X324" s="873">
        <v>0</v>
      </c>
      <c r="Y324" s="873">
        <v>-238510</v>
      </c>
      <c r="Z324" s="873">
        <v>47126056</v>
      </c>
      <c r="AA324" s="873">
        <v>-750000</v>
      </c>
      <c r="AB324" s="874"/>
      <c r="AC324" s="873">
        <v>173</v>
      </c>
      <c r="AD324" s="873">
        <v>0</v>
      </c>
      <c r="AE324" s="873">
        <v>1</v>
      </c>
      <c r="AF324" s="873">
        <v>0</v>
      </c>
      <c r="AG324" s="873">
        <v>497</v>
      </c>
      <c r="AH324" s="873">
        <v>104</v>
      </c>
      <c r="AI324" s="873">
        <v>10</v>
      </c>
      <c r="AJ324" s="873">
        <v>0</v>
      </c>
      <c r="AK324" s="873">
        <v>0</v>
      </c>
      <c r="AL324" s="873">
        <v>0</v>
      </c>
      <c r="AM324" s="873">
        <v>0</v>
      </c>
      <c r="AN324" s="873">
        <v>3</v>
      </c>
      <c r="AO324" s="873">
        <v>1386</v>
      </c>
      <c r="AP324" s="873">
        <v>500</v>
      </c>
      <c r="AQ324" s="873">
        <v>245</v>
      </c>
      <c r="AR324" s="873">
        <v>255</v>
      </c>
      <c r="AS324" s="873">
        <v>718</v>
      </c>
      <c r="AT324" s="843">
        <v>2652</v>
      </c>
      <c r="AU324" s="663"/>
      <c r="AV324" s="663"/>
      <c r="AX324" s="666"/>
      <c r="AY324" s="666"/>
      <c r="AZ324" s="666"/>
      <c r="BA324" s="666"/>
      <c r="BB324" s="666"/>
      <c r="BD324" s="666"/>
      <c r="BE324" s="666"/>
      <c r="BG324" s="666"/>
      <c r="BI324" s="666"/>
      <c r="BJ324" s="666"/>
      <c r="BK324" s="666"/>
    </row>
    <row r="325" spans="1:63" ht="12.75" x14ac:dyDescent="0.2">
      <c r="A325" s="288">
        <v>318</v>
      </c>
      <c r="B325" s="290" t="s">
        <v>546</v>
      </c>
      <c r="C325" s="279" t="s">
        <v>547</v>
      </c>
      <c r="D325" s="955">
        <v>183365</v>
      </c>
      <c r="E325" s="843">
        <v>138315006</v>
      </c>
      <c r="F325" s="873">
        <v>65943664</v>
      </c>
      <c r="G325" s="873">
        <v>-1844328</v>
      </c>
      <c r="H325" s="873">
        <v>1391337</v>
      </c>
      <c r="I325" s="873">
        <v>-452991</v>
      </c>
      <c r="J325" s="873">
        <v>-5168816</v>
      </c>
      <c r="K325" s="873">
        <v>-55221</v>
      </c>
      <c r="L325" s="873">
        <v>-5261</v>
      </c>
      <c r="M325" s="873">
        <v>-85000</v>
      </c>
      <c r="N325" s="873">
        <v>-2040146</v>
      </c>
      <c r="O325" s="873">
        <v>-6361</v>
      </c>
      <c r="P325" s="873">
        <v>-46388</v>
      </c>
      <c r="Q325" s="873">
        <v>-831</v>
      </c>
      <c r="R325" s="873">
        <v>-836</v>
      </c>
      <c r="S325" s="873">
        <v>0</v>
      </c>
      <c r="T325" s="873">
        <v>-9000</v>
      </c>
      <c r="U325" s="873">
        <v>0</v>
      </c>
      <c r="V325" s="873">
        <v>0</v>
      </c>
      <c r="W325" s="873">
        <v>0</v>
      </c>
      <c r="X325" s="873">
        <v>-8273</v>
      </c>
      <c r="Y325" s="873">
        <v>-427500</v>
      </c>
      <c r="Z325" s="873">
        <v>57358792</v>
      </c>
      <c r="AA325" s="873">
        <v>-300000</v>
      </c>
      <c r="AB325" s="874"/>
      <c r="AC325" s="873">
        <v>198</v>
      </c>
      <c r="AD325" s="873">
        <v>8</v>
      </c>
      <c r="AE325" s="873">
        <v>4</v>
      </c>
      <c r="AF325" s="873">
        <v>1</v>
      </c>
      <c r="AG325" s="873">
        <v>400</v>
      </c>
      <c r="AH325" s="873">
        <v>8</v>
      </c>
      <c r="AI325" s="873">
        <v>20</v>
      </c>
      <c r="AJ325" s="873">
        <v>2</v>
      </c>
      <c r="AK325" s="873">
        <v>1</v>
      </c>
      <c r="AL325" s="873">
        <v>0</v>
      </c>
      <c r="AM325" s="873">
        <v>0</v>
      </c>
      <c r="AN325" s="873">
        <v>1</v>
      </c>
      <c r="AO325" s="873">
        <v>1671</v>
      </c>
      <c r="AP325" s="873">
        <v>994</v>
      </c>
      <c r="AQ325" s="873">
        <v>602</v>
      </c>
      <c r="AR325" s="873">
        <v>392</v>
      </c>
      <c r="AS325" s="873">
        <v>1068</v>
      </c>
      <c r="AT325" s="843">
        <v>3716</v>
      </c>
      <c r="AU325" s="663"/>
      <c r="AV325" s="663"/>
      <c r="AX325" s="666"/>
      <c r="AY325" s="666"/>
      <c r="AZ325" s="666"/>
      <c r="BA325" s="666"/>
      <c r="BB325" s="666"/>
      <c r="BD325" s="666"/>
      <c r="BE325" s="666"/>
      <c r="BG325" s="666"/>
      <c r="BI325" s="666"/>
      <c r="BJ325" s="666"/>
      <c r="BK325" s="666"/>
    </row>
    <row r="326" spans="1:63" ht="12.75" x14ac:dyDescent="0.2">
      <c r="A326" s="288">
        <v>319</v>
      </c>
      <c r="B326" s="290" t="s">
        <v>548</v>
      </c>
      <c r="C326" s="279" t="s">
        <v>549</v>
      </c>
      <c r="D326" s="955">
        <v>344356</v>
      </c>
      <c r="E326" s="843">
        <v>192413595</v>
      </c>
      <c r="F326" s="873">
        <v>92541811</v>
      </c>
      <c r="G326" s="873">
        <v>-5278276</v>
      </c>
      <c r="H326" s="873">
        <v>1808136</v>
      </c>
      <c r="I326" s="873">
        <v>-3470140</v>
      </c>
      <c r="J326" s="873">
        <v>-4428712</v>
      </c>
      <c r="K326" s="873">
        <v>-14066</v>
      </c>
      <c r="L326" s="873">
        <v>0</v>
      </c>
      <c r="M326" s="873">
        <v>-463</v>
      </c>
      <c r="N326" s="873">
        <v>-3525707</v>
      </c>
      <c r="O326" s="873">
        <v>-276697</v>
      </c>
      <c r="P326" s="873">
        <v>-389792</v>
      </c>
      <c r="Q326" s="873">
        <v>-1853</v>
      </c>
      <c r="R326" s="873">
        <v>0</v>
      </c>
      <c r="S326" s="873">
        <v>0</v>
      </c>
      <c r="T326" s="873">
        <v>-79200</v>
      </c>
      <c r="U326" s="873">
        <v>-79200</v>
      </c>
      <c r="V326" s="873">
        <v>0</v>
      </c>
      <c r="W326" s="873">
        <v>0</v>
      </c>
      <c r="X326" s="873">
        <v>-31167</v>
      </c>
      <c r="Y326" s="873">
        <v>-704793</v>
      </c>
      <c r="Z326" s="873">
        <v>79308137</v>
      </c>
      <c r="AA326" s="873">
        <v>-840300</v>
      </c>
      <c r="AB326" s="874"/>
      <c r="AC326" s="873">
        <v>228</v>
      </c>
      <c r="AD326" s="873">
        <v>4</v>
      </c>
      <c r="AE326" s="873">
        <v>0</v>
      </c>
      <c r="AF326" s="873">
        <v>0</v>
      </c>
      <c r="AG326" s="873">
        <v>1318</v>
      </c>
      <c r="AH326" s="873">
        <v>146</v>
      </c>
      <c r="AI326" s="873">
        <v>49</v>
      </c>
      <c r="AJ326" s="873">
        <v>4</v>
      </c>
      <c r="AK326" s="873">
        <v>0</v>
      </c>
      <c r="AL326" s="873">
        <v>0</v>
      </c>
      <c r="AM326" s="873">
        <v>0</v>
      </c>
      <c r="AN326" s="873">
        <v>0</v>
      </c>
      <c r="AO326" s="873">
        <v>5103</v>
      </c>
      <c r="AP326" s="873">
        <v>3033</v>
      </c>
      <c r="AQ326" s="873">
        <v>2046</v>
      </c>
      <c r="AR326" s="873">
        <v>987</v>
      </c>
      <c r="AS326" s="873">
        <v>126</v>
      </c>
      <c r="AT326" s="843">
        <v>8270</v>
      </c>
      <c r="AU326" s="663"/>
      <c r="AV326" s="663"/>
      <c r="AX326" s="666"/>
      <c r="AY326" s="666"/>
      <c r="AZ326" s="666"/>
      <c r="BA326" s="666"/>
      <c r="BB326" s="666"/>
      <c r="BD326" s="666"/>
      <c r="BE326" s="666"/>
      <c r="BG326" s="666"/>
      <c r="BI326" s="666"/>
      <c r="BJ326" s="666"/>
      <c r="BK326" s="666"/>
    </row>
    <row r="327" spans="1:63" ht="12.75" x14ac:dyDescent="0.2">
      <c r="A327" s="288">
        <v>320</v>
      </c>
      <c r="B327" s="290" t="s">
        <v>550</v>
      </c>
      <c r="C327" s="279" t="s">
        <v>551</v>
      </c>
      <c r="D327" s="955">
        <v>136997</v>
      </c>
      <c r="E327" s="843">
        <v>101470894</v>
      </c>
      <c r="F327" s="873">
        <v>48449385</v>
      </c>
      <c r="G327" s="873">
        <v>-1815778</v>
      </c>
      <c r="H327" s="873">
        <v>1164600</v>
      </c>
      <c r="I327" s="873">
        <v>-651178</v>
      </c>
      <c r="J327" s="873">
        <v>-3403243</v>
      </c>
      <c r="K327" s="873">
        <v>-18044</v>
      </c>
      <c r="L327" s="873">
        <v>0</v>
      </c>
      <c r="M327" s="873">
        <v>-235036</v>
      </c>
      <c r="N327" s="873">
        <v>-1221329</v>
      </c>
      <c r="O327" s="873">
        <v>-202146</v>
      </c>
      <c r="P327" s="873">
        <v>-16682</v>
      </c>
      <c r="Q327" s="873">
        <v>-4511</v>
      </c>
      <c r="R327" s="873">
        <v>0</v>
      </c>
      <c r="S327" s="873">
        <v>0</v>
      </c>
      <c r="T327" s="873">
        <v>0</v>
      </c>
      <c r="U327" s="873">
        <v>0</v>
      </c>
      <c r="V327" s="873">
        <v>0</v>
      </c>
      <c r="W327" s="873">
        <v>0</v>
      </c>
      <c r="X327" s="873">
        <v>-1872</v>
      </c>
      <c r="Y327" s="873">
        <v>-688183</v>
      </c>
      <c r="Z327" s="873">
        <v>41467161</v>
      </c>
      <c r="AA327" s="873">
        <v>-400000</v>
      </c>
      <c r="AB327" s="874"/>
      <c r="AC327" s="873">
        <v>225</v>
      </c>
      <c r="AD327" s="873">
        <v>4</v>
      </c>
      <c r="AE327" s="873">
        <v>0</v>
      </c>
      <c r="AF327" s="873">
        <v>0</v>
      </c>
      <c r="AG327" s="873">
        <v>203</v>
      </c>
      <c r="AH327" s="873">
        <v>118</v>
      </c>
      <c r="AI327" s="873">
        <v>9</v>
      </c>
      <c r="AJ327" s="873">
        <v>4</v>
      </c>
      <c r="AK327" s="873">
        <v>0</v>
      </c>
      <c r="AL327" s="873">
        <v>0</v>
      </c>
      <c r="AM327" s="873">
        <v>0</v>
      </c>
      <c r="AN327" s="873">
        <v>0</v>
      </c>
      <c r="AO327" s="873">
        <v>1395</v>
      </c>
      <c r="AP327" s="873">
        <v>942</v>
      </c>
      <c r="AQ327" s="873">
        <v>598</v>
      </c>
      <c r="AR327" s="873">
        <v>344</v>
      </c>
      <c r="AS327" s="873">
        <v>770</v>
      </c>
      <c r="AT327" s="843">
        <v>3100</v>
      </c>
      <c r="AU327" s="663"/>
      <c r="AV327" s="663"/>
      <c r="AX327" s="666"/>
      <c r="AY327" s="666"/>
      <c r="AZ327" s="666"/>
      <c r="BA327" s="666"/>
      <c r="BB327" s="666"/>
      <c r="BD327" s="666"/>
      <c r="BE327" s="666"/>
      <c r="BG327" s="666"/>
      <c r="BI327" s="666"/>
      <c r="BJ327" s="666"/>
      <c r="BK327" s="666"/>
    </row>
    <row r="328" spans="1:63" ht="12.75" x14ac:dyDescent="0.2">
      <c r="A328" s="288">
        <v>321</v>
      </c>
      <c r="B328" s="290" t="s">
        <v>552</v>
      </c>
      <c r="C328" s="279" t="s">
        <v>553</v>
      </c>
      <c r="D328" s="955">
        <v>131043</v>
      </c>
      <c r="E328" s="843">
        <v>78007322</v>
      </c>
      <c r="F328" s="873">
        <v>37270494</v>
      </c>
      <c r="G328" s="873">
        <v>-2095659</v>
      </c>
      <c r="H328" s="873">
        <v>701915</v>
      </c>
      <c r="I328" s="873">
        <v>-1393744</v>
      </c>
      <c r="J328" s="873">
        <v>-1901772</v>
      </c>
      <c r="K328" s="873">
        <v>-39084</v>
      </c>
      <c r="L328" s="873">
        <v>0</v>
      </c>
      <c r="M328" s="873">
        <v>-6373</v>
      </c>
      <c r="N328" s="873">
        <v>-860475</v>
      </c>
      <c r="O328" s="873">
        <v>-91543</v>
      </c>
      <c r="P328" s="873">
        <v>-3842</v>
      </c>
      <c r="Q328" s="873">
        <v>0</v>
      </c>
      <c r="R328" s="873">
        <v>0</v>
      </c>
      <c r="S328" s="873">
        <v>0</v>
      </c>
      <c r="T328" s="873">
        <v>0</v>
      </c>
      <c r="U328" s="873">
        <v>0</v>
      </c>
      <c r="V328" s="873">
        <v>0</v>
      </c>
      <c r="W328" s="873">
        <v>-24582</v>
      </c>
      <c r="X328" s="873">
        <v>-3078</v>
      </c>
      <c r="Y328" s="873">
        <v>-780650</v>
      </c>
      <c r="Z328" s="873">
        <v>31773022</v>
      </c>
      <c r="AA328" s="873">
        <v>-540943</v>
      </c>
      <c r="AB328" s="874"/>
      <c r="AC328" s="873">
        <v>172</v>
      </c>
      <c r="AD328" s="873">
        <v>4</v>
      </c>
      <c r="AE328" s="873">
        <v>0</v>
      </c>
      <c r="AF328" s="873">
        <v>1</v>
      </c>
      <c r="AG328" s="873">
        <v>404</v>
      </c>
      <c r="AH328" s="873">
        <v>63</v>
      </c>
      <c r="AI328" s="873">
        <v>2</v>
      </c>
      <c r="AJ328" s="873">
        <v>0</v>
      </c>
      <c r="AK328" s="873">
        <v>0</v>
      </c>
      <c r="AL328" s="873">
        <v>0</v>
      </c>
      <c r="AM328" s="873">
        <v>0</v>
      </c>
      <c r="AN328" s="873">
        <v>642</v>
      </c>
      <c r="AO328" s="873">
        <v>1037</v>
      </c>
      <c r="AP328" s="873">
        <v>1264</v>
      </c>
      <c r="AQ328" s="873">
        <v>885</v>
      </c>
      <c r="AR328" s="873">
        <v>379</v>
      </c>
      <c r="AS328" s="873">
        <v>891</v>
      </c>
      <c r="AT328" s="843">
        <v>3152</v>
      </c>
      <c r="AU328" s="663"/>
      <c r="AV328" s="663"/>
      <c r="AX328" s="666"/>
      <c r="AY328" s="666"/>
      <c r="AZ328" s="666"/>
      <c r="BA328" s="666"/>
      <c r="BB328" s="666"/>
      <c r="BD328" s="666"/>
      <c r="BE328" s="666"/>
      <c r="BG328" s="666"/>
      <c r="BI328" s="666"/>
      <c r="BJ328" s="666"/>
      <c r="BK328" s="666"/>
    </row>
    <row r="329" spans="1:63" ht="12.75" x14ac:dyDescent="0.2">
      <c r="A329" s="288">
        <v>322</v>
      </c>
      <c r="B329" s="290" t="s">
        <v>554</v>
      </c>
      <c r="C329" s="279" t="s">
        <v>555</v>
      </c>
      <c r="D329" s="955">
        <v>187199</v>
      </c>
      <c r="E329" s="843">
        <v>99570854</v>
      </c>
      <c r="F329" s="873">
        <v>47316342</v>
      </c>
      <c r="G329" s="873">
        <v>-3125805</v>
      </c>
      <c r="H329" s="873">
        <v>1066950</v>
      </c>
      <c r="I329" s="873">
        <v>-2058855</v>
      </c>
      <c r="J329" s="873">
        <v>-1899397</v>
      </c>
      <c r="K329" s="873">
        <v>-43585</v>
      </c>
      <c r="L329" s="873">
        <v>-68553</v>
      </c>
      <c r="M329" s="873">
        <v>-192593</v>
      </c>
      <c r="N329" s="873">
        <v>-1495151</v>
      </c>
      <c r="O329" s="873">
        <v>-206646</v>
      </c>
      <c r="P329" s="873">
        <v>-67034</v>
      </c>
      <c r="Q329" s="873">
        <v>-10397</v>
      </c>
      <c r="R329" s="873">
        <v>-49788</v>
      </c>
      <c r="S329" s="873">
        <v>-25821</v>
      </c>
      <c r="T329" s="873">
        <v>0</v>
      </c>
      <c r="U329" s="873">
        <v>0</v>
      </c>
      <c r="V329" s="873">
        <v>0</v>
      </c>
      <c r="W329" s="873">
        <v>-2465</v>
      </c>
      <c r="X329" s="873">
        <v>-6799</v>
      </c>
      <c r="Y329" s="873">
        <v>-728627</v>
      </c>
      <c r="Z329" s="873">
        <v>39525631</v>
      </c>
      <c r="AA329" s="873">
        <v>-356929</v>
      </c>
      <c r="AB329" s="874"/>
      <c r="AC329" s="873">
        <v>250</v>
      </c>
      <c r="AD329" s="873">
        <v>18</v>
      </c>
      <c r="AE329" s="873">
        <v>48</v>
      </c>
      <c r="AF329" s="873">
        <v>0</v>
      </c>
      <c r="AG329" s="873">
        <v>339</v>
      </c>
      <c r="AH329" s="873">
        <v>173</v>
      </c>
      <c r="AI329" s="873">
        <v>32</v>
      </c>
      <c r="AJ329" s="873">
        <v>17</v>
      </c>
      <c r="AK329" s="873">
        <v>39</v>
      </c>
      <c r="AL329" s="873">
        <v>14</v>
      </c>
      <c r="AM329" s="873">
        <v>0</v>
      </c>
      <c r="AN329" s="873">
        <v>0</v>
      </c>
      <c r="AO329" s="873">
        <v>1722</v>
      </c>
      <c r="AP329" s="873">
        <v>1770</v>
      </c>
      <c r="AQ329" s="873">
        <v>1247</v>
      </c>
      <c r="AR329" s="873">
        <v>523</v>
      </c>
      <c r="AS329" s="873">
        <v>1103</v>
      </c>
      <c r="AT329" s="843">
        <v>4619</v>
      </c>
      <c r="AU329" s="663"/>
      <c r="AV329" s="663"/>
      <c r="AX329" s="666"/>
      <c r="AY329" s="666"/>
      <c r="AZ329" s="666"/>
      <c r="BA329" s="666"/>
      <c r="BB329" s="666"/>
      <c r="BD329" s="666"/>
      <c r="BE329" s="666"/>
      <c r="BG329" s="666"/>
      <c r="BI329" s="666"/>
      <c r="BJ329" s="666"/>
      <c r="BK329" s="666"/>
    </row>
    <row r="330" spans="1:63" ht="12.75" x14ac:dyDescent="0.2">
      <c r="A330" s="288">
        <v>323</v>
      </c>
      <c r="B330" s="290" t="s">
        <v>556</v>
      </c>
      <c r="C330" s="279" t="s">
        <v>557</v>
      </c>
      <c r="D330" s="955">
        <v>240953</v>
      </c>
      <c r="E330" s="843">
        <v>171939984</v>
      </c>
      <c r="F330" s="873">
        <v>82207657</v>
      </c>
      <c r="G330" s="873">
        <v>-2327875</v>
      </c>
      <c r="H330" s="873">
        <v>1963278</v>
      </c>
      <c r="I330" s="873">
        <v>-364597</v>
      </c>
      <c r="J330" s="873">
        <v>-4456443</v>
      </c>
      <c r="K330" s="873">
        <v>-48205</v>
      </c>
      <c r="L330" s="873">
        <v>-17612</v>
      </c>
      <c r="M330" s="873">
        <v>0</v>
      </c>
      <c r="N330" s="873">
        <v>-2313077</v>
      </c>
      <c r="O330" s="873">
        <v>-108567</v>
      </c>
      <c r="P330" s="873">
        <v>-113726</v>
      </c>
      <c r="Q330" s="873">
        <v>-3689</v>
      </c>
      <c r="R330" s="873">
        <v>-1298</v>
      </c>
      <c r="S330" s="873">
        <v>-23888</v>
      </c>
      <c r="T330" s="873">
        <v>0</v>
      </c>
      <c r="U330" s="873">
        <v>0</v>
      </c>
      <c r="V330" s="873">
        <v>0</v>
      </c>
      <c r="W330" s="873">
        <v>0</v>
      </c>
      <c r="X330" s="873">
        <v>0</v>
      </c>
      <c r="Y330" s="873">
        <v>-211475</v>
      </c>
      <c r="Z330" s="873">
        <v>74205080</v>
      </c>
      <c r="AA330" s="873">
        <v>-672602</v>
      </c>
      <c r="AB330" s="874"/>
      <c r="AC330" s="873">
        <v>247</v>
      </c>
      <c r="AD330" s="873">
        <v>10</v>
      </c>
      <c r="AE330" s="873">
        <v>10</v>
      </c>
      <c r="AF330" s="873">
        <v>0</v>
      </c>
      <c r="AG330" s="873">
        <v>467</v>
      </c>
      <c r="AH330" s="873">
        <v>77</v>
      </c>
      <c r="AI330" s="873">
        <v>12</v>
      </c>
      <c r="AJ330" s="873">
        <v>4</v>
      </c>
      <c r="AK330" s="873">
        <v>6</v>
      </c>
      <c r="AL330" s="873">
        <v>6</v>
      </c>
      <c r="AM330" s="873">
        <v>0</v>
      </c>
      <c r="AN330" s="873">
        <v>0</v>
      </c>
      <c r="AO330" s="873">
        <v>2352</v>
      </c>
      <c r="AP330" s="873">
        <v>1236</v>
      </c>
      <c r="AQ330" s="873">
        <v>731</v>
      </c>
      <c r="AR330" s="873">
        <v>505</v>
      </c>
      <c r="AS330" s="873">
        <v>1488</v>
      </c>
      <c r="AT330" s="843">
        <v>5061</v>
      </c>
      <c r="AU330" s="663"/>
      <c r="AV330" s="663"/>
      <c r="AX330" s="666"/>
      <c r="AY330" s="666"/>
      <c r="AZ330" s="666"/>
      <c r="BA330" s="666"/>
      <c r="BB330" s="666"/>
      <c r="BD330" s="666"/>
      <c r="BE330" s="666"/>
      <c r="BG330" s="666"/>
      <c r="BI330" s="666"/>
      <c r="BJ330" s="666"/>
      <c r="BK330" s="666"/>
    </row>
    <row r="331" spans="1:63" ht="12.75" x14ac:dyDescent="0.2">
      <c r="A331" s="288">
        <v>324</v>
      </c>
      <c r="B331" s="290" t="s">
        <v>558</v>
      </c>
      <c r="C331" s="279" t="s">
        <v>559</v>
      </c>
      <c r="D331" s="955">
        <v>153244</v>
      </c>
      <c r="E331" s="843">
        <v>68977199</v>
      </c>
      <c r="F331" s="873">
        <v>32883415</v>
      </c>
      <c r="G331" s="873">
        <v>-2911256</v>
      </c>
      <c r="H331" s="873">
        <v>686013</v>
      </c>
      <c r="I331" s="873">
        <v>-2225243</v>
      </c>
      <c r="J331" s="873">
        <v>-1688811</v>
      </c>
      <c r="K331" s="873">
        <v>-23177</v>
      </c>
      <c r="L331" s="873">
        <v>-2824</v>
      </c>
      <c r="M331" s="873">
        <v>0</v>
      </c>
      <c r="N331" s="873">
        <v>-529855</v>
      </c>
      <c r="O331" s="873">
        <v>-3271</v>
      </c>
      <c r="P331" s="873">
        <v>-83829</v>
      </c>
      <c r="Q331" s="873">
        <v>0</v>
      </c>
      <c r="R331" s="873">
        <v>-40</v>
      </c>
      <c r="S331" s="873">
        <v>0</v>
      </c>
      <c r="T331" s="873">
        <v>0</v>
      </c>
      <c r="U331" s="873">
        <v>0</v>
      </c>
      <c r="V331" s="873">
        <v>0</v>
      </c>
      <c r="W331" s="873">
        <v>0</v>
      </c>
      <c r="X331" s="873">
        <v>0</v>
      </c>
      <c r="Y331" s="873">
        <v>-645338</v>
      </c>
      <c r="Z331" s="873">
        <v>27681027</v>
      </c>
      <c r="AA331" s="873">
        <v>-830431</v>
      </c>
      <c r="AB331" s="874"/>
      <c r="AC331" s="873">
        <v>163</v>
      </c>
      <c r="AD331" s="873">
        <v>6</v>
      </c>
      <c r="AE331" s="873">
        <v>4</v>
      </c>
      <c r="AF331" s="873">
        <v>0</v>
      </c>
      <c r="AG331" s="873">
        <v>309</v>
      </c>
      <c r="AH331" s="873">
        <v>2</v>
      </c>
      <c r="AI331" s="873">
        <v>44</v>
      </c>
      <c r="AJ331" s="873">
        <v>0</v>
      </c>
      <c r="AK331" s="873">
        <v>1</v>
      </c>
      <c r="AL331" s="873">
        <v>0</v>
      </c>
      <c r="AM331" s="873">
        <v>0</v>
      </c>
      <c r="AN331" s="873">
        <v>0</v>
      </c>
      <c r="AO331" s="873">
        <v>1094</v>
      </c>
      <c r="AP331" s="873">
        <v>1684</v>
      </c>
      <c r="AQ331" s="873">
        <v>1227</v>
      </c>
      <c r="AR331" s="873">
        <v>457</v>
      </c>
      <c r="AS331" s="873">
        <v>1114</v>
      </c>
      <c r="AT331" s="843">
        <v>3904</v>
      </c>
      <c r="AU331" s="663"/>
      <c r="AV331" s="663"/>
      <c r="AX331" s="666"/>
      <c r="AY331" s="666"/>
      <c r="AZ331" s="666"/>
      <c r="BA331" s="666"/>
      <c r="BB331" s="666"/>
      <c r="BD331" s="666"/>
      <c r="BE331" s="666"/>
      <c r="BG331" s="666"/>
      <c r="BI331" s="666"/>
      <c r="BJ331" s="666"/>
      <c r="BK331" s="666"/>
    </row>
    <row r="332" spans="1:63" ht="12.75" x14ac:dyDescent="0.2">
      <c r="A332" s="288">
        <v>325</v>
      </c>
      <c r="B332" s="290" t="s">
        <v>560</v>
      </c>
      <c r="C332" s="279" t="s">
        <v>561</v>
      </c>
      <c r="D332" s="955">
        <v>134079</v>
      </c>
      <c r="E332" s="843">
        <v>74002258</v>
      </c>
      <c r="F332" s="873">
        <v>35243380</v>
      </c>
      <c r="G332" s="873">
        <v>-2178649</v>
      </c>
      <c r="H332" s="873">
        <v>792220</v>
      </c>
      <c r="I332" s="873">
        <v>-1386429</v>
      </c>
      <c r="J332" s="873">
        <v>-1896630</v>
      </c>
      <c r="K332" s="873">
        <v>-48265</v>
      </c>
      <c r="L332" s="873">
        <v>-10180</v>
      </c>
      <c r="M332" s="873">
        <v>-100000</v>
      </c>
      <c r="N332" s="873">
        <v>-1390954</v>
      </c>
      <c r="O332" s="873">
        <v>-85113</v>
      </c>
      <c r="P332" s="873">
        <v>-75857</v>
      </c>
      <c r="Q332" s="873">
        <v>0</v>
      </c>
      <c r="R332" s="873">
        <v>-2816</v>
      </c>
      <c r="S332" s="873">
        <v>0</v>
      </c>
      <c r="T332" s="873">
        <v>0</v>
      </c>
      <c r="U332" s="873">
        <v>0</v>
      </c>
      <c r="V332" s="873">
        <v>0</v>
      </c>
      <c r="W332" s="873">
        <v>0</v>
      </c>
      <c r="X332" s="873">
        <v>0</v>
      </c>
      <c r="Y332" s="873">
        <v>-270402</v>
      </c>
      <c r="Z332" s="873">
        <v>29929734</v>
      </c>
      <c r="AA332" s="873">
        <v>-400000</v>
      </c>
      <c r="AB332" s="874"/>
      <c r="AC332" s="873">
        <v>199</v>
      </c>
      <c r="AD332" s="873">
        <v>15</v>
      </c>
      <c r="AE332" s="873">
        <v>7</v>
      </c>
      <c r="AF332" s="873">
        <v>0</v>
      </c>
      <c r="AG332" s="873">
        <v>307</v>
      </c>
      <c r="AH332" s="873">
        <v>57</v>
      </c>
      <c r="AI332" s="873">
        <v>20</v>
      </c>
      <c r="AJ332" s="873">
        <v>0</v>
      </c>
      <c r="AK332" s="873">
        <v>2</v>
      </c>
      <c r="AL332" s="873">
        <v>0</v>
      </c>
      <c r="AM332" s="873">
        <v>0</v>
      </c>
      <c r="AN332" s="873">
        <v>0</v>
      </c>
      <c r="AO332" s="873">
        <v>1277</v>
      </c>
      <c r="AP332" s="873">
        <v>1131</v>
      </c>
      <c r="AQ332" s="873">
        <v>727</v>
      </c>
      <c r="AR332" s="873">
        <v>404</v>
      </c>
      <c r="AS332" s="873">
        <v>866</v>
      </c>
      <c r="AT332" s="843">
        <v>3282</v>
      </c>
      <c r="AU332" s="663"/>
      <c r="AV332" s="663"/>
      <c r="AX332" s="666"/>
      <c r="AY332" s="666"/>
      <c r="AZ332" s="666"/>
      <c r="BA332" s="666"/>
      <c r="BB332" s="666"/>
      <c r="BD332" s="666"/>
      <c r="BE332" s="666"/>
      <c r="BG332" s="666"/>
      <c r="BI332" s="666"/>
      <c r="BJ332" s="666"/>
      <c r="BK332" s="666"/>
    </row>
    <row r="333" spans="1:63" ht="13.5" thickBot="1" x14ac:dyDescent="0.25">
      <c r="A333" s="288">
        <v>326</v>
      </c>
      <c r="B333" s="292" t="s">
        <v>562</v>
      </c>
      <c r="C333" s="281" t="s">
        <v>563</v>
      </c>
      <c r="D333" s="955">
        <v>298324</v>
      </c>
      <c r="E333" s="844">
        <v>247653926</v>
      </c>
      <c r="F333" s="873">
        <v>119758578</v>
      </c>
      <c r="G333" s="873">
        <v>-3267351</v>
      </c>
      <c r="H333" s="873">
        <v>2940400</v>
      </c>
      <c r="I333" s="873">
        <v>-326951</v>
      </c>
      <c r="J333" s="873">
        <v>-8748662</v>
      </c>
      <c r="K333" s="873">
        <v>-156914</v>
      </c>
      <c r="L333" s="873">
        <v>-9047</v>
      </c>
      <c r="M333" s="873">
        <v>-50000</v>
      </c>
      <c r="N333" s="873">
        <v>-3350000</v>
      </c>
      <c r="O333" s="873">
        <v>-126059</v>
      </c>
      <c r="P333" s="873">
        <v>-7212</v>
      </c>
      <c r="Q333" s="873">
        <v>-22519</v>
      </c>
      <c r="R333" s="873">
        <v>-3808</v>
      </c>
      <c r="S333" s="873">
        <v>-33766</v>
      </c>
      <c r="T333" s="873">
        <v>-8628</v>
      </c>
      <c r="U333" s="873">
        <v>0</v>
      </c>
      <c r="V333" s="873">
        <v>0</v>
      </c>
      <c r="W333" s="873">
        <v>-59037</v>
      </c>
      <c r="X333" s="873">
        <v>-50000</v>
      </c>
      <c r="Y333" s="873">
        <v>-1603056</v>
      </c>
      <c r="Z333" s="873">
        <v>104952919</v>
      </c>
      <c r="AA333" s="873">
        <v>-2485899</v>
      </c>
      <c r="AB333" s="874"/>
      <c r="AC333" s="873">
        <v>366</v>
      </c>
      <c r="AD333" s="873">
        <v>26</v>
      </c>
      <c r="AE333" s="873">
        <v>7</v>
      </c>
      <c r="AF333" s="873">
        <v>7</v>
      </c>
      <c r="AG333" s="873">
        <v>506</v>
      </c>
      <c r="AH333" s="873">
        <v>71</v>
      </c>
      <c r="AI333" s="873">
        <v>3</v>
      </c>
      <c r="AJ333" s="873">
        <v>24</v>
      </c>
      <c r="AK333" s="873">
        <v>4</v>
      </c>
      <c r="AL333" s="873">
        <v>12</v>
      </c>
      <c r="AM333" s="873">
        <v>0</v>
      </c>
      <c r="AN333" s="873">
        <v>1</v>
      </c>
      <c r="AO333" s="873">
        <v>2799</v>
      </c>
      <c r="AP333" s="873">
        <v>1700</v>
      </c>
      <c r="AQ333" s="873">
        <v>1025</v>
      </c>
      <c r="AR333" s="873">
        <v>675</v>
      </c>
      <c r="AS333" s="873">
        <v>1844</v>
      </c>
      <c r="AT333" s="844">
        <v>6489</v>
      </c>
      <c r="AU333" s="663"/>
      <c r="AV333" s="663"/>
      <c r="AX333" s="666"/>
      <c r="AY333" s="666"/>
      <c r="AZ333" s="666"/>
      <c r="BA333" s="666"/>
      <c r="BB333" s="666"/>
      <c r="BD333" s="666"/>
      <c r="BE333" s="666"/>
      <c r="BG333" s="666"/>
      <c r="BI333" s="666"/>
      <c r="BJ333" s="666"/>
      <c r="BK333" s="666"/>
    </row>
    <row r="334" spans="1:63" ht="13.5" thickBot="1" x14ac:dyDescent="0.25">
      <c r="A334" s="809">
        <v>327</v>
      </c>
      <c r="B334" s="810" t="s">
        <v>564</v>
      </c>
      <c r="C334" s="811" t="s">
        <v>565</v>
      </c>
      <c r="D334" s="806">
        <v>0</v>
      </c>
      <c r="E334" s="806">
        <v>0</v>
      </c>
      <c r="F334" s="806">
        <v>0</v>
      </c>
      <c r="G334" s="806">
        <v>0</v>
      </c>
      <c r="H334" s="806">
        <v>0</v>
      </c>
      <c r="I334" s="806">
        <v>0</v>
      </c>
      <c r="J334" s="806">
        <v>0</v>
      </c>
      <c r="K334" s="806">
        <v>0</v>
      </c>
      <c r="L334" s="806">
        <v>0</v>
      </c>
      <c r="M334" s="806">
        <v>0</v>
      </c>
      <c r="N334" s="806">
        <v>0</v>
      </c>
      <c r="O334" s="806">
        <v>0</v>
      </c>
      <c r="P334" s="806">
        <v>0</v>
      </c>
      <c r="Q334" s="806">
        <v>0</v>
      </c>
      <c r="R334" s="806">
        <v>0</v>
      </c>
      <c r="S334" s="806">
        <v>0</v>
      </c>
      <c r="T334" s="806">
        <v>0</v>
      </c>
      <c r="U334" s="806">
        <v>0</v>
      </c>
      <c r="V334" s="806">
        <v>0</v>
      </c>
      <c r="W334" s="806">
        <v>0</v>
      </c>
      <c r="X334" s="806">
        <v>0</v>
      </c>
      <c r="Y334" s="806">
        <v>0</v>
      </c>
      <c r="Z334" s="806">
        <v>0</v>
      </c>
      <c r="AA334" s="806">
        <v>0</v>
      </c>
      <c r="AB334" s="875"/>
      <c r="AC334" s="806">
        <v>100</v>
      </c>
      <c r="AD334" s="806">
        <v>100</v>
      </c>
      <c r="AE334" s="806">
        <v>100</v>
      </c>
      <c r="AF334" s="806">
        <v>100</v>
      </c>
      <c r="AG334" s="806">
        <v>100</v>
      </c>
      <c r="AH334" s="806">
        <v>100</v>
      </c>
      <c r="AI334" s="806">
        <v>100</v>
      </c>
      <c r="AJ334" s="806">
        <v>100</v>
      </c>
      <c r="AK334" s="806">
        <v>100</v>
      </c>
      <c r="AL334" s="806">
        <v>100</v>
      </c>
      <c r="AM334" s="806">
        <v>100</v>
      </c>
      <c r="AN334" s="806">
        <v>100</v>
      </c>
      <c r="AO334" s="806">
        <v>100</v>
      </c>
      <c r="AP334" s="806">
        <v>100</v>
      </c>
      <c r="AQ334" s="806">
        <v>100</v>
      </c>
      <c r="AR334" s="806">
        <v>100</v>
      </c>
      <c r="AS334" s="806">
        <v>100</v>
      </c>
      <c r="AT334" s="806">
        <v>100</v>
      </c>
    </row>
    <row r="335" spans="1:63" s="540" customFormat="1" ht="12.75" x14ac:dyDescent="0.2">
      <c r="A335" s="664"/>
      <c r="B335" s="664"/>
      <c r="C335" s="664"/>
      <c r="D335" s="664"/>
      <c r="AX335" s="665"/>
      <c r="AY335" s="665"/>
      <c r="AZ335" s="665"/>
      <c r="BA335" s="665"/>
      <c r="BB335" s="665"/>
      <c r="BC335" s="665"/>
      <c r="BD335" s="665"/>
    </row>
    <row r="336" spans="1:63" s="540" customFormat="1" x14ac:dyDescent="0.2">
      <c r="A336" s="443"/>
      <c r="B336" s="443"/>
      <c r="C336" s="443"/>
      <c r="D336" s="443"/>
    </row>
    <row r="337" spans="1:4" s="540" customFormat="1" x14ac:dyDescent="0.2">
      <c r="A337" s="443"/>
      <c r="B337" s="443"/>
      <c r="C337" s="443"/>
      <c r="D337" s="443"/>
    </row>
    <row r="338" spans="1:4" s="540" customFormat="1" x14ac:dyDescent="0.2">
      <c r="A338" s="443"/>
      <c r="B338" s="443"/>
      <c r="C338" s="443"/>
      <c r="D338" s="443"/>
    </row>
    <row r="339" spans="1:4" s="540" customFormat="1" x14ac:dyDescent="0.2">
      <c r="A339" s="443"/>
      <c r="B339" s="443"/>
      <c r="C339" s="443"/>
      <c r="D339" s="443"/>
    </row>
    <row r="340" spans="1:4" s="540" customFormat="1" x14ac:dyDescent="0.2">
      <c r="A340" s="443"/>
      <c r="B340" s="443"/>
      <c r="C340" s="443"/>
      <c r="D340" s="443"/>
    </row>
    <row r="341" spans="1:4" s="540" customFormat="1" x14ac:dyDescent="0.2">
      <c r="A341" s="443"/>
      <c r="B341" s="443"/>
      <c r="C341" s="443"/>
      <c r="D341" s="443"/>
    </row>
    <row r="342" spans="1:4" s="540" customFormat="1" x14ac:dyDescent="0.2">
      <c r="A342" s="443"/>
      <c r="B342" s="443"/>
      <c r="C342" s="443"/>
      <c r="D342" s="443"/>
    </row>
    <row r="343" spans="1:4" s="540" customFormat="1" x14ac:dyDescent="0.2">
      <c r="A343" s="443"/>
      <c r="B343" s="443"/>
      <c r="C343" s="443"/>
      <c r="D343" s="443"/>
    </row>
    <row r="344" spans="1:4" s="540" customFormat="1" x14ac:dyDescent="0.2">
      <c r="A344" s="443"/>
      <c r="B344" s="443"/>
      <c r="C344" s="443"/>
      <c r="D344" s="443"/>
    </row>
    <row r="345" spans="1:4" s="540" customFormat="1" x14ac:dyDescent="0.2">
      <c r="A345" s="443"/>
      <c r="B345" s="443"/>
      <c r="C345" s="443"/>
      <c r="D345" s="443"/>
    </row>
    <row r="346" spans="1:4" s="540" customFormat="1" x14ac:dyDescent="0.2">
      <c r="A346" s="443"/>
      <c r="B346" s="443"/>
      <c r="C346" s="443"/>
      <c r="D346" s="443"/>
    </row>
    <row r="347" spans="1:4" s="540" customFormat="1" x14ac:dyDescent="0.2">
      <c r="A347" s="443"/>
      <c r="B347" s="443"/>
      <c r="C347" s="443"/>
      <c r="D347" s="443"/>
    </row>
    <row r="348" spans="1:4" s="540" customFormat="1" x14ac:dyDescent="0.2">
      <c r="A348" s="443"/>
      <c r="B348" s="443"/>
      <c r="C348" s="443"/>
      <c r="D348" s="443"/>
    </row>
    <row r="349" spans="1:4" s="540" customFormat="1" x14ac:dyDescent="0.2">
      <c r="A349" s="443"/>
      <c r="B349" s="443"/>
      <c r="C349" s="443"/>
      <c r="D349" s="443"/>
    </row>
    <row r="350" spans="1:4" s="540" customFormat="1" x14ac:dyDescent="0.2">
      <c r="A350" s="443"/>
      <c r="B350" s="443"/>
      <c r="C350" s="443"/>
      <c r="D350" s="443"/>
    </row>
    <row r="351" spans="1:4" s="540" customFormat="1" x14ac:dyDescent="0.2">
      <c r="A351" s="443"/>
      <c r="B351" s="443"/>
      <c r="C351" s="443"/>
      <c r="D351" s="443"/>
    </row>
    <row r="352" spans="1:4" s="540" customFormat="1" x14ac:dyDescent="0.2">
      <c r="A352" s="443"/>
      <c r="B352" s="443"/>
      <c r="C352" s="443"/>
      <c r="D352" s="443"/>
    </row>
    <row r="353" spans="1:4" s="540" customFormat="1" x14ac:dyDescent="0.2">
      <c r="A353" s="443"/>
      <c r="B353" s="443"/>
      <c r="C353" s="443"/>
      <c r="D353" s="443"/>
    </row>
    <row r="354" spans="1:4" s="540" customFormat="1" x14ac:dyDescent="0.2">
      <c r="A354" s="443"/>
      <c r="B354" s="443"/>
      <c r="C354" s="443"/>
      <c r="D354" s="443"/>
    </row>
    <row r="355" spans="1:4" s="540" customFormat="1" x14ac:dyDescent="0.2">
      <c r="A355" s="443"/>
      <c r="B355" s="443"/>
      <c r="C355" s="443"/>
      <c r="D355" s="443"/>
    </row>
    <row r="356" spans="1:4" s="540" customFormat="1" x14ac:dyDescent="0.2">
      <c r="A356" s="443"/>
      <c r="B356" s="443"/>
      <c r="C356" s="443"/>
      <c r="D356" s="443"/>
    </row>
    <row r="357" spans="1:4" s="540" customFormat="1" x14ac:dyDescent="0.2">
      <c r="A357" s="443"/>
      <c r="B357" s="443"/>
      <c r="C357" s="443"/>
      <c r="D357" s="443"/>
    </row>
    <row r="358" spans="1:4" s="540" customFormat="1" x14ac:dyDescent="0.2">
      <c r="A358" s="443"/>
      <c r="B358" s="443"/>
      <c r="C358" s="443"/>
      <c r="D358" s="443"/>
    </row>
    <row r="359" spans="1:4" s="540" customFormat="1" x14ac:dyDescent="0.2">
      <c r="A359" s="443"/>
      <c r="B359" s="443"/>
      <c r="C359" s="443"/>
      <c r="D359" s="443"/>
    </row>
    <row r="360" spans="1:4" s="540" customFormat="1" x14ac:dyDescent="0.2">
      <c r="A360" s="443"/>
      <c r="B360" s="443"/>
      <c r="C360" s="443"/>
      <c r="D360" s="443"/>
    </row>
    <row r="361" spans="1:4" s="540" customFormat="1" x14ac:dyDescent="0.2">
      <c r="A361" s="443"/>
      <c r="B361" s="443"/>
      <c r="C361" s="443"/>
      <c r="D361" s="443"/>
    </row>
    <row r="362" spans="1:4" s="540" customFormat="1" x14ac:dyDescent="0.2">
      <c r="A362" s="443"/>
      <c r="B362" s="443"/>
      <c r="C362" s="443"/>
      <c r="D362" s="443"/>
    </row>
    <row r="363" spans="1:4" s="540" customFormat="1" x14ac:dyDescent="0.2">
      <c r="A363" s="443"/>
      <c r="B363" s="443"/>
      <c r="C363" s="443"/>
      <c r="D363" s="443"/>
    </row>
    <row r="364" spans="1:4" s="540" customFormat="1" x14ac:dyDescent="0.2">
      <c r="A364" s="443"/>
      <c r="B364" s="443"/>
      <c r="C364" s="443"/>
      <c r="D364" s="443"/>
    </row>
    <row r="365" spans="1:4" s="540" customFormat="1" x14ac:dyDescent="0.2">
      <c r="A365" s="443"/>
      <c r="B365" s="443"/>
      <c r="C365" s="443"/>
      <c r="D365" s="443"/>
    </row>
    <row r="366" spans="1:4" s="540" customFormat="1" x14ac:dyDescent="0.2">
      <c r="A366" s="443"/>
      <c r="B366" s="443"/>
      <c r="C366" s="443"/>
      <c r="D366" s="443"/>
    </row>
    <row r="367" spans="1:4" s="540" customFormat="1" x14ac:dyDescent="0.2">
      <c r="A367" s="443"/>
      <c r="B367" s="443"/>
      <c r="C367" s="443"/>
      <c r="D367" s="443"/>
    </row>
    <row r="368" spans="1:4" s="540" customFormat="1" x14ac:dyDescent="0.2">
      <c r="A368" s="443"/>
      <c r="B368" s="443"/>
      <c r="C368" s="443"/>
      <c r="D368" s="443"/>
    </row>
    <row r="369" spans="1:4" s="540" customFormat="1" x14ac:dyDescent="0.2">
      <c r="A369" s="443"/>
      <c r="B369" s="443"/>
      <c r="C369" s="443"/>
      <c r="D369" s="443"/>
    </row>
    <row r="370" spans="1:4" s="540" customFormat="1" x14ac:dyDescent="0.2">
      <c r="A370" s="443"/>
      <c r="B370" s="443"/>
      <c r="C370" s="443"/>
      <c r="D370" s="443"/>
    </row>
    <row r="371" spans="1:4" s="540" customFormat="1" x14ac:dyDescent="0.2">
      <c r="A371" s="443"/>
      <c r="B371" s="443"/>
      <c r="C371" s="443"/>
      <c r="D371" s="443"/>
    </row>
    <row r="372" spans="1:4" s="540" customFormat="1" x14ac:dyDescent="0.2">
      <c r="A372" s="443"/>
      <c r="B372" s="443"/>
      <c r="C372" s="443"/>
      <c r="D372" s="443"/>
    </row>
    <row r="373" spans="1:4" s="540" customFormat="1" x14ac:dyDescent="0.2">
      <c r="A373" s="443"/>
      <c r="B373" s="443"/>
      <c r="C373" s="443"/>
      <c r="D373" s="443"/>
    </row>
    <row r="374" spans="1:4" s="540" customFormat="1" x14ac:dyDescent="0.2">
      <c r="A374" s="443"/>
      <c r="B374" s="443"/>
      <c r="C374" s="443"/>
      <c r="D374" s="443"/>
    </row>
    <row r="375" spans="1:4" s="540" customFormat="1" x14ac:dyDescent="0.2">
      <c r="A375" s="443"/>
      <c r="B375" s="443"/>
      <c r="C375" s="443"/>
      <c r="D375" s="443"/>
    </row>
    <row r="376" spans="1:4" s="540" customFormat="1" x14ac:dyDescent="0.2">
      <c r="A376" s="443"/>
      <c r="B376" s="443"/>
      <c r="C376" s="443"/>
      <c r="D376" s="443"/>
    </row>
    <row r="377" spans="1:4" s="540" customFormat="1" x14ac:dyDescent="0.2">
      <c r="A377" s="443"/>
      <c r="B377" s="443"/>
      <c r="C377" s="443"/>
      <c r="D377" s="443"/>
    </row>
    <row r="378" spans="1:4" s="540" customFormat="1" x14ac:dyDescent="0.2">
      <c r="A378" s="443"/>
      <c r="B378" s="443"/>
      <c r="C378" s="443"/>
      <c r="D378" s="443"/>
    </row>
    <row r="379" spans="1:4" s="540" customFormat="1" x14ac:dyDescent="0.2">
      <c r="A379" s="443"/>
      <c r="B379" s="443"/>
      <c r="C379" s="443"/>
      <c r="D379" s="443"/>
    </row>
    <row r="380" spans="1:4" s="540" customFormat="1" x14ac:dyDescent="0.2">
      <c r="A380" s="443"/>
      <c r="B380" s="443"/>
      <c r="C380" s="443"/>
      <c r="D380" s="443"/>
    </row>
    <row r="381" spans="1:4" s="540" customFormat="1" x14ac:dyDescent="0.2">
      <c r="A381" s="443"/>
      <c r="B381" s="443"/>
      <c r="C381" s="443"/>
      <c r="D381" s="443"/>
    </row>
    <row r="382" spans="1:4" s="540" customFormat="1" x14ac:dyDescent="0.2">
      <c r="A382" s="443"/>
      <c r="B382" s="443"/>
      <c r="C382" s="443"/>
      <c r="D382" s="443"/>
    </row>
    <row r="383" spans="1:4" s="540" customFormat="1" x14ac:dyDescent="0.2">
      <c r="A383" s="443"/>
      <c r="B383" s="443"/>
      <c r="C383" s="443"/>
      <c r="D383" s="443"/>
    </row>
    <row r="384" spans="1:4" s="540" customFormat="1" x14ac:dyDescent="0.2">
      <c r="A384" s="443"/>
      <c r="B384" s="443"/>
      <c r="C384" s="443"/>
      <c r="D384" s="443"/>
    </row>
    <row r="385" spans="1:4" s="540" customFormat="1" x14ac:dyDescent="0.2">
      <c r="A385" s="443"/>
      <c r="B385" s="443"/>
      <c r="C385" s="443"/>
      <c r="D385" s="443"/>
    </row>
    <row r="386" spans="1:4" s="540" customFormat="1" x14ac:dyDescent="0.2">
      <c r="A386" s="443"/>
      <c r="B386" s="443"/>
      <c r="C386" s="443"/>
      <c r="D386" s="443"/>
    </row>
    <row r="387" spans="1:4" s="540" customFormat="1" x14ac:dyDescent="0.2">
      <c r="A387" s="443"/>
      <c r="B387" s="443"/>
      <c r="C387" s="443"/>
      <c r="D387" s="443"/>
    </row>
    <row r="388" spans="1:4" s="540" customFormat="1" x14ac:dyDescent="0.2">
      <c r="A388" s="443"/>
      <c r="B388" s="443"/>
      <c r="C388" s="443"/>
      <c r="D388" s="443"/>
    </row>
    <row r="389" spans="1:4" s="540" customFormat="1" x14ac:dyDescent="0.2">
      <c r="A389" s="443"/>
      <c r="B389" s="443"/>
      <c r="C389" s="443"/>
      <c r="D389" s="443"/>
    </row>
    <row r="390" spans="1:4" s="540" customFormat="1" x14ac:dyDescent="0.2">
      <c r="A390" s="443"/>
      <c r="B390" s="443"/>
      <c r="C390" s="443"/>
      <c r="D390" s="443"/>
    </row>
    <row r="391" spans="1:4" s="540" customFormat="1" x14ac:dyDescent="0.2">
      <c r="A391" s="443"/>
      <c r="B391" s="443"/>
      <c r="C391" s="443"/>
      <c r="D391" s="443"/>
    </row>
    <row r="392" spans="1:4" s="540" customFormat="1" x14ac:dyDescent="0.2">
      <c r="A392" s="443"/>
      <c r="B392" s="443"/>
      <c r="C392" s="443"/>
      <c r="D392" s="443"/>
    </row>
    <row r="393" spans="1:4" s="540" customFormat="1" x14ac:dyDescent="0.2">
      <c r="A393" s="443"/>
      <c r="B393" s="443"/>
      <c r="C393" s="443"/>
      <c r="D393" s="443"/>
    </row>
    <row r="394" spans="1:4" s="540" customFormat="1" x14ac:dyDescent="0.2">
      <c r="A394" s="443"/>
      <c r="B394" s="443"/>
      <c r="C394" s="443"/>
      <c r="D394" s="443"/>
    </row>
    <row r="395" spans="1:4" s="540" customFormat="1" x14ac:dyDescent="0.2">
      <c r="A395" s="443"/>
      <c r="B395" s="443"/>
      <c r="C395" s="443"/>
      <c r="D395" s="443"/>
    </row>
    <row r="396" spans="1:4" s="540" customFormat="1" x14ac:dyDescent="0.2">
      <c r="A396" s="443"/>
      <c r="B396" s="443"/>
      <c r="C396" s="443"/>
      <c r="D396" s="443"/>
    </row>
    <row r="397" spans="1:4" s="540" customFormat="1" x14ac:dyDescent="0.2">
      <c r="A397" s="443"/>
      <c r="B397" s="443"/>
      <c r="C397" s="443"/>
      <c r="D397" s="443"/>
    </row>
    <row r="398" spans="1:4" s="540" customFormat="1" x14ac:dyDescent="0.2">
      <c r="A398" s="443"/>
      <c r="B398" s="443"/>
      <c r="C398" s="443"/>
      <c r="D398" s="443"/>
    </row>
    <row r="399" spans="1:4" s="540" customFormat="1" x14ac:dyDescent="0.2">
      <c r="A399" s="443"/>
      <c r="B399" s="443"/>
      <c r="C399" s="443"/>
      <c r="D399" s="443"/>
    </row>
    <row r="400" spans="1:4" s="540" customFormat="1" x14ac:dyDescent="0.2">
      <c r="A400" s="443"/>
      <c r="B400" s="443"/>
      <c r="C400" s="443"/>
      <c r="D400" s="443"/>
    </row>
    <row r="401" spans="1:4" s="540" customFormat="1" x14ac:dyDescent="0.2">
      <c r="A401" s="443"/>
      <c r="B401" s="443"/>
      <c r="C401" s="443"/>
      <c r="D401" s="443"/>
    </row>
    <row r="402" spans="1:4" s="540" customFormat="1" x14ac:dyDescent="0.2">
      <c r="A402" s="443"/>
      <c r="B402" s="443"/>
      <c r="C402" s="443"/>
      <c r="D402" s="443"/>
    </row>
    <row r="403" spans="1:4" s="540" customFormat="1" x14ac:dyDescent="0.2">
      <c r="A403" s="443"/>
      <c r="B403" s="443"/>
      <c r="C403" s="443"/>
      <c r="D403" s="443"/>
    </row>
    <row r="404" spans="1:4" s="540" customFormat="1" x14ac:dyDescent="0.2">
      <c r="A404" s="443"/>
      <c r="B404" s="443"/>
      <c r="C404" s="443"/>
      <c r="D404" s="443"/>
    </row>
    <row r="405" spans="1:4" s="540" customFormat="1" x14ac:dyDescent="0.2">
      <c r="A405" s="443"/>
      <c r="B405" s="443"/>
      <c r="C405" s="443"/>
      <c r="D405" s="443"/>
    </row>
    <row r="406" spans="1:4" s="540" customFormat="1" x14ac:dyDescent="0.2">
      <c r="A406" s="443"/>
      <c r="B406" s="443"/>
      <c r="C406" s="443"/>
      <c r="D406" s="443"/>
    </row>
    <row r="407" spans="1:4" s="540" customFormat="1" x14ac:dyDescent="0.2">
      <c r="A407" s="443"/>
      <c r="B407" s="443"/>
      <c r="C407" s="443"/>
      <c r="D407" s="443"/>
    </row>
    <row r="408" spans="1:4" s="540" customFormat="1" x14ac:dyDescent="0.2">
      <c r="A408" s="443"/>
      <c r="B408" s="443"/>
      <c r="C408" s="443"/>
      <c r="D408" s="443"/>
    </row>
    <row r="409" spans="1:4" s="540" customFormat="1" x14ac:dyDescent="0.2">
      <c r="A409" s="443"/>
      <c r="B409" s="443"/>
      <c r="C409" s="443"/>
      <c r="D409" s="443"/>
    </row>
    <row r="410" spans="1:4" s="540" customFormat="1" x14ac:dyDescent="0.2">
      <c r="A410" s="443"/>
      <c r="B410" s="443"/>
      <c r="C410" s="443"/>
      <c r="D410" s="443"/>
    </row>
    <row r="411" spans="1:4" s="540" customFormat="1" x14ac:dyDescent="0.2">
      <c r="A411" s="443"/>
      <c r="B411" s="443"/>
      <c r="C411" s="443"/>
      <c r="D411" s="443"/>
    </row>
    <row r="412" spans="1:4" s="540" customFormat="1" x14ac:dyDescent="0.2">
      <c r="A412" s="443"/>
      <c r="B412" s="443"/>
      <c r="C412" s="443"/>
      <c r="D412" s="443"/>
    </row>
    <row r="413" spans="1:4" s="540" customFormat="1" x14ac:dyDescent="0.2">
      <c r="A413" s="443"/>
      <c r="B413" s="443"/>
      <c r="C413" s="443"/>
      <c r="D413" s="443"/>
    </row>
    <row r="414" spans="1:4" s="540" customFormat="1" x14ac:dyDescent="0.2">
      <c r="A414" s="443"/>
      <c r="B414" s="443"/>
      <c r="C414" s="443"/>
      <c r="D414" s="443"/>
    </row>
    <row r="415" spans="1:4" s="540" customFormat="1" x14ac:dyDescent="0.2">
      <c r="A415" s="443"/>
      <c r="B415" s="443"/>
      <c r="C415" s="443"/>
      <c r="D415" s="443"/>
    </row>
    <row r="416" spans="1:4" s="540" customFormat="1" x14ac:dyDescent="0.2">
      <c r="A416" s="443"/>
      <c r="B416" s="443"/>
      <c r="C416" s="443"/>
      <c r="D416" s="443"/>
    </row>
    <row r="417" spans="1:4" s="540" customFormat="1" x14ac:dyDescent="0.2">
      <c r="A417" s="443"/>
      <c r="B417" s="443"/>
      <c r="C417" s="443"/>
      <c r="D417" s="443"/>
    </row>
    <row r="418" spans="1:4" s="540" customFormat="1" x14ac:dyDescent="0.2">
      <c r="A418" s="443"/>
      <c r="B418" s="443"/>
      <c r="C418" s="443"/>
      <c r="D418" s="443"/>
    </row>
    <row r="419" spans="1:4" s="540" customFormat="1" x14ac:dyDescent="0.2">
      <c r="A419" s="443"/>
      <c r="B419" s="443"/>
      <c r="C419" s="443"/>
      <c r="D419" s="443"/>
    </row>
    <row r="420" spans="1:4" s="540" customFormat="1" x14ac:dyDescent="0.2">
      <c r="A420" s="443"/>
      <c r="B420" s="443"/>
      <c r="C420" s="443"/>
      <c r="D420" s="443"/>
    </row>
    <row r="421" spans="1:4" s="540" customFormat="1" x14ac:dyDescent="0.2">
      <c r="A421" s="443"/>
      <c r="B421" s="443"/>
      <c r="C421" s="443"/>
      <c r="D421" s="443"/>
    </row>
    <row r="422" spans="1:4" s="540" customFormat="1" x14ac:dyDescent="0.2">
      <c r="A422" s="443"/>
      <c r="B422" s="443"/>
      <c r="C422" s="443"/>
      <c r="D422" s="443"/>
    </row>
    <row r="423" spans="1:4" s="540" customFormat="1" x14ac:dyDescent="0.2">
      <c r="A423" s="443"/>
      <c r="B423" s="443"/>
      <c r="C423" s="443"/>
      <c r="D423" s="443"/>
    </row>
    <row r="424" spans="1:4" s="540" customFormat="1" x14ac:dyDescent="0.2">
      <c r="A424" s="443"/>
      <c r="B424" s="443"/>
      <c r="C424" s="443"/>
      <c r="D424" s="443"/>
    </row>
    <row r="425" spans="1:4" s="540" customFormat="1" x14ac:dyDescent="0.2">
      <c r="A425" s="443"/>
      <c r="B425" s="443"/>
      <c r="C425" s="443"/>
      <c r="D425" s="443"/>
    </row>
    <row r="426" spans="1:4" s="540" customFormat="1" x14ac:dyDescent="0.2">
      <c r="A426" s="443"/>
      <c r="B426" s="443"/>
      <c r="C426" s="443"/>
      <c r="D426" s="443"/>
    </row>
    <row r="427" spans="1:4" s="540" customFormat="1" x14ac:dyDescent="0.2">
      <c r="A427" s="443"/>
      <c r="B427" s="443"/>
      <c r="C427" s="443"/>
      <c r="D427" s="443"/>
    </row>
    <row r="428" spans="1:4" s="540" customFormat="1" x14ac:dyDescent="0.2">
      <c r="A428" s="443"/>
      <c r="B428" s="443"/>
      <c r="C428" s="443"/>
      <c r="D428" s="443"/>
    </row>
    <row r="429" spans="1:4" s="540" customFormat="1" x14ac:dyDescent="0.2">
      <c r="A429" s="443"/>
      <c r="B429" s="443"/>
      <c r="C429" s="443"/>
      <c r="D429" s="443"/>
    </row>
    <row r="430" spans="1:4" s="540" customFormat="1" x14ac:dyDescent="0.2">
      <c r="A430" s="443"/>
      <c r="B430" s="443"/>
      <c r="C430" s="443"/>
      <c r="D430" s="443"/>
    </row>
    <row r="431" spans="1:4" s="540" customFormat="1" x14ac:dyDescent="0.2">
      <c r="A431" s="443"/>
      <c r="B431" s="443"/>
      <c r="C431" s="443"/>
      <c r="D431" s="443"/>
    </row>
    <row r="432" spans="1:4" s="540" customFormat="1" x14ac:dyDescent="0.2">
      <c r="A432" s="443"/>
      <c r="B432" s="443"/>
      <c r="C432" s="443"/>
      <c r="D432" s="443"/>
    </row>
    <row r="433" spans="1:4" s="540" customFormat="1" x14ac:dyDescent="0.2">
      <c r="A433" s="443"/>
      <c r="B433" s="443"/>
      <c r="C433" s="443"/>
      <c r="D433" s="443"/>
    </row>
    <row r="434" spans="1:4" s="540" customFormat="1" x14ac:dyDescent="0.2">
      <c r="A434" s="443"/>
      <c r="B434" s="443"/>
      <c r="C434" s="443"/>
      <c r="D434" s="443"/>
    </row>
    <row r="435" spans="1:4" s="540" customFormat="1" x14ac:dyDescent="0.2">
      <c r="A435" s="443"/>
      <c r="B435" s="443"/>
      <c r="C435" s="443"/>
      <c r="D435" s="443"/>
    </row>
    <row r="436" spans="1:4" s="540" customFormat="1" x14ac:dyDescent="0.2">
      <c r="A436" s="443"/>
      <c r="B436" s="443"/>
      <c r="C436" s="443"/>
      <c r="D436" s="443"/>
    </row>
    <row r="437" spans="1:4" s="540" customFormat="1" x14ac:dyDescent="0.2">
      <c r="A437" s="443"/>
      <c r="B437" s="443"/>
      <c r="C437" s="443"/>
      <c r="D437" s="443"/>
    </row>
    <row r="438" spans="1:4" s="540" customFormat="1" x14ac:dyDescent="0.2">
      <c r="A438" s="443"/>
      <c r="B438" s="443"/>
      <c r="C438" s="443"/>
      <c r="D438" s="443"/>
    </row>
    <row r="439" spans="1:4" s="540" customFormat="1" x14ac:dyDescent="0.2">
      <c r="A439" s="443"/>
      <c r="B439" s="443"/>
      <c r="C439" s="443"/>
      <c r="D439" s="443"/>
    </row>
    <row r="440" spans="1:4" s="540" customFormat="1" x14ac:dyDescent="0.2">
      <c r="A440" s="443"/>
      <c r="B440" s="443"/>
      <c r="C440" s="443"/>
      <c r="D440" s="443"/>
    </row>
    <row r="441" spans="1:4" s="540" customFormat="1" x14ac:dyDescent="0.2">
      <c r="A441" s="443"/>
      <c r="B441" s="443"/>
      <c r="C441" s="443"/>
      <c r="D441" s="443"/>
    </row>
    <row r="442" spans="1:4" s="540" customFormat="1" x14ac:dyDescent="0.2">
      <c r="A442" s="443"/>
      <c r="B442" s="443"/>
      <c r="C442" s="443"/>
      <c r="D442" s="443"/>
    </row>
    <row r="443" spans="1:4" s="540" customFormat="1" x14ac:dyDescent="0.2">
      <c r="A443" s="443"/>
      <c r="B443" s="443"/>
      <c r="C443" s="443"/>
      <c r="D443" s="443"/>
    </row>
    <row r="444" spans="1:4" s="540" customFormat="1" x14ac:dyDescent="0.2">
      <c r="A444" s="443"/>
      <c r="B444" s="443"/>
      <c r="C444" s="443"/>
      <c r="D444" s="443"/>
    </row>
    <row r="445" spans="1:4" s="540" customFormat="1" x14ac:dyDescent="0.2">
      <c r="A445" s="443"/>
      <c r="B445" s="443"/>
      <c r="C445" s="443"/>
      <c r="D445" s="443"/>
    </row>
    <row r="446" spans="1:4" s="540" customFormat="1" x14ac:dyDescent="0.2">
      <c r="A446" s="443"/>
      <c r="B446" s="443"/>
      <c r="C446" s="443"/>
      <c r="D446" s="443"/>
    </row>
    <row r="447" spans="1:4" s="540" customFormat="1" x14ac:dyDescent="0.2">
      <c r="A447" s="443"/>
      <c r="B447" s="443"/>
      <c r="C447" s="443"/>
      <c r="D447" s="443"/>
    </row>
    <row r="448" spans="1:4" s="540" customFormat="1" x14ac:dyDescent="0.2">
      <c r="A448" s="443"/>
      <c r="B448" s="443"/>
      <c r="C448" s="443"/>
      <c r="D448" s="443"/>
    </row>
    <row r="449" spans="1:4" s="540" customFormat="1" x14ac:dyDescent="0.2">
      <c r="A449" s="443"/>
      <c r="B449" s="443"/>
      <c r="C449" s="443"/>
      <c r="D449" s="443"/>
    </row>
    <row r="450" spans="1:4" s="540" customFormat="1" x14ac:dyDescent="0.2">
      <c r="A450" s="443"/>
      <c r="B450" s="443"/>
      <c r="C450" s="443"/>
      <c r="D450" s="443"/>
    </row>
    <row r="451" spans="1:4" s="540" customFormat="1" x14ac:dyDescent="0.2">
      <c r="A451" s="443"/>
      <c r="B451" s="443"/>
      <c r="C451" s="443"/>
      <c r="D451" s="443"/>
    </row>
    <row r="452" spans="1:4" s="540" customFormat="1" x14ac:dyDescent="0.2">
      <c r="A452" s="443"/>
      <c r="B452" s="443"/>
      <c r="C452" s="443"/>
      <c r="D452" s="443"/>
    </row>
    <row r="453" spans="1:4" s="540" customFormat="1" x14ac:dyDescent="0.2">
      <c r="A453" s="443"/>
      <c r="B453" s="443"/>
      <c r="C453" s="443"/>
      <c r="D453" s="443"/>
    </row>
    <row r="454" spans="1:4" s="540" customFormat="1" x14ac:dyDescent="0.2">
      <c r="A454" s="443"/>
      <c r="B454" s="443"/>
      <c r="C454" s="443"/>
      <c r="D454" s="443"/>
    </row>
    <row r="455" spans="1:4" s="540" customFormat="1" x14ac:dyDescent="0.2">
      <c r="A455" s="443"/>
      <c r="B455" s="443"/>
      <c r="C455" s="443"/>
      <c r="D455" s="443"/>
    </row>
    <row r="456" spans="1:4" s="540" customFormat="1" x14ac:dyDescent="0.2">
      <c r="A456" s="443"/>
      <c r="B456" s="443"/>
      <c r="C456" s="443"/>
      <c r="D456" s="443"/>
    </row>
    <row r="457" spans="1:4" s="540" customFormat="1" x14ac:dyDescent="0.2">
      <c r="A457" s="443"/>
      <c r="B457" s="443"/>
      <c r="C457" s="443"/>
      <c r="D457" s="443"/>
    </row>
    <row r="458" spans="1:4" s="540" customFormat="1" x14ac:dyDescent="0.2">
      <c r="A458" s="443"/>
      <c r="B458" s="443"/>
      <c r="C458" s="443"/>
      <c r="D458" s="443"/>
    </row>
    <row r="459" spans="1:4" s="540" customFormat="1" x14ac:dyDescent="0.2">
      <c r="A459" s="443"/>
      <c r="B459" s="443"/>
      <c r="C459" s="443"/>
      <c r="D459" s="443"/>
    </row>
    <row r="460" spans="1:4" s="540" customFormat="1" x14ac:dyDescent="0.2">
      <c r="A460" s="443"/>
      <c r="B460" s="443"/>
      <c r="C460" s="443"/>
      <c r="D460" s="443"/>
    </row>
    <row r="461" spans="1:4" s="540" customFormat="1" x14ac:dyDescent="0.2">
      <c r="A461" s="443"/>
      <c r="B461" s="443"/>
      <c r="C461" s="443"/>
      <c r="D461" s="443"/>
    </row>
    <row r="462" spans="1:4" s="540" customFormat="1" x14ac:dyDescent="0.2">
      <c r="A462" s="443"/>
      <c r="B462" s="443"/>
      <c r="C462" s="443"/>
      <c r="D462" s="443"/>
    </row>
    <row r="463" spans="1:4" s="540" customFormat="1" x14ac:dyDescent="0.2">
      <c r="A463" s="443"/>
      <c r="B463" s="443"/>
      <c r="C463" s="443"/>
      <c r="D463" s="443"/>
    </row>
    <row r="464" spans="1:4" s="540" customFormat="1" x14ac:dyDescent="0.2">
      <c r="A464" s="443"/>
      <c r="B464" s="443"/>
      <c r="C464" s="443"/>
      <c r="D464" s="443"/>
    </row>
    <row r="465" spans="1:4" s="540" customFormat="1" x14ac:dyDescent="0.2">
      <c r="A465" s="443"/>
      <c r="B465" s="443"/>
      <c r="C465" s="443"/>
      <c r="D465" s="443"/>
    </row>
    <row r="466" spans="1:4" s="540" customFormat="1" x14ac:dyDescent="0.2">
      <c r="A466" s="443"/>
      <c r="B466" s="443"/>
      <c r="C466" s="443"/>
      <c r="D466" s="443"/>
    </row>
    <row r="467" spans="1:4" s="540" customFormat="1" x14ac:dyDescent="0.2">
      <c r="A467" s="443"/>
      <c r="B467" s="443"/>
      <c r="C467" s="443"/>
      <c r="D467" s="443"/>
    </row>
    <row r="468" spans="1:4" s="540" customFormat="1" x14ac:dyDescent="0.2">
      <c r="A468" s="443"/>
      <c r="B468" s="443"/>
      <c r="C468" s="443"/>
      <c r="D468" s="443"/>
    </row>
    <row r="469" spans="1:4" s="540" customFormat="1" x14ac:dyDescent="0.2">
      <c r="A469" s="443"/>
      <c r="B469" s="443"/>
      <c r="C469" s="443"/>
      <c r="D469" s="443"/>
    </row>
    <row r="470" spans="1:4" s="540" customFormat="1" x14ac:dyDescent="0.2">
      <c r="A470" s="443"/>
      <c r="B470" s="443"/>
      <c r="C470" s="443"/>
      <c r="D470" s="443"/>
    </row>
    <row r="471" spans="1:4" s="540" customFormat="1" x14ac:dyDescent="0.2">
      <c r="A471" s="443"/>
      <c r="B471" s="443"/>
      <c r="C471" s="443"/>
      <c r="D471" s="443"/>
    </row>
    <row r="472" spans="1:4" s="540" customFormat="1" x14ac:dyDescent="0.2">
      <c r="A472" s="443"/>
      <c r="B472" s="443"/>
      <c r="C472" s="443"/>
      <c r="D472" s="443"/>
    </row>
    <row r="473" spans="1:4" s="540" customFormat="1" x14ac:dyDescent="0.2">
      <c r="A473" s="443"/>
      <c r="B473" s="443"/>
      <c r="C473" s="443"/>
      <c r="D473" s="443"/>
    </row>
    <row r="474" spans="1:4" s="540" customFormat="1" x14ac:dyDescent="0.2">
      <c r="A474" s="443"/>
      <c r="B474" s="443"/>
      <c r="C474" s="443"/>
      <c r="D474" s="443"/>
    </row>
    <row r="475" spans="1:4" s="540" customFormat="1" x14ac:dyDescent="0.2">
      <c r="A475" s="443"/>
      <c r="B475" s="443"/>
      <c r="C475" s="443"/>
      <c r="D475" s="443"/>
    </row>
    <row r="476" spans="1:4" s="540" customFormat="1" x14ac:dyDescent="0.2">
      <c r="A476" s="443"/>
      <c r="B476" s="443"/>
      <c r="C476" s="443"/>
      <c r="D476" s="443"/>
    </row>
    <row r="477" spans="1:4" s="540" customFormat="1" x14ac:dyDescent="0.2">
      <c r="A477" s="443"/>
      <c r="B477" s="443"/>
      <c r="C477" s="443"/>
      <c r="D477" s="443"/>
    </row>
    <row r="478" spans="1:4" s="540" customFormat="1" x14ac:dyDescent="0.2">
      <c r="A478" s="443"/>
      <c r="B478" s="443"/>
      <c r="C478" s="443"/>
      <c r="D478" s="443"/>
    </row>
    <row r="479" spans="1:4" s="540" customFormat="1" x14ac:dyDescent="0.2">
      <c r="A479" s="443"/>
      <c r="B479" s="443"/>
      <c r="C479" s="443"/>
      <c r="D479" s="443"/>
    </row>
    <row r="480" spans="1:4" s="540" customFormat="1" x14ac:dyDescent="0.2">
      <c r="A480" s="443"/>
      <c r="B480" s="443"/>
      <c r="C480" s="443"/>
      <c r="D480" s="443"/>
    </row>
    <row r="481" spans="1:4" s="540" customFormat="1" x14ac:dyDescent="0.2">
      <c r="A481" s="443"/>
      <c r="B481" s="443"/>
      <c r="C481" s="443"/>
      <c r="D481" s="443"/>
    </row>
    <row r="482" spans="1:4" s="540" customFormat="1" x14ac:dyDescent="0.2">
      <c r="A482" s="443"/>
      <c r="B482" s="443"/>
      <c r="C482" s="443"/>
      <c r="D482" s="443"/>
    </row>
    <row r="483" spans="1:4" s="540" customFormat="1" x14ac:dyDescent="0.2">
      <c r="A483" s="443"/>
      <c r="B483" s="443"/>
      <c r="C483" s="443"/>
      <c r="D483" s="443"/>
    </row>
    <row r="484" spans="1:4" s="540" customFormat="1" x14ac:dyDescent="0.2">
      <c r="A484" s="443"/>
      <c r="B484" s="443"/>
      <c r="C484" s="443"/>
      <c r="D484" s="443"/>
    </row>
    <row r="485" spans="1:4" s="540" customFormat="1" x14ac:dyDescent="0.2">
      <c r="A485" s="443"/>
      <c r="B485" s="443"/>
      <c r="C485" s="443"/>
      <c r="D485" s="443"/>
    </row>
    <row r="486" spans="1:4" s="540" customFormat="1" x14ac:dyDescent="0.2">
      <c r="A486" s="443"/>
      <c r="B486" s="443"/>
      <c r="C486" s="443"/>
      <c r="D486" s="443"/>
    </row>
    <row r="487" spans="1:4" s="540" customFormat="1" x14ac:dyDescent="0.2">
      <c r="A487" s="443"/>
      <c r="B487" s="443"/>
      <c r="C487" s="443"/>
      <c r="D487" s="443"/>
    </row>
    <row r="488" spans="1:4" s="540" customFormat="1" x14ac:dyDescent="0.2">
      <c r="A488" s="443"/>
      <c r="B488" s="443"/>
      <c r="C488" s="443"/>
      <c r="D488" s="443"/>
    </row>
    <row r="489" spans="1:4" s="540" customFormat="1" x14ac:dyDescent="0.2">
      <c r="A489" s="443"/>
      <c r="B489" s="443"/>
      <c r="C489" s="443"/>
      <c r="D489" s="443"/>
    </row>
    <row r="490" spans="1:4" s="540" customFormat="1" x14ac:dyDescent="0.2">
      <c r="A490" s="443"/>
      <c r="B490" s="443"/>
      <c r="C490" s="443"/>
      <c r="D490" s="443"/>
    </row>
    <row r="491" spans="1:4" s="540" customFormat="1" x14ac:dyDescent="0.2">
      <c r="A491" s="443"/>
      <c r="B491" s="443"/>
      <c r="C491" s="443"/>
      <c r="D491" s="443"/>
    </row>
    <row r="492" spans="1:4" s="540" customFormat="1" x14ac:dyDescent="0.2">
      <c r="A492" s="443"/>
      <c r="B492" s="443"/>
      <c r="C492" s="443"/>
      <c r="D492" s="443"/>
    </row>
    <row r="493" spans="1:4" s="540" customFormat="1" x14ac:dyDescent="0.2">
      <c r="A493" s="443"/>
      <c r="B493" s="443"/>
      <c r="C493" s="443"/>
      <c r="D493" s="443"/>
    </row>
    <row r="494" spans="1:4" s="540" customFormat="1" x14ac:dyDescent="0.2">
      <c r="A494" s="443"/>
      <c r="B494" s="443"/>
      <c r="C494" s="443"/>
      <c r="D494" s="443"/>
    </row>
    <row r="495" spans="1:4" s="540" customFormat="1" x14ac:dyDescent="0.2">
      <c r="A495" s="443"/>
      <c r="B495" s="443"/>
      <c r="C495" s="443"/>
      <c r="D495" s="443"/>
    </row>
    <row r="496" spans="1:4" s="540" customFormat="1" x14ac:dyDescent="0.2">
      <c r="A496" s="443"/>
      <c r="B496" s="443"/>
      <c r="C496" s="443"/>
      <c r="D496" s="443"/>
    </row>
    <row r="497" spans="1:4" s="540" customFormat="1" x14ac:dyDescent="0.2">
      <c r="A497" s="443"/>
      <c r="B497" s="443"/>
      <c r="C497" s="443"/>
      <c r="D497" s="443"/>
    </row>
    <row r="498" spans="1:4" s="540" customFormat="1" x14ac:dyDescent="0.2">
      <c r="A498" s="443"/>
      <c r="B498" s="443"/>
      <c r="C498" s="443"/>
      <c r="D498" s="443"/>
    </row>
    <row r="499" spans="1:4" s="540" customFormat="1" x14ac:dyDescent="0.2">
      <c r="A499" s="443"/>
      <c r="B499" s="443"/>
      <c r="C499" s="443"/>
      <c r="D499" s="443"/>
    </row>
    <row r="500" spans="1:4" s="540" customFormat="1" x14ac:dyDescent="0.2">
      <c r="A500" s="443"/>
      <c r="B500" s="443"/>
      <c r="C500" s="443"/>
      <c r="D500" s="443"/>
    </row>
    <row r="501" spans="1:4" s="540" customFormat="1" x14ac:dyDescent="0.2">
      <c r="A501" s="443"/>
      <c r="B501" s="443"/>
      <c r="C501" s="443"/>
      <c r="D501" s="443"/>
    </row>
    <row r="502" spans="1:4" s="540" customFormat="1" x14ac:dyDescent="0.2">
      <c r="A502" s="443"/>
      <c r="B502" s="443"/>
      <c r="C502" s="443"/>
      <c r="D502" s="443"/>
    </row>
    <row r="503" spans="1:4" s="540" customFormat="1" x14ac:dyDescent="0.2">
      <c r="A503" s="443"/>
      <c r="B503" s="443"/>
      <c r="C503" s="443"/>
      <c r="D503" s="443"/>
    </row>
    <row r="504" spans="1:4" s="540" customFormat="1" x14ac:dyDescent="0.2">
      <c r="A504" s="443"/>
      <c r="B504" s="443"/>
      <c r="C504" s="443"/>
      <c r="D504" s="443"/>
    </row>
    <row r="505" spans="1:4" s="540" customFormat="1" x14ac:dyDescent="0.2">
      <c r="A505" s="443"/>
      <c r="B505" s="443"/>
      <c r="C505" s="443"/>
      <c r="D505" s="443"/>
    </row>
    <row r="506" spans="1:4" s="540" customFormat="1" x14ac:dyDescent="0.2">
      <c r="A506" s="443"/>
      <c r="B506" s="443"/>
      <c r="C506" s="443"/>
      <c r="D506" s="443"/>
    </row>
    <row r="507" spans="1:4" s="540" customFormat="1" x14ac:dyDescent="0.2">
      <c r="A507" s="443"/>
      <c r="B507" s="443"/>
      <c r="C507" s="443"/>
      <c r="D507" s="443"/>
    </row>
    <row r="508" spans="1:4" s="540" customFormat="1" x14ac:dyDescent="0.2">
      <c r="A508" s="443"/>
      <c r="B508" s="443"/>
      <c r="C508" s="443"/>
      <c r="D508" s="443"/>
    </row>
    <row r="509" spans="1:4" s="540" customFormat="1" x14ac:dyDescent="0.2">
      <c r="A509" s="443"/>
      <c r="B509" s="443"/>
      <c r="C509" s="443"/>
      <c r="D509" s="443"/>
    </row>
    <row r="510" spans="1:4" s="540" customFormat="1" x14ac:dyDescent="0.2">
      <c r="A510" s="443"/>
      <c r="B510" s="443"/>
      <c r="C510" s="443"/>
      <c r="D510" s="443"/>
    </row>
    <row r="511" spans="1:4" s="540" customFormat="1" x14ac:dyDescent="0.2">
      <c r="A511" s="443"/>
      <c r="B511" s="443"/>
      <c r="C511" s="443"/>
      <c r="D511" s="443"/>
    </row>
    <row r="512" spans="1:4" s="540" customFormat="1" x14ac:dyDescent="0.2">
      <c r="A512" s="443"/>
      <c r="B512" s="443"/>
      <c r="C512" s="443"/>
      <c r="D512" s="443"/>
    </row>
    <row r="513" spans="1:4" s="540" customFormat="1" x14ac:dyDescent="0.2">
      <c r="A513" s="443"/>
      <c r="B513" s="443"/>
      <c r="C513" s="443"/>
      <c r="D513" s="443"/>
    </row>
    <row r="514" spans="1:4" s="540" customFormat="1" x14ac:dyDescent="0.2">
      <c r="A514" s="443"/>
      <c r="B514" s="443"/>
      <c r="C514" s="443"/>
      <c r="D514" s="443"/>
    </row>
    <row r="515" spans="1:4" s="540" customFormat="1" x14ac:dyDescent="0.2">
      <c r="A515" s="443"/>
      <c r="B515" s="443"/>
      <c r="C515" s="443"/>
      <c r="D515" s="443"/>
    </row>
    <row r="516" spans="1:4" s="540" customFormat="1" x14ac:dyDescent="0.2">
      <c r="A516" s="443"/>
      <c r="B516" s="443"/>
      <c r="C516" s="443"/>
      <c r="D516" s="443"/>
    </row>
    <row r="517" spans="1:4" s="540" customFormat="1" x14ac:dyDescent="0.2">
      <c r="A517" s="443"/>
      <c r="B517" s="443"/>
      <c r="C517" s="443"/>
      <c r="D517" s="443"/>
    </row>
    <row r="518" spans="1:4" s="540" customFormat="1" x14ac:dyDescent="0.2">
      <c r="A518" s="443"/>
      <c r="B518" s="443"/>
      <c r="C518" s="443"/>
      <c r="D518" s="443"/>
    </row>
    <row r="519" spans="1:4" s="540" customFormat="1" x14ac:dyDescent="0.2">
      <c r="A519" s="443"/>
      <c r="B519" s="443"/>
      <c r="C519" s="443"/>
      <c r="D519" s="443"/>
    </row>
    <row r="520" spans="1:4" s="540" customFormat="1" x14ac:dyDescent="0.2">
      <c r="A520" s="443"/>
      <c r="B520" s="443"/>
      <c r="C520" s="443"/>
      <c r="D520" s="443"/>
    </row>
    <row r="521" spans="1:4" s="540" customFormat="1" x14ac:dyDescent="0.2">
      <c r="A521" s="443"/>
      <c r="B521" s="443"/>
      <c r="C521" s="443"/>
      <c r="D521" s="443"/>
    </row>
    <row r="522" spans="1:4" s="540" customFormat="1" x14ac:dyDescent="0.2">
      <c r="A522" s="443"/>
      <c r="B522" s="443"/>
      <c r="C522" s="443"/>
      <c r="D522" s="443"/>
    </row>
    <row r="523" spans="1:4" s="540" customFormat="1" x14ac:dyDescent="0.2">
      <c r="A523" s="443"/>
      <c r="B523" s="443"/>
      <c r="C523" s="443"/>
      <c r="D523" s="443"/>
    </row>
    <row r="524" spans="1:4" s="540" customFormat="1" x14ac:dyDescent="0.2">
      <c r="A524" s="443"/>
      <c r="B524" s="443"/>
      <c r="C524" s="443"/>
      <c r="D524" s="443"/>
    </row>
    <row r="525" spans="1:4" s="540" customFormat="1" x14ac:dyDescent="0.2">
      <c r="A525" s="443"/>
      <c r="B525" s="443"/>
      <c r="C525" s="443"/>
      <c r="D525" s="443"/>
    </row>
    <row r="526" spans="1:4" s="540" customFormat="1" x14ac:dyDescent="0.2">
      <c r="A526" s="443"/>
      <c r="B526" s="443"/>
      <c r="C526" s="443"/>
      <c r="D526" s="443"/>
    </row>
    <row r="527" spans="1:4" s="540" customFormat="1" x14ac:dyDescent="0.2">
      <c r="A527" s="443"/>
      <c r="B527" s="443"/>
      <c r="C527" s="443"/>
      <c r="D527" s="443"/>
    </row>
    <row r="528" spans="1:4" s="540" customFormat="1" x14ac:dyDescent="0.2">
      <c r="A528" s="443"/>
      <c r="B528" s="443"/>
      <c r="C528" s="443"/>
      <c r="D528" s="443"/>
    </row>
    <row r="529" spans="1:4" s="540" customFormat="1" x14ac:dyDescent="0.2">
      <c r="A529" s="443"/>
      <c r="B529" s="443"/>
      <c r="C529" s="443"/>
      <c r="D529" s="443"/>
    </row>
    <row r="530" spans="1:4" s="540" customFormat="1" x14ac:dyDescent="0.2">
      <c r="A530" s="443"/>
      <c r="B530" s="443"/>
      <c r="C530" s="443"/>
      <c r="D530" s="443"/>
    </row>
    <row r="531" spans="1:4" s="540" customFormat="1" x14ac:dyDescent="0.2">
      <c r="A531" s="443"/>
      <c r="B531" s="443"/>
      <c r="C531" s="443"/>
      <c r="D531" s="443"/>
    </row>
    <row r="532" spans="1:4" s="540" customFormat="1" x14ac:dyDescent="0.2">
      <c r="A532" s="443"/>
      <c r="B532" s="443"/>
      <c r="C532" s="443"/>
      <c r="D532" s="443"/>
    </row>
    <row r="533" spans="1:4" s="540" customFormat="1" x14ac:dyDescent="0.2">
      <c r="A533" s="443"/>
      <c r="B533" s="443"/>
      <c r="C533" s="443"/>
      <c r="D533" s="443"/>
    </row>
    <row r="534" spans="1:4" s="540" customFormat="1" x14ac:dyDescent="0.2">
      <c r="A534" s="443"/>
      <c r="B534" s="443"/>
      <c r="C534" s="443"/>
      <c r="D534" s="443"/>
    </row>
    <row r="535" spans="1:4" s="540" customFormat="1" x14ac:dyDescent="0.2">
      <c r="A535" s="443"/>
      <c r="B535" s="443"/>
      <c r="C535" s="443"/>
      <c r="D535" s="443"/>
    </row>
    <row r="536" spans="1:4" s="540" customFormat="1" x14ac:dyDescent="0.2">
      <c r="A536" s="443"/>
      <c r="B536" s="443"/>
      <c r="C536" s="443"/>
      <c r="D536" s="443"/>
    </row>
    <row r="537" spans="1:4" s="540" customFormat="1" x14ac:dyDescent="0.2">
      <c r="A537" s="443"/>
      <c r="B537" s="443"/>
      <c r="C537" s="443"/>
      <c r="D537" s="443"/>
    </row>
    <row r="538" spans="1:4" s="540" customFormat="1" x14ac:dyDescent="0.2">
      <c r="A538" s="443"/>
      <c r="B538" s="443"/>
      <c r="C538" s="443"/>
      <c r="D538" s="443"/>
    </row>
    <row r="539" spans="1:4" s="540" customFormat="1" x14ac:dyDescent="0.2">
      <c r="A539" s="443"/>
      <c r="B539" s="443"/>
      <c r="C539" s="443"/>
      <c r="D539" s="443"/>
    </row>
    <row r="540" spans="1:4" s="540" customFormat="1" x14ac:dyDescent="0.2">
      <c r="A540" s="443"/>
      <c r="B540" s="443"/>
      <c r="C540" s="443"/>
      <c r="D540" s="443"/>
    </row>
    <row r="541" spans="1:4" s="540" customFormat="1" x14ac:dyDescent="0.2">
      <c r="A541" s="443"/>
      <c r="B541" s="443"/>
      <c r="C541" s="443"/>
      <c r="D541" s="443"/>
    </row>
    <row r="542" spans="1:4" s="540" customFormat="1" x14ac:dyDescent="0.2">
      <c r="A542" s="443"/>
      <c r="B542" s="443"/>
      <c r="C542" s="443"/>
      <c r="D542" s="443"/>
    </row>
    <row r="543" spans="1:4" s="540" customFormat="1" x14ac:dyDescent="0.2">
      <c r="A543" s="443"/>
      <c r="B543" s="443"/>
      <c r="C543" s="443"/>
      <c r="D543" s="443"/>
    </row>
    <row r="544" spans="1:4" s="540" customFormat="1" x14ac:dyDescent="0.2">
      <c r="A544" s="443"/>
      <c r="B544" s="443"/>
      <c r="C544" s="443"/>
      <c r="D544" s="443"/>
    </row>
    <row r="545" spans="1:4" s="540" customFormat="1" x14ac:dyDescent="0.2">
      <c r="A545" s="443"/>
      <c r="B545" s="443"/>
      <c r="C545" s="443"/>
      <c r="D545" s="443"/>
    </row>
    <row r="546" spans="1:4" s="540" customFormat="1" x14ac:dyDescent="0.2">
      <c r="A546" s="443"/>
      <c r="B546" s="443"/>
      <c r="C546" s="443"/>
      <c r="D546" s="443"/>
    </row>
    <row r="547" spans="1:4" s="540" customFormat="1" x14ac:dyDescent="0.2">
      <c r="A547" s="443"/>
      <c r="B547" s="443"/>
      <c r="C547" s="443"/>
      <c r="D547" s="443"/>
    </row>
    <row r="548" spans="1:4" s="540" customFormat="1" x14ac:dyDescent="0.2">
      <c r="A548" s="443"/>
      <c r="B548" s="443"/>
      <c r="C548" s="443"/>
      <c r="D548" s="443"/>
    </row>
    <row r="549" spans="1:4" s="540" customFormat="1" x14ac:dyDescent="0.2">
      <c r="A549" s="443"/>
      <c r="B549" s="443"/>
      <c r="C549" s="443"/>
      <c r="D549" s="443"/>
    </row>
    <row r="550" spans="1:4" s="540" customFormat="1" x14ac:dyDescent="0.2">
      <c r="A550" s="443"/>
      <c r="B550" s="443"/>
      <c r="C550" s="443"/>
      <c r="D550" s="443"/>
    </row>
    <row r="551" spans="1:4" s="540" customFormat="1" x14ac:dyDescent="0.2">
      <c r="A551" s="443"/>
      <c r="B551" s="443"/>
      <c r="C551" s="443"/>
      <c r="D551" s="443"/>
    </row>
    <row r="552" spans="1:4" s="540" customFormat="1" x14ac:dyDescent="0.2">
      <c r="A552" s="443"/>
      <c r="B552" s="443"/>
      <c r="C552" s="443"/>
      <c r="D552" s="443"/>
    </row>
    <row r="553" spans="1:4" s="540" customFormat="1" x14ac:dyDescent="0.2">
      <c r="A553" s="443"/>
      <c r="B553" s="443"/>
      <c r="C553" s="443"/>
      <c r="D553" s="443"/>
    </row>
    <row r="554" spans="1:4" s="540" customFormat="1" x14ac:dyDescent="0.2">
      <c r="A554" s="443"/>
      <c r="B554" s="443"/>
      <c r="C554" s="443"/>
      <c r="D554" s="443"/>
    </row>
    <row r="555" spans="1:4" s="540" customFormat="1" x14ac:dyDescent="0.2">
      <c r="A555" s="443"/>
      <c r="B555" s="443"/>
      <c r="C555" s="443"/>
      <c r="D555" s="443"/>
    </row>
    <row r="556" spans="1:4" s="540" customFormat="1" x14ac:dyDescent="0.2">
      <c r="A556" s="443"/>
      <c r="B556" s="443"/>
      <c r="C556" s="443"/>
      <c r="D556" s="443"/>
    </row>
    <row r="557" spans="1:4" s="540" customFormat="1" x14ac:dyDescent="0.2">
      <c r="A557" s="443"/>
      <c r="B557" s="443"/>
      <c r="C557" s="443"/>
      <c r="D557" s="443"/>
    </row>
    <row r="558" spans="1:4" s="540" customFormat="1" x14ac:dyDescent="0.2">
      <c r="A558" s="443"/>
      <c r="B558" s="443"/>
      <c r="C558" s="443"/>
      <c r="D558" s="443"/>
    </row>
    <row r="559" spans="1:4" s="540" customFormat="1" x14ac:dyDescent="0.2">
      <c r="A559" s="443"/>
      <c r="B559" s="443"/>
      <c r="C559" s="443"/>
      <c r="D559" s="443"/>
    </row>
    <row r="560" spans="1:4" s="540" customFormat="1" x14ac:dyDescent="0.2">
      <c r="A560" s="443"/>
      <c r="B560" s="443"/>
      <c r="C560" s="443"/>
      <c r="D560" s="443"/>
    </row>
    <row r="561" spans="1:4" s="540" customFormat="1" x14ac:dyDescent="0.2">
      <c r="A561" s="443"/>
      <c r="B561" s="443"/>
      <c r="C561" s="443"/>
      <c r="D561" s="443"/>
    </row>
    <row r="562" spans="1:4" s="540" customFormat="1" x14ac:dyDescent="0.2">
      <c r="A562" s="443"/>
      <c r="B562" s="443"/>
      <c r="C562" s="443"/>
      <c r="D562" s="443"/>
    </row>
    <row r="563" spans="1:4" s="540" customFormat="1" x14ac:dyDescent="0.2">
      <c r="A563" s="443"/>
      <c r="B563" s="443"/>
      <c r="C563" s="443"/>
      <c r="D563" s="443"/>
    </row>
    <row r="564" spans="1:4" s="540" customFormat="1" x14ac:dyDescent="0.2">
      <c r="A564" s="443"/>
      <c r="B564" s="443"/>
      <c r="C564" s="443"/>
      <c r="D564" s="443"/>
    </row>
    <row r="565" spans="1:4" s="540" customFormat="1" x14ac:dyDescent="0.2">
      <c r="A565" s="443"/>
      <c r="B565" s="443"/>
      <c r="C565" s="443"/>
      <c r="D565" s="443"/>
    </row>
    <row r="566" spans="1:4" s="540" customFormat="1" x14ac:dyDescent="0.2">
      <c r="A566" s="443"/>
      <c r="B566" s="443"/>
      <c r="C566" s="443"/>
      <c r="D566" s="443"/>
    </row>
    <row r="567" spans="1:4" s="540" customFormat="1" x14ac:dyDescent="0.2">
      <c r="A567" s="443"/>
      <c r="B567" s="443"/>
      <c r="C567" s="443"/>
      <c r="D567" s="443"/>
    </row>
    <row r="568" spans="1:4" s="540" customFormat="1" x14ac:dyDescent="0.2">
      <c r="A568" s="443"/>
      <c r="B568" s="443"/>
      <c r="C568" s="443"/>
      <c r="D568" s="443"/>
    </row>
    <row r="569" spans="1:4" s="540" customFormat="1" x14ac:dyDescent="0.2">
      <c r="A569" s="443"/>
      <c r="B569" s="443"/>
      <c r="C569" s="443"/>
      <c r="D569" s="443"/>
    </row>
    <row r="570" spans="1:4" s="540" customFormat="1" x14ac:dyDescent="0.2">
      <c r="A570" s="443"/>
      <c r="B570" s="443"/>
      <c r="C570" s="443"/>
      <c r="D570" s="443"/>
    </row>
    <row r="571" spans="1:4" s="540" customFormat="1" x14ac:dyDescent="0.2">
      <c r="A571" s="443"/>
      <c r="B571" s="443"/>
      <c r="C571" s="443"/>
      <c r="D571" s="443"/>
    </row>
    <row r="572" spans="1:4" s="540" customFormat="1" x14ac:dyDescent="0.2">
      <c r="A572" s="443"/>
      <c r="B572" s="443"/>
      <c r="C572" s="443"/>
      <c r="D572" s="443"/>
    </row>
    <row r="573" spans="1:4" s="540" customFormat="1" x14ac:dyDescent="0.2">
      <c r="A573" s="443"/>
      <c r="B573" s="443"/>
      <c r="C573" s="443"/>
      <c r="D573" s="443"/>
    </row>
    <row r="574" spans="1:4" s="540" customFormat="1" x14ac:dyDescent="0.2">
      <c r="A574" s="443"/>
      <c r="B574" s="443"/>
      <c r="C574" s="443"/>
      <c r="D574" s="443"/>
    </row>
    <row r="575" spans="1:4" s="540" customFormat="1" x14ac:dyDescent="0.2">
      <c r="A575" s="443"/>
      <c r="B575" s="443"/>
      <c r="C575" s="443"/>
      <c r="D575" s="443"/>
    </row>
    <row r="576" spans="1:4" s="540" customFormat="1" x14ac:dyDescent="0.2">
      <c r="A576" s="443"/>
      <c r="B576" s="443"/>
      <c r="C576" s="443"/>
      <c r="D576" s="443"/>
    </row>
    <row r="577" spans="1:109" s="540" customFormat="1" x14ac:dyDescent="0.2">
      <c r="A577" s="443"/>
      <c r="B577" s="443"/>
      <c r="C577" s="443"/>
      <c r="D577" s="443"/>
    </row>
    <row r="578" spans="1:109" s="540" customFormat="1" x14ac:dyDescent="0.2">
      <c r="A578" s="443"/>
      <c r="B578" s="443"/>
      <c r="C578" s="443"/>
      <c r="D578" s="443"/>
    </row>
    <row r="579" spans="1:109" s="540" customFormat="1" x14ac:dyDescent="0.2">
      <c r="A579" s="443"/>
      <c r="B579" s="443"/>
      <c r="C579" s="443"/>
      <c r="D579" s="443"/>
    </row>
    <row r="580" spans="1:109" s="116" customFormat="1" x14ac:dyDescent="0.2">
      <c r="A580" s="435"/>
      <c r="B580" s="435"/>
      <c r="C580" s="435"/>
      <c r="D580" s="435"/>
      <c r="AB580" s="540"/>
      <c r="AU580" s="540"/>
      <c r="AV580" s="540"/>
      <c r="AW580" s="540"/>
      <c r="AX580" s="540"/>
      <c r="AY580" s="540"/>
      <c r="AZ580" s="540"/>
      <c r="BA580" s="540"/>
      <c r="BB580" s="540"/>
      <c r="BC580" s="540"/>
      <c r="BD580" s="540"/>
      <c r="BE580" s="540"/>
      <c r="BF580" s="540"/>
      <c r="BG580" s="540"/>
      <c r="BH580" s="540"/>
      <c r="BI580" s="540"/>
      <c r="BJ580" s="540"/>
      <c r="BK580" s="540"/>
      <c r="BL580" s="540"/>
      <c r="BM580" s="540"/>
      <c r="BN580" s="540"/>
      <c r="BO580" s="540"/>
      <c r="BP580" s="540"/>
      <c r="BQ580" s="540"/>
      <c r="BR580" s="540"/>
      <c r="BS580" s="540"/>
      <c r="BT580" s="540"/>
      <c r="BU580" s="540"/>
      <c r="BV580" s="540"/>
      <c r="BW580" s="540"/>
      <c r="BX580" s="540"/>
      <c r="BY580" s="540"/>
      <c r="BZ580" s="540"/>
      <c r="CA580" s="540"/>
      <c r="CB580" s="540"/>
      <c r="CC580" s="540"/>
      <c r="CD580" s="540"/>
      <c r="CE580" s="540"/>
      <c r="CF580" s="540"/>
      <c r="CG580" s="540"/>
      <c r="CH580" s="540"/>
      <c r="CI580" s="540"/>
      <c r="CJ580" s="540"/>
      <c r="CK580" s="540"/>
      <c r="CL580" s="540"/>
      <c r="CM580" s="540"/>
      <c r="CN580" s="540"/>
      <c r="CO580" s="540"/>
      <c r="CP580" s="540"/>
      <c r="CQ580" s="540"/>
      <c r="CR580" s="540"/>
      <c r="CS580" s="540"/>
      <c r="CT580" s="540"/>
      <c r="CU580" s="540"/>
      <c r="CV580" s="540"/>
      <c r="CW580" s="540"/>
      <c r="CX580" s="540"/>
      <c r="CY580" s="540"/>
      <c r="CZ580" s="540"/>
      <c r="DA580" s="540"/>
      <c r="DB580" s="540"/>
      <c r="DC580" s="540"/>
      <c r="DD580" s="540"/>
      <c r="DE580" s="540"/>
    </row>
    <row r="581" spans="1:109" s="116" customFormat="1" x14ac:dyDescent="0.2">
      <c r="A581" s="435"/>
      <c r="B581" s="435"/>
      <c r="C581" s="435"/>
      <c r="D581" s="435"/>
      <c r="AB581" s="540"/>
      <c r="AU581" s="540"/>
      <c r="AV581" s="540"/>
      <c r="AW581" s="540"/>
      <c r="AX581" s="540"/>
      <c r="AY581" s="540"/>
      <c r="AZ581" s="540"/>
      <c r="BA581" s="540"/>
      <c r="BB581" s="540"/>
      <c r="BC581" s="540"/>
      <c r="BD581" s="540"/>
      <c r="BE581" s="540"/>
      <c r="BF581" s="540"/>
      <c r="BG581" s="540"/>
      <c r="BH581" s="540"/>
      <c r="BI581" s="540"/>
      <c r="BJ581" s="540"/>
      <c r="BK581" s="540"/>
      <c r="BL581" s="540"/>
      <c r="BM581" s="540"/>
      <c r="BN581" s="540"/>
      <c r="BO581" s="540"/>
      <c r="BP581" s="540"/>
      <c r="BQ581" s="540"/>
      <c r="BR581" s="540"/>
      <c r="BS581" s="540"/>
      <c r="BT581" s="540"/>
      <c r="BU581" s="540"/>
      <c r="BV581" s="540"/>
      <c r="BW581" s="540"/>
      <c r="BX581" s="540"/>
      <c r="BY581" s="540"/>
      <c r="BZ581" s="540"/>
      <c r="CA581" s="540"/>
      <c r="CB581" s="540"/>
      <c r="CC581" s="540"/>
      <c r="CD581" s="540"/>
      <c r="CE581" s="540"/>
      <c r="CF581" s="540"/>
      <c r="CG581" s="540"/>
      <c r="CH581" s="540"/>
      <c r="CI581" s="540"/>
      <c r="CJ581" s="540"/>
      <c r="CK581" s="540"/>
      <c r="CL581" s="540"/>
      <c r="CM581" s="540"/>
      <c r="CN581" s="540"/>
      <c r="CO581" s="540"/>
      <c r="CP581" s="540"/>
      <c r="CQ581" s="540"/>
      <c r="CR581" s="540"/>
      <c r="CS581" s="540"/>
      <c r="CT581" s="540"/>
      <c r="CU581" s="540"/>
      <c r="CV581" s="540"/>
      <c r="CW581" s="540"/>
      <c r="CX581" s="540"/>
      <c r="CY581" s="540"/>
      <c r="CZ581" s="540"/>
      <c r="DA581" s="540"/>
      <c r="DB581" s="540"/>
      <c r="DC581" s="540"/>
      <c r="DD581" s="540"/>
      <c r="DE581" s="540"/>
    </row>
    <row r="582" spans="1:109" s="116" customFormat="1" x14ac:dyDescent="0.2">
      <c r="A582" s="435"/>
      <c r="B582" s="435"/>
      <c r="C582" s="435"/>
      <c r="D582" s="435"/>
      <c r="AB582" s="540"/>
      <c r="AU582" s="540"/>
      <c r="AV582" s="540"/>
      <c r="AW582" s="540"/>
      <c r="AX582" s="540"/>
      <c r="AY582" s="540"/>
      <c r="AZ582" s="540"/>
      <c r="BA582" s="540"/>
      <c r="BB582" s="540"/>
      <c r="BC582" s="540"/>
      <c r="BD582" s="540"/>
      <c r="BE582" s="540"/>
      <c r="BF582" s="540"/>
      <c r="BG582" s="540"/>
      <c r="BH582" s="540"/>
      <c r="BI582" s="540"/>
      <c r="BJ582" s="540"/>
      <c r="BK582" s="540"/>
      <c r="BL582" s="540"/>
      <c r="BM582" s="540"/>
      <c r="BN582" s="540"/>
      <c r="BO582" s="540"/>
      <c r="BP582" s="540"/>
      <c r="BQ582" s="540"/>
      <c r="BR582" s="540"/>
      <c r="BS582" s="540"/>
      <c r="BT582" s="540"/>
      <c r="BU582" s="540"/>
      <c r="BV582" s="540"/>
      <c r="BW582" s="540"/>
      <c r="BX582" s="540"/>
      <c r="BY582" s="540"/>
      <c r="BZ582" s="540"/>
      <c r="CA582" s="540"/>
      <c r="CB582" s="540"/>
      <c r="CC582" s="540"/>
      <c r="CD582" s="540"/>
      <c r="CE582" s="540"/>
      <c r="CF582" s="540"/>
      <c r="CG582" s="540"/>
      <c r="CH582" s="540"/>
      <c r="CI582" s="540"/>
      <c r="CJ582" s="540"/>
      <c r="CK582" s="540"/>
      <c r="CL582" s="540"/>
      <c r="CM582" s="540"/>
      <c r="CN582" s="540"/>
      <c r="CO582" s="540"/>
      <c r="CP582" s="540"/>
      <c r="CQ582" s="540"/>
      <c r="CR582" s="540"/>
      <c r="CS582" s="540"/>
      <c r="CT582" s="540"/>
      <c r="CU582" s="540"/>
      <c r="CV582" s="540"/>
      <c r="CW582" s="540"/>
      <c r="CX582" s="540"/>
      <c r="CY582" s="540"/>
      <c r="CZ582" s="540"/>
      <c r="DA582" s="540"/>
      <c r="DB582" s="540"/>
      <c r="DC582" s="540"/>
      <c r="DD582" s="540"/>
      <c r="DE582" s="540"/>
    </row>
    <row r="583" spans="1:109" s="116" customFormat="1" x14ac:dyDescent="0.2">
      <c r="A583" s="435"/>
      <c r="B583" s="435"/>
      <c r="C583" s="435"/>
      <c r="D583" s="435"/>
      <c r="AB583" s="540"/>
      <c r="AU583" s="540"/>
      <c r="AV583" s="540"/>
      <c r="AW583" s="540"/>
      <c r="AX583" s="540"/>
      <c r="AY583" s="540"/>
      <c r="AZ583" s="540"/>
      <c r="BA583" s="540"/>
      <c r="BB583" s="540"/>
      <c r="BC583" s="540"/>
      <c r="BD583" s="540"/>
      <c r="BE583" s="540"/>
      <c r="BF583" s="540"/>
      <c r="BG583" s="540"/>
      <c r="BH583" s="540"/>
      <c r="BI583" s="540"/>
      <c r="BJ583" s="540"/>
      <c r="BK583" s="540"/>
      <c r="BL583" s="540"/>
      <c r="BM583" s="540"/>
      <c r="BN583" s="540"/>
      <c r="BO583" s="540"/>
      <c r="BP583" s="540"/>
      <c r="BQ583" s="540"/>
      <c r="BR583" s="540"/>
      <c r="BS583" s="540"/>
      <c r="BT583" s="540"/>
      <c r="BU583" s="540"/>
      <c r="BV583" s="540"/>
      <c r="BW583" s="540"/>
      <c r="BX583" s="540"/>
      <c r="BY583" s="540"/>
      <c r="BZ583" s="540"/>
      <c r="CA583" s="540"/>
      <c r="CB583" s="540"/>
      <c r="CC583" s="540"/>
      <c r="CD583" s="540"/>
      <c r="CE583" s="540"/>
      <c r="CF583" s="540"/>
      <c r="CG583" s="540"/>
      <c r="CH583" s="540"/>
      <c r="CI583" s="540"/>
      <c r="CJ583" s="540"/>
      <c r="CK583" s="540"/>
      <c r="CL583" s="540"/>
      <c r="CM583" s="540"/>
      <c r="CN583" s="540"/>
      <c r="CO583" s="540"/>
      <c r="CP583" s="540"/>
      <c r="CQ583" s="540"/>
      <c r="CR583" s="540"/>
      <c r="CS583" s="540"/>
      <c r="CT583" s="540"/>
      <c r="CU583" s="540"/>
      <c r="CV583" s="540"/>
      <c r="CW583" s="540"/>
      <c r="CX583" s="540"/>
      <c r="CY583" s="540"/>
      <c r="CZ583" s="540"/>
      <c r="DA583" s="540"/>
      <c r="DB583" s="540"/>
      <c r="DC583" s="540"/>
      <c r="DD583" s="540"/>
      <c r="DE583" s="540"/>
    </row>
    <row r="584" spans="1:109" s="116" customFormat="1" x14ac:dyDescent="0.2">
      <c r="A584" s="435"/>
      <c r="B584" s="435"/>
      <c r="C584" s="435"/>
      <c r="D584" s="435"/>
      <c r="AB584" s="540"/>
      <c r="AU584" s="540"/>
      <c r="AV584" s="540"/>
      <c r="AW584" s="540"/>
      <c r="AX584" s="540"/>
      <c r="AY584" s="540"/>
      <c r="AZ584" s="540"/>
      <c r="BA584" s="540"/>
      <c r="BB584" s="540"/>
      <c r="BC584" s="540"/>
      <c r="BD584" s="540"/>
      <c r="BE584" s="540"/>
      <c r="BF584" s="540"/>
      <c r="BG584" s="540"/>
      <c r="BH584" s="540"/>
      <c r="BI584" s="540"/>
      <c r="BJ584" s="540"/>
      <c r="BK584" s="540"/>
      <c r="BL584" s="540"/>
      <c r="BM584" s="540"/>
      <c r="BN584" s="540"/>
      <c r="BO584" s="540"/>
      <c r="BP584" s="540"/>
      <c r="BQ584" s="540"/>
      <c r="BR584" s="540"/>
      <c r="BS584" s="540"/>
      <c r="BT584" s="540"/>
      <c r="BU584" s="540"/>
      <c r="BV584" s="540"/>
      <c r="BW584" s="540"/>
      <c r="BX584" s="540"/>
      <c r="BY584" s="540"/>
      <c r="BZ584" s="540"/>
      <c r="CA584" s="540"/>
      <c r="CB584" s="540"/>
      <c r="CC584" s="540"/>
      <c r="CD584" s="540"/>
      <c r="CE584" s="540"/>
      <c r="CF584" s="540"/>
      <c r="CG584" s="540"/>
      <c r="CH584" s="540"/>
      <c r="CI584" s="540"/>
      <c r="CJ584" s="540"/>
      <c r="CK584" s="540"/>
      <c r="CL584" s="540"/>
      <c r="CM584" s="540"/>
      <c r="CN584" s="540"/>
      <c r="CO584" s="540"/>
      <c r="CP584" s="540"/>
      <c r="CQ584" s="540"/>
      <c r="CR584" s="540"/>
      <c r="CS584" s="540"/>
      <c r="CT584" s="540"/>
      <c r="CU584" s="540"/>
      <c r="CV584" s="540"/>
      <c r="CW584" s="540"/>
      <c r="CX584" s="540"/>
      <c r="CY584" s="540"/>
      <c r="CZ584" s="540"/>
      <c r="DA584" s="540"/>
      <c r="DB584" s="540"/>
      <c r="DC584" s="540"/>
      <c r="DD584" s="540"/>
      <c r="DE584" s="540"/>
    </row>
    <row r="585" spans="1:109" s="116" customFormat="1" x14ac:dyDescent="0.2">
      <c r="A585" s="435"/>
      <c r="B585" s="435"/>
      <c r="C585" s="435"/>
      <c r="D585" s="435"/>
      <c r="AB585" s="540"/>
      <c r="AU585" s="540"/>
      <c r="AV585" s="540"/>
      <c r="AW585" s="540"/>
      <c r="AX585" s="540"/>
      <c r="AY585" s="540"/>
      <c r="AZ585" s="540"/>
      <c r="BA585" s="540"/>
      <c r="BB585" s="540"/>
      <c r="BC585" s="540"/>
      <c r="BD585" s="540"/>
      <c r="BE585" s="540"/>
      <c r="BF585" s="540"/>
      <c r="BG585" s="540"/>
      <c r="BH585" s="540"/>
      <c r="BI585" s="540"/>
      <c r="BJ585" s="540"/>
      <c r="BK585" s="540"/>
      <c r="BL585" s="540"/>
      <c r="BM585" s="540"/>
      <c r="BN585" s="540"/>
      <c r="BO585" s="540"/>
      <c r="BP585" s="540"/>
      <c r="BQ585" s="540"/>
      <c r="BR585" s="540"/>
      <c r="BS585" s="540"/>
      <c r="BT585" s="540"/>
      <c r="BU585" s="540"/>
      <c r="BV585" s="540"/>
      <c r="BW585" s="540"/>
      <c r="BX585" s="540"/>
      <c r="BY585" s="540"/>
      <c r="BZ585" s="540"/>
      <c r="CA585" s="540"/>
      <c r="CB585" s="540"/>
      <c r="CC585" s="540"/>
      <c r="CD585" s="540"/>
      <c r="CE585" s="540"/>
      <c r="CF585" s="540"/>
      <c r="CG585" s="540"/>
      <c r="CH585" s="540"/>
      <c r="CI585" s="540"/>
      <c r="CJ585" s="540"/>
      <c r="CK585" s="540"/>
      <c r="CL585" s="540"/>
      <c r="CM585" s="540"/>
      <c r="CN585" s="540"/>
      <c r="CO585" s="540"/>
      <c r="CP585" s="540"/>
      <c r="CQ585" s="540"/>
      <c r="CR585" s="540"/>
      <c r="CS585" s="540"/>
      <c r="CT585" s="540"/>
      <c r="CU585" s="540"/>
      <c r="CV585" s="540"/>
      <c r="CW585" s="540"/>
      <c r="CX585" s="540"/>
      <c r="CY585" s="540"/>
      <c r="CZ585" s="540"/>
      <c r="DA585" s="540"/>
      <c r="DB585" s="540"/>
      <c r="DC585" s="540"/>
      <c r="DD585" s="540"/>
      <c r="DE585" s="540"/>
    </row>
    <row r="586" spans="1:109" s="116" customFormat="1" x14ac:dyDescent="0.2">
      <c r="A586" s="435"/>
      <c r="B586" s="435"/>
      <c r="C586" s="435"/>
      <c r="D586" s="435"/>
      <c r="AB586" s="540"/>
      <c r="AU586" s="540"/>
      <c r="AV586" s="540"/>
      <c r="AW586" s="540"/>
      <c r="AX586" s="540"/>
      <c r="AY586" s="540"/>
      <c r="AZ586" s="540"/>
      <c r="BA586" s="540"/>
      <c r="BB586" s="540"/>
      <c r="BC586" s="540"/>
      <c r="BD586" s="540"/>
      <c r="BE586" s="540"/>
      <c r="BF586" s="540"/>
      <c r="BG586" s="540"/>
      <c r="BH586" s="540"/>
      <c r="BI586" s="540"/>
      <c r="BJ586" s="540"/>
      <c r="BK586" s="540"/>
      <c r="BL586" s="540"/>
      <c r="BM586" s="540"/>
      <c r="BN586" s="540"/>
      <c r="BO586" s="540"/>
      <c r="BP586" s="540"/>
      <c r="BQ586" s="540"/>
      <c r="BR586" s="540"/>
      <c r="BS586" s="540"/>
      <c r="BT586" s="540"/>
      <c r="BU586" s="540"/>
      <c r="BV586" s="540"/>
      <c r="BW586" s="540"/>
      <c r="BX586" s="540"/>
      <c r="BY586" s="540"/>
      <c r="BZ586" s="540"/>
      <c r="CA586" s="540"/>
      <c r="CB586" s="540"/>
      <c r="CC586" s="540"/>
      <c r="CD586" s="540"/>
      <c r="CE586" s="540"/>
      <c r="CF586" s="540"/>
      <c r="CG586" s="540"/>
      <c r="CH586" s="540"/>
      <c r="CI586" s="540"/>
      <c r="CJ586" s="540"/>
      <c r="CK586" s="540"/>
      <c r="CL586" s="540"/>
      <c r="CM586" s="540"/>
      <c r="CN586" s="540"/>
      <c r="CO586" s="540"/>
      <c r="CP586" s="540"/>
      <c r="CQ586" s="540"/>
      <c r="CR586" s="540"/>
      <c r="CS586" s="540"/>
      <c r="CT586" s="540"/>
      <c r="CU586" s="540"/>
      <c r="CV586" s="540"/>
      <c r="CW586" s="540"/>
      <c r="CX586" s="540"/>
      <c r="CY586" s="540"/>
      <c r="CZ586" s="540"/>
      <c r="DA586" s="540"/>
      <c r="DB586" s="540"/>
      <c r="DC586" s="540"/>
      <c r="DD586" s="540"/>
      <c r="DE586" s="540"/>
    </row>
    <row r="587" spans="1:109" s="116" customFormat="1" x14ac:dyDescent="0.2">
      <c r="A587" s="435"/>
      <c r="B587" s="435"/>
      <c r="C587" s="435"/>
      <c r="D587" s="435"/>
      <c r="AB587" s="540"/>
      <c r="AU587" s="540"/>
      <c r="AV587" s="540"/>
      <c r="AW587" s="540"/>
      <c r="AX587" s="540"/>
      <c r="AY587" s="540"/>
      <c r="AZ587" s="540"/>
      <c r="BA587" s="540"/>
      <c r="BB587" s="540"/>
      <c r="BC587" s="540"/>
      <c r="BD587" s="540"/>
      <c r="BE587" s="540"/>
      <c r="BF587" s="540"/>
      <c r="BG587" s="540"/>
      <c r="BH587" s="540"/>
      <c r="BI587" s="540"/>
      <c r="BJ587" s="540"/>
      <c r="BK587" s="540"/>
      <c r="BL587" s="540"/>
      <c r="BM587" s="540"/>
      <c r="BN587" s="540"/>
      <c r="BO587" s="540"/>
      <c r="BP587" s="540"/>
      <c r="BQ587" s="540"/>
      <c r="BR587" s="540"/>
      <c r="BS587" s="540"/>
      <c r="BT587" s="540"/>
      <c r="BU587" s="540"/>
      <c r="BV587" s="540"/>
      <c r="BW587" s="540"/>
      <c r="BX587" s="540"/>
      <c r="BY587" s="540"/>
      <c r="BZ587" s="540"/>
      <c r="CA587" s="540"/>
      <c r="CB587" s="540"/>
      <c r="CC587" s="540"/>
      <c r="CD587" s="540"/>
      <c r="CE587" s="540"/>
      <c r="CF587" s="540"/>
      <c r="CG587" s="540"/>
      <c r="CH587" s="540"/>
      <c r="CI587" s="540"/>
      <c r="CJ587" s="540"/>
      <c r="CK587" s="540"/>
      <c r="CL587" s="540"/>
      <c r="CM587" s="540"/>
      <c r="CN587" s="540"/>
      <c r="CO587" s="540"/>
      <c r="CP587" s="540"/>
      <c r="CQ587" s="540"/>
      <c r="CR587" s="540"/>
      <c r="CS587" s="540"/>
      <c r="CT587" s="540"/>
      <c r="CU587" s="540"/>
      <c r="CV587" s="540"/>
      <c r="CW587" s="540"/>
      <c r="CX587" s="540"/>
      <c r="CY587" s="540"/>
      <c r="CZ587" s="540"/>
      <c r="DA587" s="540"/>
      <c r="DB587" s="540"/>
      <c r="DC587" s="540"/>
      <c r="DD587" s="540"/>
      <c r="DE587" s="540"/>
    </row>
    <row r="588" spans="1:109" s="116" customFormat="1" x14ac:dyDescent="0.2">
      <c r="A588" s="435"/>
      <c r="B588" s="435"/>
      <c r="C588" s="435"/>
      <c r="D588" s="435"/>
      <c r="AB588" s="540"/>
      <c r="AU588" s="540"/>
      <c r="AV588" s="540"/>
      <c r="AW588" s="540"/>
      <c r="AX588" s="540"/>
      <c r="AY588" s="540"/>
      <c r="AZ588" s="540"/>
      <c r="BA588" s="540"/>
      <c r="BB588" s="540"/>
      <c r="BC588" s="540"/>
      <c r="BD588" s="540"/>
      <c r="BE588" s="540"/>
      <c r="BF588" s="540"/>
      <c r="BG588" s="540"/>
      <c r="BH588" s="540"/>
      <c r="BI588" s="540"/>
      <c r="BJ588" s="540"/>
      <c r="BK588" s="540"/>
      <c r="BL588" s="540"/>
      <c r="BM588" s="540"/>
      <c r="BN588" s="540"/>
      <c r="BO588" s="540"/>
      <c r="BP588" s="540"/>
      <c r="BQ588" s="540"/>
      <c r="BR588" s="540"/>
      <c r="BS588" s="540"/>
      <c r="BT588" s="540"/>
      <c r="BU588" s="540"/>
      <c r="BV588" s="540"/>
      <c r="BW588" s="540"/>
      <c r="BX588" s="540"/>
      <c r="BY588" s="540"/>
      <c r="BZ588" s="540"/>
      <c r="CA588" s="540"/>
      <c r="CB588" s="540"/>
      <c r="CC588" s="540"/>
      <c r="CD588" s="540"/>
      <c r="CE588" s="540"/>
      <c r="CF588" s="540"/>
      <c r="CG588" s="540"/>
      <c r="CH588" s="540"/>
      <c r="CI588" s="540"/>
      <c r="CJ588" s="540"/>
      <c r="CK588" s="540"/>
      <c r="CL588" s="540"/>
      <c r="CM588" s="540"/>
      <c r="CN588" s="540"/>
      <c r="CO588" s="540"/>
      <c r="CP588" s="540"/>
      <c r="CQ588" s="540"/>
      <c r="CR588" s="540"/>
      <c r="CS588" s="540"/>
      <c r="CT588" s="540"/>
      <c r="CU588" s="540"/>
      <c r="CV588" s="540"/>
      <c r="CW588" s="540"/>
      <c r="CX588" s="540"/>
      <c r="CY588" s="540"/>
      <c r="CZ588" s="540"/>
      <c r="DA588" s="540"/>
      <c r="DB588" s="540"/>
      <c r="DC588" s="540"/>
      <c r="DD588" s="540"/>
      <c r="DE588" s="540"/>
    </row>
    <row r="589" spans="1:109" s="116" customFormat="1" x14ac:dyDescent="0.2">
      <c r="A589" s="435"/>
      <c r="B589" s="435"/>
      <c r="C589" s="435"/>
      <c r="D589" s="435"/>
      <c r="AB589" s="540"/>
      <c r="AU589" s="540"/>
      <c r="AV589" s="540"/>
      <c r="AW589" s="540"/>
      <c r="AX589" s="540"/>
      <c r="AY589" s="540"/>
      <c r="AZ589" s="540"/>
      <c r="BA589" s="540"/>
      <c r="BB589" s="540"/>
      <c r="BC589" s="540"/>
      <c r="BD589" s="540"/>
      <c r="BE589" s="540"/>
      <c r="BF589" s="540"/>
      <c r="BG589" s="540"/>
      <c r="BH589" s="540"/>
      <c r="BI589" s="540"/>
      <c r="BJ589" s="540"/>
      <c r="BK589" s="540"/>
      <c r="BL589" s="540"/>
      <c r="BM589" s="540"/>
      <c r="BN589" s="540"/>
      <c r="BO589" s="540"/>
      <c r="BP589" s="540"/>
      <c r="BQ589" s="540"/>
      <c r="BR589" s="540"/>
      <c r="BS589" s="540"/>
      <c r="BT589" s="540"/>
      <c r="BU589" s="540"/>
      <c r="BV589" s="540"/>
      <c r="BW589" s="540"/>
      <c r="BX589" s="540"/>
      <c r="BY589" s="540"/>
      <c r="BZ589" s="540"/>
      <c r="CA589" s="540"/>
      <c r="CB589" s="540"/>
      <c r="CC589" s="540"/>
      <c r="CD589" s="540"/>
      <c r="CE589" s="540"/>
      <c r="CF589" s="540"/>
      <c r="CG589" s="540"/>
      <c r="CH589" s="540"/>
      <c r="CI589" s="540"/>
      <c r="CJ589" s="540"/>
      <c r="CK589" s="540"/>
      <c r="CL589" s="540"/>
      <c r="CM589" s="540"/>
      <c r="CN589" s="540"/>
      <c r="CO589" s="540"/>
      <c r="CP589" s="540"/>
      <c r="CQ589" s="540"/>
      <c r="CR589" s="540"/>
      <c r="CS589" s="540"/>
      <c r="CT589" s="540"/>
      <c r="CU589" s="540"/>
      <c r="CV589" s="540"/>
      <c r="CW589" s="540"/>
      <c r="CX589" s="540"/>
      <c r="CY589" s="540"/>
      <c r="CZ589" s="540"/>
      <c r="DA589" s="540"/>
      <c r="DB589" s="540"/>
      <c r="DC589" s="540"/>
      <c r="DD589" s="540"/>
      <c r="DE589" s="540"/>
    </row>
    <row r="590" spans="1:109" s="116" customFormat="1" x14ac:dyDescent="0.2">
      <c r="A590" s="435"/>
      <c r="B590" s="435"/>
      <c r="C590" s="435"/>
      <c r="D590" s="435"/>
      <c r="AB590" s="540"/>
      <c r="AU590" s="540"/>
      <c r="AV590" s="540"/>
      <c r="AW590" s="540"/>
      <c r="AX590" s="540"/>
      <c r="AY590" s="540"/>
      <c r="AZ590" s="540"/>
      <c r="BA590" s="540"/>
      <c r="BB590" s="540"/>
      <c r="BC590" s="540"/>
      <c r="BD590" s="540"/>
      <c r="BE590" s="540"/>
      <c r="BF590" s="540"/>
      <c r="BG590" s="540"/>
      <c r="BH590" s="540"/>
      <c r="BI590" s="540"/>
      <c r="BJ590" s="540"/>
      <c r="BK590" s="540"/>
      <c r="BL590" s="540"/>
      <c r="BM590" s="540"/>
      <c r="BN590" s="540"/>
      <c r="BO590" s="540"/>
      <c r="BP590" s="540"/>
      <c r="BQ590" s="540"/>
      <c r="BR590" s="540"/>
      <c r="BS590" s="540"/>
      <c r="BT590" s="540"/>
      <c r="BU590" s="540"/>
      <c r="BV590" s="540"/>
      <c r="BW590" s="540"/>
      <c r="BX590" s="540"/>
      <c r="BY590" s="540"/>
      <c r="BZ590" s="540"/>
      <c r="CA590" s="540"/>
      <c r="CB590" s="540"/>
      <c r="CC590" s="540"/>
      <c r="CD590" s="540"/>
      <c r="CE590" s="540"/>
      <c r="CF590" s="540"/>
      <c r="CG590" s="540"/>
      <c r="CH590" s="540"/>
      <c r="CI590" s="540"/>
      <c r="CJ590" s="540"/>
      <c r="CK590" s="540"/>
      <c r="CL590" s="540"/>
      <c r="CM590" s="540"/>
      <c r="CN590" s="540"/>
      <c r="CO590" s="540"/>
      <c r="CP590" s="540"/>
      <c r="CQ590" s="540"/>
      <c r="CR590" s="540"/>
      <c r="CS590" s="540"/>
      <c r="CT590" s="540"/>
      <c r="CU590" s="540"/>
      <c r="CV590" s="540"/>
      <c r="CW590" s="540"/>
      <c r="CX590" s="540"/>
      <c r="CY590" s="540"/>
      <c r="CZ590" s="540"/>
      <c r="DA590" s="540"/>
      <c r="DB590" s="540"/>
      <c r="DC590" s="540"/>
      <c r="DD590" s="540"/>
      <c r="DE590" s="540"/>
    </row>
    <row r="591" spans="1:109" s="116" customFormat="1" x14ac:dyDescent="0.2">
      <c r="A591" s="435"/>
      <c r="B591" s="435"/>
      <c r="C591" s="435"/>
      <c r="D591" s="435"/>
      <c r="AB591" s="540"/>
      <c r="AU591" s="540"/>
      <c r="AV591" s="540"/>
      <c r="AW591" s="540"/>
      <c r="AX591" s="540"/>
      <c r="AY591" s="540"/>
      <c r="AZ591" s="540"/>
      <c r="BA591" s="540"/>
      <c r="BB591" s="540"/>
      <c r="BC591" s="540"/>
      <c r="BD591" s="540"/>
      <c r="BE591" s="540"/>
      <c r="BF591" s="540"/>
      <c r="BG591" s="540"/>
      <c r="BH591" s="540"/>
      <c r="BI591" s="540"/>
      <c r="BJ591" s="540"/>
      <c r="BK591" s="540"/>
      <c r="BL591" s="540"/>
      <c r="BM591" s="540"/>
      <c r="BN591" s="540"/>
      <c r="BO591" s="540"/>
      <c r="BP591" s="540"/>
      <c r="BQ591" s="540"/>
      <c r="BR591" s="540"/>
      <c r="BS591" s="540"/>
      <c r="BT591" s="540"/>
      <c r="BU591" s="540"/>
      <c r="BV591" s="540"/>
      <c r="BW591" s="540"/>
      <c r="BX591" s="540"/>
      <c r="BY591" s="540"/>
      <c r="BZ591" s="540"/>
      <c r="CA591" s="540"/>
      <c r="CB591" s="540"/>
      <c r="CC591" s="540"/>
      <c r="CD591" s="540"/>
      <c r="CE591" s="540"/>
      <c r="CF591" s="540"/>
      <c r="CG591" s="540"/>
      <c r="CH591" s="540"/>
      <c r="CI591" s="540"/>
      <c r="CJ591" s="540"/>
      <c r="CK591" s="540"/>
      <c r="CL591" s="540"/>
      <c r="CM591" s="540"/>
      <c r="CN591" s="540"/>
      <c r="CO591" s="540"/>
      <c r="CP591" s="540"/>
      <c r="CQ591" s="540"/>
      <c r="CR591" s="540"/>
      <c r="CS591" s="540"/>
      <c r="CT591" s="540"/>
      <c r="CU591" s="540"/>
      <c r="CV591" s="540"/>
      <c r="CW591" s="540"/>
      <c r="CX591" s="540"/>
      <c r="CY591" s="540"/>
      <c r="CZ591" s="540"/>
      <c r="DA591" s="540"/>
      <c r="DB591" s="540"/>
      <c r="DC591" s="540"/>
      <c r="DD591" s="540"/>
      <c r="DE591" s="540"/>
    </row>
    <row r="592" spans="1:109" s="116" customFormat="1" x14ac:dyDescent="0.2">
      <c r="A592" s="435"/>
      <c r="B592" s="435"/>
      <c r="C592" s="435"/>
      <c r="D592" s="435"/>
      <c r="AB592" s="540"/>
      <c r="AU592" s="540"/>
      <c r="AV592" s="540"/>
      <c r="AW592" s="540"/>
      <c r="AX592" s="540"/>
      <c r="AY592" s="540"/>
      <c r="AZ592" s="540"/>
      <c r="BA592" s="540"/>
      <c r="BB592" s="540"/>
      <c r="BC592" s="540"/>
      <c r="BD592" s="540"/>
      <c r="BE592" s="540"/>
      <c r="BF592" s="540"/>
      <c r="BG592" s="540"/>
      <c r="BH592" s="540"/>
      <c r="BI592" s="540"/>
      <c r="BJ592" s="540"/>
      <c r="BK592" s="540"/>
      <c r="BL592" s="540"/>
      <c r="BM592" s="540"/>
      <c r="BN592" s="540"/>
      <c r="BO592" s="540"/>
      <c r="BP592" s="540"/>
      <c r="BQ592" s="540"/>
      <c r="BR592" s="540"/>
      <c r="BS592" s="540"/>
      <c r="BT592" s="540"/>
      <c r="BU592" s="540"/>
      <c r="BV592" s="540"/>
      <c r="BW592" s="540"/>
      <c r="BX592" s="540"/>
      <c r="BY592" s="540"/>
      <c r="BZ592" s="540"/>
      <c r="CA592" s="540"/>
      <c r="CB592" s="540"/>
      <c r="CC592" s="540"/>
      <c r="CD592" s="540"/>
      <c r="CE592" s="540"/>
      <c r="CF592" s="540"/>
      <c r="CG592" s="540"/>
      <c r="CH592" s="540"/>
      <c r="CI592" s="540"/>
      <c r="CJ592" s="540"/>
      <c r="CK592" s="540"/>
      <c r="CL592" s="540"/>
      <c r="CM592" s="540"/>
      <c r="CN592" s="540"/>
      <c r="CO592" s="540"/>
      <c r="CP592" s="540"/>
      <c r="CQ592" s="540"/>
      <c r="CR592" s="540"/>
      <c r="CS592" s="540"/>
      <c r="CT592" s="540"/>
      <c r="CU592" s="540"/>
      <c r="CV592" s="540"/>
      <c r="CW592" s="540"/>
      <c r="CX592" s="540"/>
      <c r="CY592" s="540"/>
      <c r="CZ592" s="540"/>
      <c r="DA592" s="540"/>
      <c r="DB592" s="540"/>
      <c r="DC592" s="540"/>
      <c r="DD592" s="540"/>
      <c r="DE592" s="540"/>
    </row>
    <row r="593" spans="1:109" s="116" customFormat="1" x14ac:dyDescent="0.2">
      <c r="A593" s="435"/>
      <c r="B593" s="435"/>
      <c r="C593" s="435"/>
      <c r="D593" s="435"/>
      <c r="AB593" s="540"/>
      <c r="AU593" s="540"/>
      <c r="AV593" s="540"/>
      <c r="AW593" s="540"/>
      <c r="AX593" s="540"/>
      <c r="AY593" s="540"/>
      <c r="AZ593" s="540"/>
      <c r="BA593" s="540"/>
      <c r="BB593" s="540"/>
      <c r="BC593" s="540"/>
      <c r="BD593" s="540"/>
      <c r="BE593" s="540"/>
      <c r="BF593" s="540"/>
      <c r="BG593" s="540"/>
      <c r="BH593" s="540"/>
      <c r="BI593" s="540"/>
      <c r="BJ593" s="540"/>
      <c r="BK593" s="540"/>
      <c r="BL593" s="540"/>
      <c r="BM593" s="540"/>
      <c r="BN593" s="540"/>
      <c r="BO593" s="540"/>
      <c r="BP593" s="540"/>
      <c r="BQ593" s="540"/>
      <c r="BR593" s="540"/>
      <c r="BS593" s="540"/>
      <c r="BT593" s="540"/>
      <c r="BU593" s="540"/>
      <c r="BV593" s="540"/>
      <c r="BW593" s="540"/>
      <c r="BX593" s="540"/>
      <c r="BY593" s="540"/>
      <c r="BZ593" s="540"/>
      <c r="CA593" s="540"/>
      <c r="CB593" s="540"/>
      <c r="CC593" s="540"/>
      <c r="CD593" s="540"/>
      <c r="CE593" s="540"/>
      <c r="CF593" s="540"/>
      <c r="CG593" s="540"/>
      <c r="CH593" s="540"/>
      <c r="CI593" s="540"/>
      <c r="CJ593" s="540"/>
      <c r="CK593" s="540"/>
      <c r="CL593" s="540"/>
      <c r="CM593" s="540"/>
      <c r="CN593" s="540"/>
      <c r="CO593" s="540"/>
      <c r="CP593" s="540"/>
      <c r="CQ593" s="540"/>
      <c r="CR593" s="540"/>
      <c r="CS593" s="540"/>
      <c r="CT593" s="540"/>
      <c r="CU593" s="540"/>
      <c r="CV593" s="540"/>
      <c r="CW593" s="540"/>
      <c r="CX593" s="540"/>
      <c r="CY593" s="540"/>
      <c r="CZ593" s="540"/>
      <c r="DA593" s="540"/>
      <c r="DB593" s="540"/>
      <c r="DC593" s="540"/>
      <c r="DD593" s="540"/>
      <c r="DE593" s="540"/>
    </row>
    <row r="594" spans="1:109" s="116" customFormat="1" x14ac:dyDescent="0.2">
      <c r="A594" s="435"/>
      <c r="B594" s="435"/>
      <c r="C594" s="435"/>
      <c r="D594" s="435"/>
      <c r="AB594" s="540"/>
      <c r="AU594" s="540"/>
      <c r="AV594" s="540"/>
      <c r="AW594" s="540"/>
      <c r="AX594" s="540"/>
      <c r="AY594" s="540"/>
      <c r="AZ594" s="540"/>
      <c r="BA594" s="540"/>
      <c r="BB594" s="540"/>
      <c r="BC594" s="540"/>
      <c r="BD594" s="540"/>
      <c r="BE594" s="540"/>
      <c r="BF594" s="540"/>
      <c r="BG594" s="540"/>
      <c r="BH594" s="540"/>
      <c r="BI594" s="540"/>
      <c r="BJ594" s="540"/>
      <c r="BK594" s="540"/>
      <c r="BL594" s="540"/>
      <c r="BM594" s="540"/>
      <c r="BN594" s="540"/>
      <c r="BO594" s="540"/>
      <c r="BP594" s="540"/>
      <c r="BQ594" s="540"/>
      <c r="BR594" s="540"/>
      <c r="BS594" s="540"/>
      <c r="BT594" s="540"/>
      <c r="BU594" s="540"/>
      <c r="BV594" s="540"/>
      <c r="BW594" s="540"/>
      <c r="BX594" s="540"/>
      <c r="BY594" s="540"/>
      <c r="BZ594" s="540"/>
      <c r="CA594" s="540"/>
      <c r="CB594" s="540"/>
      <c r="CC594" s="540"/>
      <c r="CD594" s="540"/>
      <c r="CE594" s="540"/>
      <c r="CF594" s="540"/>
      <c r="CG594" s="540"/>
      <c r="CH594" s="540"/>
      <c r="CI594" s="540"/>
      <c r="CJ594" s="540"/>
      <c r="CK594" s="540"/>
      <c r="CL594" s="540"/>
      <c r="CM594" s="540"/>
      <c r="CN594" s="540"/>
      <c r="CO594" s="540"/>
      <c r="CP594" s="540"/>
      <c r="CQ594" s="540"/>
      <c r="CR594" s="540"/>
      <c r="CS594" s="540"/>
      <c r="CT594" s="540"/>
      <c r="CU594" s="540"/>
      <c r="CV594" s="540"/>
      <c r="CW594" s="540"/>
      <c r="CX594" s="540"/>
      <c r="CY594" s="540"/>
      <c r="CZ594" s="540"/>
      <c r="DA594" s="540"/>
      <c r="DB594" s="540"/>
      <c r="DC594" s="540"/>
      <c r="DD594" s="540"/>
      <c r="DE594" s="540"/>
    </row>
    <row r="595" spans="1:109" s="116" customFormat="1" x14ac:dyDescent="0.2">
      <c r="A595" s="435"/>
      <c r="B595" s="435"/>
      <c r="C595" s="435"/>
      <c r="D595" s="435"/>
      <c r="AB595" s="540"/>
      <c r="AU595" s="540"/>
      <c r="AV595" s="540"/>
      <c r="AW595" s="540"/>
      <c r="AX595" s="540"/>
      <c r="AY595" s="540"/>
      <c r="AZ595" s="540"/>
      <c r="BA595" s="540"/>
      <c r="BB595" s="540"/>
      <c r="BC595" s="540"/>
      <c r="BD595" s="540"/>
      <c r="BE595" s="540"/>
      <c r="BF595" s="540"/>
      <c r="BG595" s="540"/>
      <c r="BH595" s="540"/>
      <c r="BI595" s="540"/>
      <c r="BJ595" s="540"/>
      <c r="BK595" s="540"/>
      <c r="BL595" s="540"/>
      <c r="BM595" s="540"/>
      <c r="BN595" s="540"/>
      <c r="BO595" s="540"/>
      <c r="BP595" s="540"/>
      <c r="BQ595" s="540"/>
      <c r="BR595" s="540"/>
      <c r="BS595" s="540"/>
      <c r="BT595" s="540"/>
      <c r="BU595" s="540"/>
      <c r="BV595" s="540"/>
      <c r="BW595" s="540"/>
      <c r="BX595" s="540"/>
      <c r="BY595" s="540"/>
      <c r="BZ595" s="540"/>
      <c r="CA595" s="540"/>
      <c r="CB595" s="540"/>
      <c r="CC595" s="540"/>
      <c r="CD595" s="540"/>
      <c r="CE595" s="540"/>
      <c r="CF595" s="540"/>
      <c r="CG595" s="540"/>
      <c r="CH595" s="540"/>
      <c r="CI595" s="540"/>
      <c r="CJ595" s="540"/>
      <c r="CK595" s="540"/>
      <c r="CL595" s="540"/>
      <c r="CM595" s="540"/>
      <c r="CN595" s="540"/>
      <c r="CO595" s="540"/>
      <c r="CP595" s="540"/>
      <c r="CQ595" s="540"/>
      <c r="CR595" s="540"/>
      <c r="CS595" s="540"/>
      <c r="CT595" s="540"/>
      <c r="CU595" s="540"/>
      <c r="CV595" s="540"/>
      <c r="CW595" s="540"/>
      <c r="CX595" s="540"/>
      <c r="CY595" s="540"/>
      <c r="CZ595" s="540"/>
      <c r="DA595" s="540"/>
      <c r="DB595" s="540"/>
      <c r="DC595" s="540"/>
      <c r="DD595" s="540"/>
      <c r="DE595" s="540"/>
    </row>
    <row r="596" spans="1:109" s="116" customFormat="1" x14ac:dyDescent="0.2">
      <c r="A596" s="435"/>
      <c r="B596" s="435"/>
      <c r="C596" s="435"/>
      <c r="D596" s="435"/>
      <c r="AB596" s="540"/>
      <c r="AU596" s="540"/>
      <c r="AV596" s="540"/>
      <c r="AW596" s="540"/>
      <c r="AX596" s="540"/>
      <c r="AY596" s="540"/>
      <c r="AZ596" s="540"/>
      <c r="BA596" s="540"/>
      <c r="BB596" s="540"/>
      <c r="BC596" s="540"/>
      <c r="BD596" s="540"/>
      <c r="BE596" s="540"/>
      <c r="BF596" s="540"/>
      <c r="BG596" s="540"/>
      <c r="BH596" s="540"/>
      <c r="BI596" s="540"/>
      <c r="BJ596" s="540"/>
      <c r="BK596" s="540"/>
      <c r="BL596" s="540"/>
      <c r="BM596" s="540"/>
      <c r="BN596" s="540"/>
      <c r="BO596" s="540"/>
      <c r="BP596" s="540"/>
      <c r="BQ596" s="540"/>
      <c r="BR596" s="540"/>
      <c r="BS596" s="540"/>
      <c r="BT596" s="540"/>
      <c r="BU596" s="540"/>
      <c r="BV596" s="540"/>
      <c r="BW596" s="540"/>
      <c r="BX596" s="540"/>
      <c r="BY596" s="540"/>
      <c r="BZ596" s="540"/>
      <c r="CA596" s="540"/>
      <c r="CB596" s="540"/>
      <c r="CC596" s="540"/>
      <c r="CD596" s="540"/>
      <c r="CE596" s="540"/>
      <c r="CF596" s="540"/>
      <c r="CG596" s="540"/>
      <c r="CH596" s="540"/>
      <c r="CI596" s="540"/>
      <c r="CJ596" s="540"/>
      <c r="CK596" s="540"/>
      <c r="CL596" s="540"/>
      <c r="CM596" s="540"/>
      <c r="CN596" s="540"/>
      <c r="CO596" s="540"/>
      <c r="CP596" s="540"/>
      <c r="CQ596" s="540"/>
      <c r="CR596" s="540"/>
      <c r="CS596" s="540"/>
      <c r="CT596" s="540"/>
      <c r="CU596" s="540"/>
      <c r="CV596" s="540"/>
      <c r="CW596" s="540"/>
      <c r="CX596" s="540"/>
      <c r="CY596" s="540"/>
      <c r="CZ596" s="540"/>
      <c r="DA596" s="540"/>
      <c r="DB596" s="540"/>
      <c r="DC596" s="540"/>
      <c r="DD596" s="540"/>
      <c r="DE596" s="540"/>
    </row>
    <row r="597" spans="1:109" s="116" customFormat="1" x14ac:dyDescent="0.2">
      <c r="A597" s="435"/>
      <c r="B597" s="435"/>
      <c r="C597" s="435"/>
      <c r="D597" s="435"/>
      <c r="AB597" s="540"/>
      <c r="AU597" s="540"/>
      <c r="AV597" s="540"/>
      <c r="AW597" s="540"/>
      <c r="AX597" s="540"/>
      <c r="AY597" s="540"/>
      <c r="AZ597" s="540"/>
      <c r="BA597" s="540"/>
      <c r="BB597" s="540"/>
      <c r="BC597" s="540"/>
      <c r="BD597" s="540"/>
      <c r="BE597" s="540"/>
      <c r="BF597" s="540"/>
      <c r="BG597" s="540"/>
      <c r="BH597" s="540"/>
      <c r="BI597" s="540"/>
      <c r="BJ597" s="540"/>
      <c r="BK597" s="540"/>
      <c r="BL597" s="540"/>
      <c r="BM597" s="540"/>
      <c r="BN597" s="540"/>
      <c r="BO597" s="540"/>
      <c r="BP597" s="540"/>
      <c r="BQ597" s="540"/>
      <c r="BR597" s="540"/>
      <c r="BS597" s="540"/>
      <c r="BT597" s="540"/>
      <c r="BU597" s="540"/>
      <c r="BV597" s="540"/>
      <c r="BW597" s="540"/>
      <c r="BX597" s="540"/>
      <c r="BY597" s="540"/>
      <c r="BZ597" s="540"/>
      <c r="CA597" s="540"/>
      <c r="CB597" s="540"/>
      <c r="CC597" s="540"/>
      <c r="CD597" s="540"/>
      <c r="CE597" s="540"/>
      <c r="CF597" s="540"/>
      <c r="CG597" s="540"/>
      <c r="CH597" s="540"/>
      <c r="CI597" s="540"/>
      <c r="CJ597" s="540"/>
      <c r="CK597" s="540"/>
      <c r="CL597" s="540"/>
      <c r="CM597" s="540"/>
      <c r="CN597" s="540"/>
      <c r="CO597" s="540"/>
      <c r="CP597" s="540"/>
      <c r="CQ597" s="540"/>
      <c r="CR597" s="540"/>
      <c r="CS597" s="540"/>
      <c r="CT597" s="540"/>
      <c r="CU597" s="540"/>
      <c r="CV597" s="540"/>
      <c r="CW597" s="540"/>
      <c r="CX597" s="540"/>
      <c r="CY597" s="540"/>
      <c r="CZ597" s="540"/>
      <c r="DA597" s="540"/>
      <c r="DB597" s="540"/>
      <c r="DC597" s="540"/>
      <c r="DD597" s="540"/>
      <c r="DE597" s="540"/>
    </row>
    <row r="598" spans="1:109" s="116" customFormat="1" x14ac:dyDescent="0.2">
      <c r="A598" s="435"/>
      <c r="B598" s="435"/>
      <c r="C598" s="435"/>
      <c r="D598" s="435"/>
      <c r="AB598" s="540"/>
      <c r="AU598" s="540"/>
      <c r="AV598" s="540"/>
      <c r="AW598" s="540"/>
      <c r="AX598" s="540"/>
      <c r="AY598" s="540"/>
      <c r="AZ598" s="540"/>
      <c r="BA598" s="540"/>
      <c r="BB598" s="540"/>
      <c r="BC598" s="540"/>
      <c r="BD598" s="540"/>
      <c r="BE598" s="540"/>
      <c r="BF598" s="540"/>
      <c r="BG598" s="540"/>
      <c r="BH598" s="540"/>
      <c r="BI598" s="540"/>
      <c r="BJ598" s="540"/>
      <c r="BK598" s="540"/>
      <c r="BL598" s="540"/>
      <c r="BM598" s="540"/>
      <c r="BN598" s="540"/>
      <c r="BO598" s="540"/>
      <c r="BP598" s="540"/>
      <c r="BQ598" s="540"/>
      <c r="BR598" s="540"/>
      <c r="BS598" s="540"/>
      <c r="BT598" s="540"/>
      <c r="BU598" s="540"/>
      <c r="BV598" s="540"/>
      <c r="BW598" s="540"/>
      <c r="BX598" s="540"/>
      <c r="BY598" s="540"/>
      <c r="BZ598" s="540"/>
      <c r="CA598" s="540"/>
      <c r="CB598" s="540"/>
      <c r="CC598" s="540"/>
      <c r="CD598" s="540"/>
      <c r="CE598" s="540"/>
      <c r="CF598" s="540"/>
      <c r="CG598" s="540"/>
      <c r="CH598" s="540"/>
      <c r="CI598" s="540"/>
      <c r="CJ598" s="540"/>
      <c r="CK598" s="540"/>
      <c r="CL598" s="540"/>
      <c r="CM598" s="540"/>
      <c r="CN598" s="540"/>
      <c r="CO598" s="540"/>
      <c r="CP598" s="540"/>
      <c r="CQ598" s="540"/>
      <c r="CR598" s="540"/>
      <c r="CS598" s="540"/>
      <c r="CT598" s="540"/>
      <c r="CU598" s="540"/>
      <c r="CV598" s="540"/>
      <c r="CW598" s="540"/>
      <c r="CX598" s="540"/>
      <c r="CY598" s="540"/>
      <c r="CZ598" s="540"/>
      <c r="DA598" s="540"/>
      <c r="DB598" s="540"/>
      <c r="DC598" s="540"/>
      <c r="DD598" s="540"/>
      <c r="DE598" s="540"/>
    </row>
    <row r="599" spans="1:109" s="116" customFormat="1" x14ac:dyDescent="0.2">
      <c r="A599" s="435"/>
      <c r="B599" s="435"/>
      <c r="C599" s="435"/>
      <c r="D599" s="435"/>
      <c r="AB599" s="540"/>
      <c r="AU599" s="540"/>
      <c r="AV599" s="540"/>
      <c r="AW599" s="540"/>
      <c r="AX599" s="540"/>
      <c r="AY599" s="540"/>
      <c r="AZ599" s="540"/>
      <c r="BA599" s="540"/>
      <c r="BB599" s="540"/>
      <c r="BC599" s="540"/>
      <c r="BD599" s="540"/>
      <c r="BE599" s="540"/>
      <c r="BF599" s="540"/>
      <c r="BG599" s="540"/>
      <c r="BH599" s="540"/>
      <c r="BI599" s="540"/>
      <c r="BJ599" s="540"/>
      <c r="BK599" s="540"/>
      <c r="BL599" s="540"/>
      <c r="BM599" s="540"/>
      <c r="BN599" s="540"/>
      <c r="BO599" s="540"/>
      <c r="BP599" s="540"/>
      <c r="BQ599" s="540"/>
      <c r="BR599" s="540"/>
      <c r="BS599" s="540"/>
      <c r="BT599" s="540"/>
      <c r="BU599" s="540"/>
      <c r="BV599" s="540"/>
      <c r="BW599" s="540"/>
      <c r="BX599" s="540"/>
      <c r="BY599" s="540"/>
      <c r="BZ599" s="540"/>
      <c r="CA599" s="540"/>
      <c r="CB599" s="540"/>
      <c r="CC599" s="540"/>
      <c r="CD599" s="540"/>
      <c r="CE599" s="540"/>
      <c r="CF599" s="540"/>
      <c r="CG599" s="540"/>
      <c r="CH599" s="540"/>
      <c r="CI599" s="540"/>
      <c r="CJ599" s="540"/>
      <c r="CK599" s="540"/>
      <c r="CL599" s="540"/>
      <c r="CM599" s="540"/>
      <c r="CN599" s="540"/>
      <c r="CO599" s="540"/>
      <c r="CP599" s="540"/>
      <c r="CQ599" s="540"/>
      <c r="CR599" s="540"/>
      <c r="CS599" s="540"/>
      <c r="CT599" s="540"/>
      <c r="CU599" s="540"/>
      <c r="CV599" s="540"/>
      <c r="CW599" s="540"/>
      <c r="CX599" s="540"/>
      <c r="CY599" s="540"/>
      <c r="CZ599" s="540"/>
      <c r="DA599" s="540"/>
      <c r="DB599" s="540"/>
      <c r="DC599" s="540"/>
      <c r="DD599" s="540"/>
      <c r="DE599" s="540"/>
    </row>
    <row r="600" spans="1:109" s="116" customFormat="1" x14ac:dyDescent="0.2">
      <c r="A600" s="435"/>
      <c r="B600" s="435"/>
      <c r="C600" s="435"/>
      <c r="D600" s="435"/>
      <c r="AB600" s="540"/>
      <c r="AU600" s="540"/>
      <c r="AV600" s="540"/>
      <c r="AW600" s="540"/>
      <c r="AX600" s="540"/>
      <c r="AY600" s="540"/>
      <c r="AZ600" s="540"/>
      <c r="BA600" s="540"/>
      <c r="BB600" s="540"/>
      <c r="BC600" s="540"/>
      <c r="BD600" s="540"/>
      <c r="BE600" s="540"/>
      <c r="BF600" s="540"/>
      <c r="BG600" s="540"/>
      <c r="BH600" s="540"/>
      <c r="BI600" s="540"/>
      <c r="BJ600" s="540"/>
      <c r="BK600" s="540"/>
      <c r="BL600" s="540"/>
      <c r="BM600" s="540"/>
      <c r="BN600" s="540"/>
      <c r="BO600" s="540"/>
      <c r="BP600" s="540"/>
      <c r="BQ600" s="540"/>
      <c r="BR600" s="540"/>
      <c r="BS600" s="540"/>
      <c r="BT600" s="540"/>
      <c r="BU600" s="540"/>
      <c r="BV600" s="540"/>
      <c r="BW600" s="540"/>
      <c r="BX600" s="540"/>
      <c r="BY600" s="540"/>
      <c r="BZ600" s="540"/>
      <c r="CA600" s="540"/>
      <c r="CB600" s="540"/>
      <c r="CC600" s="540"/>
      <c r="CD600" s="540"/>
      <c r="CE600" s="540"/>
      <c r="CF600" s="540"/>
      <c r="CG600" s="540"/>
      <c r="CH600" s="540"/>
      <c r="CI600" s="540"/>
      <c r="CJ600" s="540"/>
      <c r="CK600" s="540"/>
      <c r="CL600" s="540"/>
      <c r="CM600" s="540"/>
      <c r="CN600" s="540"/>
      <c r="CO600" s="540"/>
      <c r="CP600" s="540"/>
      <c r="CQ600" s="540"/>
      <c r="CR600" s="540"/>
      <c r="CS600" s="540"/>
      <c r="CT600" s="540"/>
      <c r="CU600" s="540"/>
      <c r="CV600" s="540"/>
      <c r="CW600" s="540"/>
      <c r="CX600" s="540"/>
      <c r="CY600" s="540"/>
      <c r="CZ600" s="540"/>
      <c r="DA600" s="540"/>
      <c r="DB600" s="540"/>
      <c r="DC600" s="540"/>
      <c r="DD600" s="540"/>
      <c r="DE600" s="540"/>
    </row>
    <row r="601" spans="1:109" s="116" customFormat="1" x14ac:dyDescent="0.2">
      <c r="A601" s="435"/>
      <c r="B601" s="435"/>
      <c r="C601" s="435"/>
      <c r="D601" s="435"/>
      <c r="AB601" s="540"/>
      <c r="AU601" s="540"/>
      <c r="AV601" s="540"/>
      <c r="AW601" s="540"/>
      <c r="AX601" s="540"/>
      <c r="AY601" s="540"/>
      <c r="AZ601" s="540"/>
      <c r="BA601" s="540"/>
      <c r="BB601" s="540"/>
      <c r="BC601" s="540"/>
      <c r="BD601" s="540"/>
      <c r="BE601" s="540"/>
      <c r="BF601" s="540"/>
      <c r="BG601" s="540"/>
      <c r="BH601" s="540"/>
      <c r="BI601" s="540"/>
      <c r="BJ601" s="540"/>
      <c r="BK601" s="540"/>
      <c r="BL601" s="540"/>
      <c r="BM601" s="540"/>
      <c r="BN601" s="540"/>
      <c r="BO601" s="540"/>
      <c r="BP601" s="540"/>
      <c r="BQ601" s="540"/>
      <c r="BR601" s="540"/>
      <c r="BS601" s="540"/>
      <c r="BT601" s="540"/>
      <c r="BU601" s="540"/>
      <c r="BV601" s="540"/>
      <c r="BW601" s="540"/>
      <c r="BX601" s="540"/>
      <c r="BY601" s="540"/>
      <c r="BZ601" s="540"/>
      <c r="CA601" s="540"/>
      <c r="CB601" s="540"/>
      <c r="CC601" s="540"/>
      <c r="CD601" s="540"/>
      <c r="CE601" s="540"/>
      <c r="CF601" s="540"/>
      <c r="CG601" s="540"/>
      <c r="CH601" s="540"/>
      <c r="CI601" s="540"/>
      <c r="CJ601" s="540"/>
      <c r="CK601" s="540"/>
      <c r="CL601" s="540"/>
      <c r="CM601" s="540"/>
      <c r="CN601" s="540"/>
      <c r="CO601" s="540"/>
      <c r="CP601" s="540"/>
      <c r="CQ601" s="540"/>
      <c r="CR601" s="540"/>
      <c r="CS601" s="540"/>
      <c r="CT601" s="540"/>
      <c r="CU601" s="540"/>
      <c r="CV601" s="540"/>
      <c r="CW601" s="540"/>
      <c r="CX601" s="540"/>
      <c r="CY601" s="540"/>
      <c r="CZ601" s="540"/>
      <c r="DA601" s="540"/>
      <c r="DB601" s="540"/>
      <c r="DC601" s="540"/>
      <c r="DD601" s="540"/>
      <c r="DE601" s="540"/>
    </row>
    <row r="602" spans="1:109" s="116" customFormat="1" x14ac:dyDescent="0.2">
      <c r="A602" s="435"/>
      <c r="B602" s="435"/>
      <c r="C602" s="435"/>
      <c r="D602" s="435"/>
      <c r="AB602" s="540"/>
      <c r="AU602" s="540"/>
      <c r="AV602" s="540"/>
      <c r="AW602" s="540"/>
      <c r="AX602" s="540"/>
      <c r="AY602" s="540"/>
      <c r="AZ602" s="540"/>
      <c r="BA602" s="540"/>
      <c r="BB602" s="540"/>
      <c r="BC602" s="540"/>
      <c r="BD602" s="540"/>
      <c r="BE602" s="540"/>
      <c r="BF602" s="540"/>
      <c r="BG602" s="540"/>
      <c r="BH602" s="540"/>
      <c r="BI602" s="540"/>
      <c r="BJ602" s="540"/>
      <c r="BK602" s="540"/>
      <c r="BL602" s="540"/>
      <c r="BM602" s="540"/>
      <c r="BN602" s="540"/>
      <c r="BO602" s="540"/>
      <c r="BP602" s="540"/>
      <c r="BQ602" s="540"/>
      <c r="BR602" s="540"/>
      <c r="BS602" s="540"/>
      <c r="BT602" s="540"/>
      <c r="BU602" s="540"/>
      <c r="BV602" s="540"/>
      <c r="BW602" s="540"/>
      <c r="BX602" s="540"/>
      <c r="BY602" s="540"/>
      <c r="BZ602" s="540"/>
      <c r="CA602" s="540"/>
      <c r="CB602" s="540"/>
      <c r="CC602" s="540"/>
      <c r="CD602" s="540"/>
      <c r="CE602" s="540"/>
      <c r="CF602" s="540"/>
      <c r="CG602" s="540"/>
      <c r="CH602" s="540"/>
      <c r="CI602" s="540"/>
      <c r="CJ602" s="540"/>
      <c r="CK602" s="540"/>
      <c r="CL602" s="540"/>
      <c r="CM602" s="540"/>
      <c r="CN602" s="540"/>
      <c r="CO602" s="540"/>
      <c r="CP602" s="540"/>
      <c r="CQ602" s="540"/>
      <c r="CR602" s="540"/>
      <c r="CS602" s="540"/>
      <c r="CT602" s="540"/>
      <c r="CU602" s="540"/>
      <c r="CV602" s="540"/>
      <c r="CW602" s="540"/>
      <c r="CX602" s="540"/>
      <c r="CY602" s="540"/>
      <c r="CZ602" s="540"/>
      <c r="DA602" s="540"/>
      <c r="DB602" s="540"/>
      <c r="DC602" s="540"/>
      <c r="DD602" s="540"/>
      <c r="DE602" s="540"/>
    </row>
    <row r="603" spans="1:109" s="116" customFormat="1" x14ac:dyDescent="0.2">
      <c r="A603" s="435"/>
      <c r="B603" s="435"/>
      <c r="C603" s="435"/>
      <c r="D603" s="435"/>
      <c r="AB603" s="540"/>
      <c r="AU603" s="540"/>
      <c r="AV603" s="540"/>
      <c r="AW603" s="540"/>
      <c r="AX603" s="540"/>
      <c r="AY603" s="540"/>
      <c r="AZ603" s="540"/>
      <c r="BA603" s="540"/>
      <c r="BB603" s="540"/>
      <c r="BC603" s="540"/>
      <c r="BD603" s="540"/>
      <c r="BE603" s="540"/>
      <c r="BF603" s="540"/>
      <c r="BG603" s="540"/>
      <c r="BH603" s="540"/>
      <c r="BI603" s="540"/>
      <c r="BJ603" s="540"/>
      <c r="BK603" s="540"/>
      <c r="BL603" s="540"/>
      <c r="BM603" s="540"/>
      <c r="BN603" s="540"/>
      <c r="BO603" s="540"/>
      <c r="BP603" s="540"/>
      <c r="BQ603" s="540"/>
      <c r="BR603" s="540"/>
      <c r="BS603" s="540"/>
      <c r="BT603" s="540"/>
      <c r="BU603" s="540"/>
      <c r="BV603" s="540"/>
      <c r="BW603" s="540"/>
      <c r="BX603" s="540"/>
      <c r="BY603" s="540"/>
      <c r="BZ603" s="540"/>
      <c r="CA603" s="540"/>
      <c r="CB603" s="540"/>
      <c r="CC603" s="540"/>
      <c r="CD603" s="540"/>
      <c r="CE603" s="540"/>
      <c r="CF603" s="540"/>
      <c r="CG603" s="540"/>
      <c r="CH603" s="540"/>
      <c r="CI603" s="540"/>
      <c r="CJ603" s="540"/>
      <c r="CK603" s="540"/>
      <c r="CL603" s="540"/>
      <c r="CM603" s="540"/>
      <c r="CN603" s="540"/>
      <c r="CO603" s="540"/>
      <c r="CP603" s="540"/>
      <c r="CQ603" s="540"/>
      <c r="CR603" s="540"/>
      <c r="CS603" s="540"/>
      <c r="CT603" s="540"/>
      <c r="CU603" s="540"/>
      <c r="CV603" s="540"/>
      <c r="CW603" s="540"/>
      <c r="CX603" s="540"/>
      <c r="CY603" s="540"/>
      <c r="CZ603" s="540"/>
      <c r="DA603" s="540"/>
      <c r="DB603" s="540"/>
      <c r="DC603" s="540"/>
      <c r="DD603" s="540"/>
      <c r="DE603" s="540"/>
    </row>
    <row r="604" spans="1:109" s="116" customFormat="1" x14ac:dyDescent="0.2">
      <c r="A604" s="435"/>
      <c r="B604" s="435"/>
      <c r="C604" s="435"/>
      <c r="D604" s="435"/>
      <c r="AB604" s="540"/>
      <c r="AU604" s="540"/>
      <c r="AV604" s="540"/>
      <c r="AW604" s="540"/>
      <c r="AX604" s="540"/>
      <c r="AY604" s="540"/>
      <c r="AZ604" s="540"/>
      <c r="BA604" s="540"/>
      <c r="BB604" s="540"/>
      <c r="BC604" s="540"/>
      <c r="BD604" s="540"/>
      <c r="BE604" s="540"/>
      <c r="BF604" s="540"/>
      <c r="BG604" s="540"/>
      <c r="BH604" s="540"/>
      <c r="BI604" s="540"/>
      <c r="BJ604" s="540"/>
      <c r="BK604" s="540"/>
      <c r="BL604" s="540"/>
      <c r="BM604" s="540"/>
      <c r="BN604" s="540"/>
      <c r="BO604" s="540"/>
      <c r="BP604" s="540"/>
      <c r="BQ604" s="540"/>
      <c r="BR604" s="540"/>
      <c r="BS604" s="540"/>
      <c r="BT604" s="540"/>
      <c r="BU604" s="540"/>
      <c r="BV604" s="540"/>
      <c r="BW604" s="540"/>
      <c r="BX604" s="540"/>
      <c r="BY604" s="540"/>
      <c r="BZ604" s="540"/>
      <c r="CA604" s="540"/>
      <c r="CB604" s="540"/>
      <c r="CC604" s="540"/>
      <c r="CD604" s="540"/>
      <c r="CE604" s="540"/>
      <c r="CF604" s="540"/>
      <c r="CG604" s="540"/>
      <c r="CH604" s="540"/>
      <c r="CI604" s="540"/>
      <c r="CJ604" s="540"/>
      <c r="CK604" s="540"/>
      <c r="CL604" s="540"/>
      <c r="CM604" s="540"/>
      <c r="CN604" s="540"/>
      <c r="CO604" s="540"/>
      <c r="CP604" s="540"/>
      <c r="CQ604" s="540"/>
      <c r="CR604" s="540"/>
      <c r="CS604" s="540"/>
      <c r="CT604" s="540"/>
      <c r="CU604" s="540"/>
      <c r="CV604" s="540"/>
      <c r="CW604" s="540"/>
      <c r="CX604" s="540"/>
      <c r="CY604" s="540"/>
      <c r="CZ604" s="540"/>
      <c r="DA604" s="540"/>
      <c r="DB604" s="540"/>
      <c r="DC604" s="540"/>
      <c r="DD604" s="540"/>
      <c r="DE604" s="540"/>
    </row>
    <row r="605" spans="1:109" s="116" customFormat="1" x14ac:dyDescent="0.2">
      <c r="A605" s="435"/>
      <c r="B605" s="435"/>
      <c r="C605" s="435"/>
      <c r="D605" s="435"/>
      <c r="AB605" s="540"/>
      <c r="AU605" s="540"/>
      <c r="AV605" s="540"/>
      <c r="AW605" s="540"/>
      <c r="AX605" s="540"/>
      <c r="AY605" s="540"/>
      <c r="AZ605" s="540"/>
      <c r="BA605" s="540"/>
      <c r="BB605" s="540"/>
      <c r="BC605" s="540"/>
      <c r="BD605" s="540"/>
      <c r="BE605" s="540"/>
      <c r="BF605" s="540"/>
      <c r="BG605" s="540"/>
      <c r="BH605" s="540"/>
      <c r="BI605" s="540"/>
      <c r="BJ605" s="540"/>
      <c r="BK605" s="540"/>
      <c r="BL605" s="540"/>
      <c r="BM605" s="540"/>
      <c r="BN605" s="540"/>
      <c r="BO605" s="540"/>
      <c r="BP605" s="540"/>
      <c r="BQ605" s="540"/>
      <c r="BR605" s="540"/>
      <c r="BS605" s="540"/>
      <c r="BT605" s="540"/>
      <c r="BU605" s="540"/>
      <c r="BV605" s="540"/>
      <c r="BW605" s="540"/>
      <c r="BX605" s="540"/>
      <c r="BY605" s="540"/>
      <c r="BZ605" s="540"/>
      <c r="CA605" s="540"/>
      <c r="CB605" s="540"/>
      <c r="CC605" s="540"/>
      <c r="CD605" s="540"/>
      <c r="CE605" s="540"/>
      <c r="CF605" s="540"/>
      <c r="CG605" s="540"/>
      <c r="CH605" s="540"/>
      <c r="CI605" s="540"/>
      <c r="CJ605" s="540"/>
      <c r="CK605" s="540"/>
      <c r="CL605" s="540"/>
      <c r="CM605" s="540"/>
      <c r="CN605" s="540"/>
      <c r="CO605" s="540"/>
      <c r="CP605" s="540"/>
      <c r="CQ605" s="540"/>
      <c r="CR605" s="540"/>
      <c r="CS605" s="540"/>
      <c r="CT605" s="540"/>
      <c r="CU605" s="540"/>
      <c r="CV605" s="540"/>
      <c r="CW605" s="540"/>
      <c r="CX605" s="540"/>
      <c r="CY605" s="540"/>
      <c r="CZ605" s="540"/>
      <c r="DA605" s="540"/>
      <c r="DB605" s="540"/>
      <c r="DC605" s="540"/>
      <c r="DD605" s="540"/>
      <c r="DE605" s="540"/>
    </row>
    <row r="606" spans="1:109" s="116" customFormat="1" x14ac:dyDescent="0.2">
      <c r="A606" s="435"/>
      <c r="B606" s="435"/>
      <c r="C606" s="435"/>
      <c r="D606" s="435"/>
      <c r="AB606" s="540"/>
      <c r="AU606" s="540"/>
      <c r="AV606" s="540"/>
      <c r="AW606" s="540"/>
      <c r="AX606" s="540"/>
      <c r="AY606" s="540"/>
      <c r="AZ606" s="540"/>
      <c r="BA606" s="540"/>
      <c r="BB606" s="540"/>
      <c r="BC606" s="540"/>
      <c r="BD606" s="540"/>
      <c r="BE606" s="540"/>
      <c r="BF606" s="540"/>
      <c r="BG606" s="540"/>
      <c r="BH606" s="540"/>
      <c r="BI606" s="540"/>
      <c r="BJ606" s="540"/>
      <c r="BK606" s="540"/>
      <c r="BL606" s="540"/>
      <c r="BM606" s="540"/>
      <c r="BN606" s="540"/>
      <c r="BO606" s="540"/>
      <c r="BP606" s="540"/>
      <c r="BQ606" s="540"/>
      <c r="BR606" s="540"/>
      <c r="BS606" s="540"/>
      <c r="BT606" s="540"/>
      <c r="BU606" s="540"/>
      <c r="BV606" s="540"/>
      <c r="BW606" s="540"/>
      <c r="BX606" s="540"/>
      <c r="BY606" s="540"/>
      <c r="BZ606" s="540"/>
      <c r="CA606" s="540"/>
      <c r="CB606" s="540"/>
      <c r="CC606" s="540"/>
      <c r="CD606" s="540"/>
      <c r="CE606" s="540"/>
      <c r="CF606" s="540"/>
      <c r="CG606" s="540"/>
      <c r="CH606" s="540"/>
      <c r="CI606" s="540"/>
      <c r="CJ606" s="540"/>
      <c r="CK606" s="540"/>
      <c r="CL606" s="540"/>
      <c r="CM606" s="540"/>
      <c r="CN606" s="540"/>
      <c r="CO606" s="540"/>
      <c r="CP606" s="540"/>
      <c r="CQ606" s="540"/>
      <c r="CR606" s="540"/>
      <c r="CS606" s="540"/>
      <c r="CT606" s="540"/>
      <c r="CU606" s="540"/>
      <c r="CV606" s="540"/>
      <c r="CW606" s="540"/>
      <c r="CX606" s="540"/>
      <c r="CY606" s="540"/>
      <c r="CZ606" s="540"/>
      <c r="DA606" s="540"/>
      <c r="DB606" s="540"/>
      <c r="DC606" s="540"/>
      <c r="DD606" s="540"/>
      <c r="DE606" s="540"/>
    </row>
    <row r="607" spans="1:109" s="116" customFormat="1" x14ac:dyDescent="0.2">
      <c r="A607" s="435"/>
      <c r="B607" s="435"/>
      <c r="C607" s="435"/>
      <c r="D607" s="435"/>
      <c r="AB607" s="540"/>
      <c r="AU607" s="540"/>
      <c r="AV607" s="540"/>
      <c r="AW607" s="540"/>
      <c r="AX607" s="540"/>
      <c r="AY607" s="540"/>
      <c r="AZ607" s="540"/>
      <c r="BA607" s="540"/>
      <c r="BB607" s="540"/>
      <c r="BC607" s="540"/>
      <c r="BD607" s="540"/>
      <c r="BE607" s="540"/>
      <c r="BF607" s="540"/>
      <c r="BG607" s="540"/>
      <c r="BH607" s="540"/>
      <c r="BI607" s="540"/>
      <c r="BJ607" s="540"/>
      <c r="BK607" s="540"/>
      <c r="BL607" s="540"/>
      <c r="BM607" s="540"/>
      <c r="BN607" s="540"/>
      <c r="BO607" s="540"/>
      <c r="BP607" s="540"/>
      <c r="BQ607" s="540"/>
      <c r="BR607" s="540"/>
      <c r="BS607" s="540"/>
      <c r="BT607" s="540"/>
      <c r="BU607" s="540"/>
      <c r="BV607" s="540"/>
      <c r="BW607" s="540"/>
      <c r="BX607" s="540"/>
      <c r="BY607" s="540"/>
      <c r="BZ607" s="540"/>
      <c r="CA607" s="540"/>
      <c r="CB607" s="540"/>
      <c r="CC607" s="540"/>
      <c r="CD607" s="540"/>
      <c r="CE607" s="540"/>
      <c r="CF607" s="540"/>
      <c r="CG607" s="540"/>
      <c r="CH607" s="540"/>
      <c r="CI607" s="540"/>
      <c r="CJ607" s="540"/>
      <c r="CK607" s="540"/>
      <c r="CL607" s="540"/>
      <c r="CM607" s="540"/>
      <c r="CN607" s="540"/>
      <c r="CO607" s="540"/>
      <c r="CP607" s="540"/>
      <c r="CQ607" s="540"/>
      <c r="CR607" s="540"/>
      <c r="CS607" s="540"/>
      <c r="CT607" s="540"/>
      <c r="CU607" s="540"/>
      <c r="CV607" s="540"/>
      <c r="CW607" s="540"/>
      <c r="CX607" s="540"/>
      <c r="CY607" s="540"/>
      <c r="CZ607" s="540"/>
      <c r="DA607" s="540"/>
      <c r="DB607" s="540"/>
      <c r="DC607" s="540"/>
      <c r="DD607" s="540"/>
      <c r="DE607" s="540"/>
    </row>
    <row r="608" spans="1:109" s="116" customFormat="1" x14ac:dyDescent="0.2">
      <c r="A608" s="435"/>
      <c r="B608" s="435"/>
      <c r="C608" s="435"/>
      <c r="D608" s="435"/>
      <c r="AB608" s="540"/>
      <c r="AU608" s="540"/>
      <c r="AV608" s="540"/>
      <c r="AW608" s="540"/>
      <c r="AX608" s="540"/>
      <c r="AY608" s="540"/>
      <c r="AZ608" s="540"/>
      <c r="BA608" s="540"/>
      <c r="BB608" s="540"/>
      <c r="BC608" s="540"/>
      <c r="BD608" s="540"/>
      <c r="BE608" s="540"/>
      <c r="BF608" s="540"/>
      <c r="BG608" s="540"/>
      <c r="BH608" s="540"/>
      <c r="BI608" s="540"/>
      <c r="BJ608" s="540"/>
      <c r="BK608" s="540"/>
      <c r="BL608" s="540"/>
      <c r="BM608" s="540"/>
      <c r="BN608" s="540"/>
      <c r="BO608" s="540"/>
      <c r="BP608" s="540"/>
      <c r="BQ608" s="540"/>
      <c r="BR608" s="540"/>
      <c r="BS608" s="540"/>
      <c r="BT608" s="540"/>
      <c r="BU608" s="540"/>
      <c r="BV608" s="540"/>
      <c r="BW608" s="540"/>
      <c r="BX608" s="540"/>
      <c r="BY608" s="540"/>
      <c r="BZ608" s="540"/>
      <c r="CA608" s="540"/>
      <c r="CB608" s="540"/>
      <c r="CC608" s="540"/>
      <c r="CD608" s="540"/>
      <c r="CE608" s="540"/>
      <c r="CF608" s="540"/>
      <c r="CG608" s="540"/>
      <c r="CH608" s="540"/>
      <c r="CI608" s="540"/>
      <c r="CJ608" s="540"/>
      <c r="CK608" s="540"/>
      <c r="CL608" s="540"/>
      <c r="CM608" s="540"/>
      <c r="CN608" s="540"/>
      <c r="CO608" s="540"/>
      <c r="CP608" s="540"/>
      <c r="CQ608" s="540"/>
      <c r="CR608" s="540"/>
      <c r="CS608" s="540"/>
      <c r="CT608" s="540"/>
      <c r="CU608" s="540"/>
      <c r="CV608" s="540"/>
      <c r="CW608" s="540"/>
      <c r="CX608" s="540"/>
      <c r="CY608" s="540"/>
      <c r="CZ608" s="540"/>
      <c r="DA608" s="540"/>
      <c r="DB608" s="540"/>
      <c r="DC608" s="540"/>
      <c r="DD608" s="540"/>
      <c r="DE608" s="540"/>
    </row>
    <row r="609" spans="1:109" s="116" customFormat="1" x14ac:dyDescent="0.2">
      <c r="A609" s="435"/>
      <c r="B609" s="435"/>
      <c r="C609" s="435"/>
      <c r="D609" s="435"/>
      <c r="AB609" s="540"/>
      <c r="AU609" s="540"/>
      <c r="AV609" s="540"/>
      <c r="AW609" s="540"/>
      <c r="AX609" s="540"/>
      <c r="AY609" s="540"/>
      <c r="AZ609" s="540"/>
      <c r="BA609" s="540"/>
      <c r="BB609" s="540"/>
      <c r="BC609" s="540"/>
      <c r="BD609" s="540"/>
      <c r="BE609" s="540"/>
      <c r="BF609" s="540"/>
      <c r="BG609" s="540"/>
      <c r="BH609" s="540"/>
      <c r="BI609" s="540"/>
      <c r="BJ609" s="540"/>
      <c r="BK609" s="540"/>
      <c r="BL609" s="540"/>
      <c r="BM609" s="540"/>
      <c r="BN609" s="540"/>
      <c r="BO609" s="540"/>
      <c r="BP609" s="540"/>
      <c r="BQ609" s="540"/>
      <c r="BR609" s="540"/>
      <c r="BS609" s="540"/>
      <c r="BT609" s="540"/>
      <c r="BU609" s="540"/>
      <c r="BV609" s="540"/>
      <c r="BW609" s="540"/>
      <c r="BX609" s="540"/>
      <c r="BY609" s="540"/>
      <c r="BZ609" s="540"/>
      <c r="CA609" s="540"/>
      <c r="CB609" s="540"/>
      <c r="CC609" s="540"/>
      <c r="CD609" s="540"/>
      <c r="CE609" s="540"/>
      <c r="CF609" s="540"/>
      <c r="CG609" s="540"/>
      <c r="CH609" s="540"/>
      <c r="CI609" s="540"/>
      <c r="CJ609" s="540"/>
      <c r="CK609" s="540"/>
      <c r="CL609" s="540"/>
      <c r="CM609" s="540"/>
      <c r="CN609" s="540"/>
      <c r="CO609" s="540"/>
      <c r="CP609" s="540"/>
      <c r="CQ609" s="540"/>
      <c r="CR609" s="540"/>
      <c r="CS609" s="540"/>
      <c r="CT609" s="540"/>
      <c r="CU609" s="540"/>
      <c r="CV609" s="540"/>
      <c r="CW609" s="540"/>
      <c r="CX609" s="540"/>
      <c r="CY609" s="540"/>
      <c r="CZ609" s="540"/>
      <c r="DA609" s="540"/>
      <c r="DB609" s="540"/>
      <c r="DC609" s="540"/>
      <c r="DD609" s="540"/>
      <c r="DE609" s="540"/>
    </row>
    <row r="610" spans="1:109" s="116" customFormat="1" x14ac:dyDescent="0.2">
      <c r="A610" s="435"/>
      <c r="B610" s="435"/>
      <c r="C610" s="435"/>
      <c r="D610" s="435"/>
      <c r="AB610" s="540"/>
      <c r="AU610" s="540"/>
      <c r="AV610" s="540"/>
      <c r="AW610" s="540"/>
      <c r="AX610" s="540"/>
      <c r="AY610" s="540"/>
      <c r="AZ610" s="540"/>
      <c r="BA610" s="540"/>
      <c r="BB610" s="540"/>
      <c r="BC610" s="540"/>
      <c r="BD610" s="540"/>
      <c r="BE610" s="540"/>
      <c r="BF610" s="540"/>
      <c r="BG610" s="540"/>
      <c r="BH610" s="540"/>
      <c r="BI610" s="540"/>
      <c r="BJ610" s="540"/>
      <c r="BK610" s="540"/>
      <c r="BL610" s="540"/>
      <c r="BM610" s="540"/>
      <c r="BN610" s="540"/>
      <c r="BO610" s="540"/>
      <c r="BP610" s="540"/>
      <c r="BQ610" s="540"/>
      <c r="BR610" s="540"/>
      <c r="BS610" s="540"/>
      <c r="BT610" s="540"/>
      <c r="BU610" s="540"/>
      <c r="BV610" s="540"/>
      <c r="BW610" s="540"/>
      <c r="BX610" s="540"/>
      <c r="BY610" s="540"/>
      <c r="BZ610" s="540"/>
      <c r="CA610" s="540"/>
      <c r="CB610" s="540"/>
      <c r="CC610" s="540"/>
      <c r="CD610" s="540"/>
      <c r="CE610" s="540"/>
      <c r="CF610" s="540"/>
      <c r="CG610" s="540"/>
      <c r="CH610" s="540"/>
      <c r="CI610" s="540"/>
      <c r="CJ610" s="540"/>
      <c r="CK610" s="540"/>
      <c r="CL610" s="540"/>
      <c r="CM610" s="540"/>
      <c r="CN610" s="540"/>
      <c r="CO610" s="540"/>
      <c r="CP610" s="540"/>
      <c r="CQ610" s="540"/>
      <c r="CR610" s="540"/>
      <c r="CS610" s="540"/>
      <c r="CT610" s="540"/>
      <c r="CU610" s="540"/>
      <c r="CV610" s="540"/>
      <c r="CW610" s="540"/>
      <c r="CX610" s="540"/>
      <c r="CY610" s="540"/>
      <c r="CZ610" s="540"/>
      <c r="DA610" s="540"/>
      <c r="DB610" s="540"/>
      <c r="DC610" s="540"/>
      <c r="DD610" s="540"/>
      <c r="DE610" s="540"/>
    </row>
    <row r="611" spans="1:109" s="116" customFormat="1" x14ac:dyDescent="0.2">
      <c r="A611" s="435"/>
      <c r="B611" s="435"/>
      <c r="C611" s="435"/>
      <c r="D611" s="435"/>
      <c r="AB611" s="540"/>
      <c r="AU611" s="540"/>
      <c r="AV611" s="540"/>
      <c r="AW611" s="540"/>
      <c r="AX611" s="540"/>
      <c r="AY611" s="540"/>
      <c r="AZ611" s="540"/>
      <c r="BA611" s="540"/>
      <c r="BB611" s="540"/>
      <c r="BC611" s="540"/>
      <c r="BD611" s="540"/>
      <c r="BE611" s="540"/>
      <c r="BF611" s="540"/>
      <c r="BG611" s="540"/>
      <c r="BH611" s="540"/>
      <c r="BI611" s="540"/>
      <c r="BJ611" s="540"/>
      <c r="BK611" s="540"/>
      <c r="BL611" s="540"/>
      <c r="BM611" s="540"/>
      <c r="BN611" s="540"/>
      <c r="BO611" s="540"/>
      <c r="BP611" s="540"/>
      <c r="BQ611" s="540"/>
      <c r="BR611" s="540"/>
      <c r="BS611" s="540"/>
      <c r="BT611" s="540"/>
      <c r="BU611" s="540"/>
      <c r="BV611" s="540"/>
      <c r="BW611" s="540"/>
      <c r="BX611" s="540"/>
      <c r="BY611" s="540"/>
      <c r="BZ611" s="540"/>
      <c r="CA611" s="540"/>
      <c r="CB611" s="540"/>
      <c r="CC611" s="540"/>
      <c r="CD611" s="540"/>
      <c r="CE611" s="540"/>
      <c r="CF611" s="540"/>
      <c r="CG611" s="540"/>
      <c r="CH611" s="540"/>
      <c r="CI611" s="540"/>
      <c r="CJ611" s="540"/>
      <c r="CK611" s="540"/>
      <c r="CL611" s="540"/>
      <c r="CM611" s="540"/>
      <c r="CN611" s="540"/>
      <c r="CO611" s="540"/>
      <c r="CP611" s="540"/>
      <c r="CQ611" s="540"/>
      <c r="CR611" s="540"/>
      <c r="CS611" s="540"/>
      <c r="CT611" s="540"/>
      <c r="CU611" s="540"/>
      <c r="CV611" s="540"/>
      <c r="CW611" s="540"/>
      <c r="CX611" s="540"/>
      <c r="CY611" s="540"/>
      <c r="CZ611" s="540"/>
      <c r="DA611" s="540"/>
      <c r="DB611" s="540"/>
      <c r="DC611" s="540"/>
      <c r="DD611" s="540"/>
      <c r="DE611" s="540"/>
    </row>
    <row r="612" spans="1:109" s="116" customFormat="1" x14ac:dyDescent="0.2">
      <c r="A612" s="435"/>
      <c r="B612" s="435"/>
      <c r="C612" s="435"/>
      <c r="D612" s="435"/>
      <c r="AB612" s="540"/>
      <c r="AU612" s="540"/>
      <c r="AV612" s="540"/>
      <c r="AW612" s="540"/>
      <c r="AX612" s="540"/>
      <c r="AY612" s="540"/>
      <c r="AZ612" s="540"/>
      <c r="BA612" s="540"/>
      <c r="BB612" s="540"/>
      <c r="BC612" s="540"/>
      <c r="BD612" s="540"/>
      <c r="BE612" s="540"/>
      <c r="BF612" s="540"/>
      <c r="BG612" s="540"/>
      <c r="BH612" s="540"/>
      <c r="BI612" s="540"/>
      <c r="BJ612" s="540"/>
      <c r="BK612" s="540"/>
      <c r="BL612" s="540"/>
      <c r="BM612" s="540"/>
      <c r="BN612" s="540"/>
      <c r="BO612" s="540"/>
      <c r="BP612" s="540"/>
      <c r="BQ612" s="540"/>
      <c r="BR612" s="540"/>
      <c r="BS612" s="540"/>
      <c r="BT612" s="540"/>
      <c r="BU612" s="540"/>
      <c r="BV612" s="540"/>
      <c r="BW612" s="540"/>
      <c r="BX612" s="540"/>
      <c r="BY612" s="540"/>
      <c r="BZ612" s="540"/>
      <c r="CA612" s="540"/>
      <c r="CB612" s="540"/>
      <c r="CC612" s="540"/>
      <c r="CD612" s="540"/>
      <c r="CE612" s="540"/>
      <c r="CF612" s="540"/>
      <c r="CG612" s="540"/>
      <c r="CH612" s="540"/>
      <c r="CI612" s="540"/>
      <c r="CJ612" s="540"/>
      <c r="CK612" s="540"/>
      <c r="CL612" s="540"/>
      <c r="CM612" s="540"/>
      <c r="CN612" s="540"/>
      <c r="CO612" s="540"/>
      <c r="CP612" s="540"/>
      <c r="CQ612" s="540"/>
      <c r="CR612" s="540"/>
      <c r="CS612" s="540"/>
      <c r="CT612" s="540"/>
      <c r="CU612" s="540"/>
      <c r="CV612" s="540"/>
      <c r="CW612" s="540"/>
      <c r="CX612" s="540"/>
      <c r="CY612" s="540"/>
      <c r="CZ612" s="540"/>
      <c r="DA612" s="540"/>
      <c r="DB612" s="540"/>
      <c r="DC612" s="540"/>
      <c r="DD612" s="540"/>
      <c r="DE612" s="540"/>
    </row>
    <row r="613" spans="1:109" s="116" customFormat="1" x14ac:dyDescent="0.2">
      <c r="A613" s="435"/>
      <c r="B613" s="435"/>
      <c r="C613" s="435"/>
      <c r="D613" s="435"/>
      <c r="AB613" s="540"/>
      <c r="AU613" s="540"/>
      <c r="AV613" s="540"/>
      <c r="AW613" s="540"/>
      <c r="AX613" s="540"/>
      <c r="AY613" s="540"/>
      <c r="AZ613" s="540"/>
      <c r="BA613" s="540"/>
      <c r="BB613" s="540"/>
      <c r="BC613" s="540"/>
      <c r="BD613" s="540"/>
      <c r="BE613" s="540"/>
      <c r="BF613" s="540"/>
      <c r="BG613" s="540"/>
      <c r="BH613" s="540"/>
      <c r="BI613" s="540"/>
      <c r="BJ613" s="540"/>
      <c r="BK613" s="540"/>
      <c r="BL613" s="540"/>
      <c r="BM613" s="540"/>
      <c r="BN613" s="540"/>
      <c r="BO613" s="540"/>
      <c r="BP613" s="540"/>
      <c r="BQ613" s="540"/>
      <c r="BR613" s="540"/>
      <c r="BS613" s="540"/>
      <c r="BT613" s="540"/>
      <c r="BU613" s="540"/>
      <c r="BV613" s="540"/>
      <c r="BW613" s="540"/>
      <c r="BX613" s="540"/>
      <c r="BY613" s="540"/>
      <c r="BZ613" s="540"/>
      <c r="CA613" s="540"/>
      <c r="CB613" s="540"/>
      <c r="CC613" s="540"/>
      <c r="CD613" s="540"/>
      <c r="CE613" s="540"/>
      <c r="CF613" s="540"/>
      <c r="CG613" s="540"/>
      <c r="CH613" s="540"/>
      <c r="CI613" s="540"/>
      <c r="CJ613" s="540"/>
      <c r="CK613" s="540"/>
      <c r="CL613" s="540"/>
      <c r="CM613" s="540"/>
      <c r="CN613" s="540"/>
      <c r="CO613" s="540"/>
      <c r="CP613" s="540"/>
      <c r="CQ613" s="540"/>
      <c r="CR613" s="540"/>
      <c r="CS613" s="540"/>
      <c r="CT613" s="540"/>
      <c r="CU613" s="540"/>
      <c r="CV613" s="540"/>
      <c r="CW613" s="540"/>
      <c r="CX613" s="540"/>
      <c r="CY613" s="540"/>
      <c r="CZ613" s="540"/>
      <c r="DA613" s="540"/>
      <c r="DB613" s="540"/>
      <c r="DC613" s="540"/>
      <c r="DD613" s="540"/>
      <c r="DE613" s="540"/>
    </row>
    <row r="614" spans="1:109" s="116" customFormat="1" x14ac:dyDescent="0.2">
      <c r="A614" s="435"/>
      <c r="B614" s="435"/>
      <c r="C614" s="435"/>
      <c r="D614" s="435"/>
      <c r="AB614" s="540"/>
      <c r="AU614" s="540"/>
      <c r="AV614" s="540"/>
      <c r="AW614" s="540"/>
      <c r="AX614" s="540"/>
      <c r="AY614" s="540"/>
      <c r="AZ614" s="540"/>
      <c r="BA614" s="540"/>
      <c r="BB614" s="540"/>
      <c r="BC614" s="540"/>
      <c r="BD614" s="540"/>
      <c r="BE614" s="540"/>
      <c r="BF614" s="540"/>
      <c r="BG614" s="540"/>
      <c r="BH614" s="540"/>
      <c r="BI614" s="540"/>
      <c r="BJ614" s="540"/>
      <c r="BK614" s="540"/>
      <c r="BL614" s="540"/>
      <c r="BM614" s="540"/>
      <c r="BN614" s="540"/>
      <c r="BO614" s="540"/>
      <c r="BP614" s="540"/>
      <c r="BQ614" s="540"/>
      <c r="BR614" s="540"/>
      <c r="BS614" s="540"/>
      <c r="BT614" s="540"/>
      <c r="BU614" s="540"/>
      <c r="BV614" s="540"/>
      <c r="BW614" s="540"/>
      <c r="BX614" s="540"/>
      <c r="BY614" s="540"/>
      <c r="BZ614" s="540"/>
      <c r="CA614" s="540"/>
      <c r="CB614" s="540"/>
      <c r="CC614" s="540"/>
      <c r="CD614" s="540"/>
      <c r="CE614" s="540"/>
      <c r="CF614" s="540"/>
      <c r="CG614" s="540"/>
      <c r="CH614" s="540"/>
      <c r="CI614" s="540"/>
      <c r="CJ614" s="540"/>
      <c r="CK614" s="540"/>
      <c r="CL614" s="540"/>
      <c r="CM614" s="540"/>
      <c r="CN614" s="540"/>
      <c r="CO614" s="540"/>
      <c r="CP614" s="540"/>
      <c r="CQ614" s="540"/>
      <c r="CR614" s="540"/>
      <c r="CS614" s="540"/>
      <c r="CT614" s="540"/>
      <c r="CU614" s="540"/>
      <c r="CV614" s="540"/>
      <c r="CW614" s="540"/>
      <c r="CX614" s="540"/>
      <c r="CY614" s="540"/>
      <c r="CZ614" s="540"/>
      <c r="DA614" s="540"/>
      <c r="DB614" s="540"/>
      <c r="DC614" s="540"/>
      <c r="DD614" s="540"/>
      <c r="DE614" s="540"/>
    </row>
    <row r="615" spans="1:109" s="116" customFormat="1" x14ac:dyDescent="0.2">
      <c r="A615" s="435"/>
      <c r="B615" s="435"/>
      <c r="C615" s="435"/>
      <c r="D615" s="435"/>
      <c r="AB615" s="540"/>
      <c r="AU615" s="540"/>
      <c r="AV615" s="540"/>
      <c r="AW615" s="540"/>
      <c r="AX615" s="540"/>
      <c r="AY615" s="540"/>
      <c r="AZ615" s="540"/>
      <c r="BA615" s="540"/>
      <c r="BB615" s="540"/>
      <c r="BC615" s="540"/>
      <c r="BD615" s="540"/>
      <c r="BE615" s="540"/>
      <c r="BF615" s="540"/>
      <c r="BG615" s="540"/>
      <c r="BH615" s="540"/>
      <c r="BI615" s="540"/>
      <c r="BJ615" s="540"/>
      <c r="BK615" s="540"/>
      <c r="BL615" s="540"/>
      <c r="BM615" s="540"/>
      <c r="BN615" s="540"/>
      <c r="BO615" s="540"/>
      <c r="BP615" s="540"/>
      <c r="BQ615" s="540"/>
      <c r="BR615" s="540"/>
      <c r="BS615" s="540"/>
      <c r="BT615" s="540"/>
      <c r="BU615" s="540"/>
      <c r="BV615" s="540"/>
      <c r="BW615" s="540"/>
      <c r="BX615" s="540"/>
      <c r="BY615" s="540"/>
      <c r="BZ615" s="540"/>
      <c r="CA615" s="540"/>
      <c r="CB615" s="540"/>
      <c r="CC615" s="540"/>
      <c r="CD615" s="540"/>
      <c r="CE615" s="540"/>
      <c r="CF615" s="540"/>
      <c r="CG615" s="540"/>
      <c r="CH615" s="540"/>
      <c r="CI615" s="540"/>
      <c r="CJ615" s="540"/>
      <c r="CK615" s="540"/>
      <c r="CL615" s="540"/>
      <c r="CM615" s="540"/>
      <c r="CN615" s="540"/>
      <c r="CO615" s="540"/>
      <c r="CP615" s="540"/>
      <c r="CQ615" s="540"/>
      <c r="CR615" s="540"/>
      <c r="CS615" s="540"/>
      <c r="CT615" s="540"/>
      <c r="CU615" s="540"/>
      <c r="CV615" s="540"/>
      <c r="CW615" s="540"/>
      <c r="CX615" s="540"/>
      <c r="CY615" s="540"/>
      <c r="CZ615" s="540"/>
      <c r="DA615" s="540"/>
      <c r="DB615" s="540"/>
      <c r="DC615" s="540"/>
      <c r="DD615" s="540"/>
      <c r="DE615" s="540"/>
    </row>
    <row r="616" spans="1:109" s="116" customFormat="1" x14ac:dyDescent="0.2">
      <c r="A616" s="435"/>
      <c r="B616" s="435"/>
      <c r="C616" s="435"/>
      <c r="D616" s="435"/>
      <c r="AB616" s="540"/>
      <c r="AU616" s="540"/>
      <c r="AV616" s="540"/>
      <c r="AW616" s="540"/>
      <c r="AX616" s="540"/>
      <c r="AY616" s="540"/>
      <c r="AZ616" s="540"/>
      <c r="BA616" s="540"/>
      <c r="BB616" s="540"/>
      <c r="BC616" s="540"/>
      <c r="BD616" s="540"/>
      <c r="BE616" s="540"/>
      <c r="BF616" s="540"/>
      <c r="BG616" s="540"/>
      <c r="BH616" s="540"/>
      <c r="BI616" s="540"/>
      <c r="BJ616" s="540"/>
      <c r="BK616" s="540"/>
      <c r="BL616" s="540"/>
      <c r="BM616" s="540"/>
      <c r="BN616" s="540"/>
      <c r="BO616" s="540"/>
      <c r="BP616" s="540"/>
      <c r="BQ616" s="540"/>
      <c r="BR616" s="540"/>
      <c r="BS616" s="540"/>
      <c r="BT616" s="540"/>
      <c r="BU616" s="540"/>
      <c r="BV616" s="540"/>
      <c r="BW616" s="540"/>
      <c r="BX616" s="540"/>
      <c r="BY616" s="540"/>
      <c r="BZ616" s="540"/>
      <c r="CA616" s="540"/>
      <c r="CB616" s="540"/>
      <c r="CC616" s="540"/>
      <c r="CD616" s="540"/>
      <c r="CE616" s="540"/>
      <c r="CF616" s="540"/>
      <c r="CG616" s="540"/>
      <c r="CH616" s="540"/>
      <c r="CI616" s="540"/>
      <c r="CJ616" s="540"/>
      <c r="CK616" s="540"/>
      <c r="CL616" s="540"/>
      <c r="CM616" s="540"/>
      <c r="CN616" s="540"/>
      <c r="CO616" s="540"/>
      <c r="CP616" s="540"/>
      <c r="CQ616" s="540"/>
      <c r="CR616" s="540"/>
      <c r="CS616" s="540"/>
      <c r="CT616" s="540"/>
      <c r="CU616" s="540"/>
      <c r="CV616" s="540"/>
      <c r="CW616" s="540"/>
      <c r="CX616" s="540"/>
      <c r="CY616" s="540"/>
      <c r="CZ616" s="540"/>
      <c r="DA616" s="540"/>
      <c r="DB616" s="540"/>
      <c r="DC616" s="540"/>
      <c r="DD616" s="540"/>
      <c r="DE616" s="540"/>
    </row>
    <row r="617" spans="1:109" s="116" customFormat="1" x14ac:dyDescent="0.2">
      <c r="A617" s="435"/>
      <c r="B617" s="435"/>
      <c r="C617" s="435"/>
      <c r="D617" s="435"/>
      <c r="AB617" s="540"/>
      <c r="AU617" s="540"/>
      <c r="AV617" s="540"/>
      <c r="AW617" s="540"/>
      <c r="AX617" s="540"/>
      <c r="AY617" s="540"/>
      <c r="AZ617" s="540"/>
      <c r="BA617" s="540"/>
      <c r="BB617" s="540"/>
      <c r="BC617" s="540"/>
      <c r="BD617" s="540"/>
      <c r="BE617" s="540"/>
      <c r="BF617" s="540"/>
      <c r="BG617" s="540"/>
      <c r="BH617" s="540"/>
      <c r="BI617" s="540"/>
      <c r="BJ617" s="540"/>
      <c r="BK617" s="540"/>
      <c r="BL617" s="540"/>
      <c r="BM617" s="540"/>
      <c r="BN617" s="540"/>
      <c r="BO617" s="540"/>
      <c r="BP617" s="540"/>
      <c r="BQ617" s="540"/>
      <c r="BR617" s="540"/>
      <c r="BS617" s="540"/>
      <c r="BT617" s="540"/>
      <c r="BU617" s="540"/>
      <c r="BV617" s="540"/>
      <c r="BW617" s="540"/>
      <c r="BX617" s="540"/>
      <c r="BY617" s="540"/>
      <c r="BZ617" s="540"/>
      <c r="CA617" s="540"/>
      <c r="CB617" s="540"/>
      <c r="CC617" s="540"/>
      <c r="CD617" s="540"/>
      <c r="CE617" s="540"/>
      <c r="CF617" s="540"/>
      <c r="CG617" s="540"/>
      <c r="CH617" s="540"/>
      <c r="CI617" s="540"/>
      <c r="CJ617" s="540"/>
      <c r="CK617" s="540"/>
      <c r="CL617" s="540"/>
      <c r="CM617" s="540"/>
      <c r="CN617" s="540"/>
      <c r="CO617" s="540"/>
      <c r="CP617" s="540"/>
      <c r="CQ617" s="540"/>
      <c r="CR617" s="540"/>
      <c r="CS617" s="540"/>
      <c r="CT617" s="540"/>
      <c r="CU617" s="540"/>
      <c r="CV617" s="540"/>
      <c r="CW617" s="540"/>
      <c r="CX617" s="540"/>
      <c r="CY617" s="540"/>
      <c r="CZ617" s="540"/>
      <c r="DA617" s="540"/>
      <c r="DB617" s="540"/>
      <c r="DC617" s="540"/>
      <c r="DD617" s="540"/>
      <c r="DE617" s="540"/>
    </row>
    <row r="618" spans="1:109" s="116" customFormat="1" x14ac:dyDescent="0.2">
      <c r="A618" s="435"/>
      <c r="B618" s="435"/>
      <c r="C618" s="435"/>
      <c r="D618" s="435"/>
      <c r="AB618" s="540"/>
      <c r="AU618" s="540"/>
      <c r="AV618" s="540"/>
      <c r="AW618" s="540"/>
      <c r="AX618" s="540"/>
      <c r="AY618" s="540"/>
      <c r="AZ618" s="540"/>
      <c r="BA618" s="540"/>
      <c r="BB618" s="540"/>
      <c r="BC618" s="540"/>
      <c r="BD618" s="540"/>
      <c r="BE618" s="540"/>
      <c r="BF618" s="540"/>
      <c r="BG618" s="540"/>
      <c r="BH618" s="540"/>
      <c r="BI618" s="540"/>
      <c r="BJ618" s="540"/>
      <c r="BK618" s="540"/>
      <c r="BL618" s="540"/>
      <c r="BM618" s="540"/>
      <c r="BN618" s="540"/>
      <c r="BO618" s="540"/>
      <c r="BP618" s="540"/>
      <c r="BQ618" s="540"/>
      <c r="BR618" s="540"/>
      <c r="BS618" s="540"/>
      <c r="BT618" s="540"/>
      <c r="BU618" s="540"/>
      <c r="BV618" s="540"/>
      <c r="BW618" s="540"/>
      <c r="BX618" s="540"/>
      <c r="BY618" s="540"/>
      <c r="BZ618" s="540"/>
      <c r="CA618" s="540"/>
      <c r="CB618" s="540"/>
      <c r="CC618" s="540"/>
      <c r="CD618" s="540"/>
      <c r="CE618" s="540"/>
      <c r="CF618" s="540"/>
      <c r="CG618" s="540"/>
      <c r="CH618" s="540"/>
      <c r="CI618" s="540"/>
      <c r="CJ618" s="540"/>
      <c r="CK618" s="540"/>
      <c r="CL618" s="540"/>
      <c r="CM618" s="540"/>
      <c r="CN618" s="540"/>
      <c r="CO618" s="540"/>
      <c r="CP618" s="540"/>
      <c r="CQ618" s="540"/>
      <c r="CR618" s="540"/>
      <c r="CS618" s="540"/>
      <c r="CT618" s="540"/>
      <c r="CU618" s="540"/>
      <c r="CV618" s="540"/>
      <c r="CW618" s="540"/>
      <c r="CX618" s="540"/>
      <c r="CY618" s="540"/>
      <c r="CZ618" s="540"/>
      <c r="DA618" s="540"/>
      <c r="DB618" s="540"/>
      <c r="DC618" s="540"/>
      <c r="DD618" s="540"/>
      <c r="DE618" s="540"/>
    </row>
    <row r="619" spans="1:109" s="116" customFormat="1" x14ac:dyDescent="0.2">
      <c r="A619" s="435"/>
      <c r="B619" s="435"/>
      <c r="C619" s="435"/>
      <c r="D619" s="435"/>
      <c r="AB619" s="540"/>
      <c r="AU619" s="540"/>
      <c r="AV619" s="540"/>
      <c r="AW619" s="540"/>
      <c r="AX619" s="540"/>
      <c r="AY619" s="540"/>
      <c r="AZ619" s="540"/>
      <c r="BA619" s="540"/>
      <c r="BB619" s="540"/>
      <c r="BC619" s="540"/>
      <c r="BD619" s="540"/>
      <c r="BE619" s="540"/>
      <c r="BF619" s="540"/>
      <c r="BG619" s="540"/>
      <c r="BH619" s="540"/>
      <c r="BI619" s="540"/>
      <c r="BJ619" s="540"/>
      <c r="BK619" s="540"/>
      <c r="BL619" s="540"/>
      <c r="BM619" s="540"/>
      <c r="BN619" s="540"/>
      <c r="BO619" s="540"/>
      <c r="BP619" s="540"/>
      <c r="BQ619" s="540"/>
      <c r="BR619" s="540"/>
      <c r="BS619" s="540"/>
      <c r="BT619" s="540"/>
      <c r="BU619" s="540"/>
      <c r="BV619" s="540"/>
      <c r="BW619" s="540"/>
      <c r="BX619" s="540"/>
      <c r="BY619" s="540"/>
      <c r="BZ619" s="540"/>
      <c r="CA619" s="540"/>
      <c r="CB619" s="540"/>
      <c r="CC619" s="540"/>
      <c r="CD619" s="540"/>
      <c r="CE619" s="540"/>
      <c r="CF619" s="540"/>
      <c r="CG619" s="540"/>
      <c r="CH619" s="540"/>
      <c r="CI619" s="540"/>
      <c r="CJ619" s="540"/>
      <c r="CK619" s="540"/>
      <c r="CL619" s="540"/>
      <c r="CM619" s="540"/>
      <c r="CN619" s="540"/>
      <c r="CO619" s="540"/>
      <c r="CP619" s="540"/>
      <c r="CQ619" s="540"/>
      <c r="CR619" s="540"/>
      <c r="CS619" s="540"/>
      <c r="CT619" s="540"/>
      <c r="CU619" s="540"/>
      <c r="CV619" s="540"/>
      <c r="CW619" s="540"/>
      <c r="CX619" s="540"/>
      <c r="CY619" s="540"/>
      <c r="CZ619" s="540"/>
      <c r="DA619" s="540"/>
      <c r="DB619" s="540"/>
      <c r="DC619" s="540"/>
      <c r="DD619" s="540"/>
      <c r="DE619" s="540"/>
    </row>
    <row r="620" spans="1:109" s="116" customFormat="1" x14ac:dyDescent="0.2">
      <c r="A620" s="435"/>
      <c r="B620" s="435"/>
      <c r="C620" s="435"/>
      <c r="D620" s="435"/>
      <c r="AB620" s="540"/>
      <c r="AU620" s="540"/>
      <c r="AV620" s="540"/>
      <c r="AW620" s="540"/>
      <c r="AX620" s="540"/>
      <c r="AY620" s="540"/>
      <c r="AZ620" s="540"/>
      <c r="BA620" s="540"/>
      <c r="BB620" s="540"/>
      <c r="BC620" s="540"/>
      <c r="BD620" s="540"/>
      <c r="BE620" s="540"/>
      <c r="BF620" s="540"/>
      <c r="BG620" s="540"/>
      <c r="BH620" s="540"/>
      <c r="BI620" s="540"/>
      <c r="BJ620" s="540"/>
      <c r="BK620" s="540"/>
      <c r="BL620" s="540"/>
      <c r="BM620" s="540"/>
      <c r="BN620" s="540"/>
      <c r="BO620" s="540"/>
      <c r="BP620" s="540"/>
      <c r="BQ620" s="540"/>
      <c r="BR620" s="540"/>
      <c r="BS620" s="540"/>
      <c r="BT620" s="540"/>
      <c r="BU620" s="540"/>
      <c r="BV620" s="540"/>
      <c r="BW620" s="540"/>
      <c r="BX620" s="540"/>
      <c r="BY620" s="540"/>
      <c r="BZ620" s="540"/>
      <c r="CA620" s="540"/>
      <c r="CB620" s="540"/>
      <c r="CC620" s="540"/>
      <c r="CD620" s="540"/>
      <c r="CE620" s="540"/>
      <c r="CF620" s="540"/>
      <c r="CG620" s="540"/>
      <c r="CH620" s="540"/>
      <c r="CI620" s="540"/>
      <c r="CJ620" s="540"/>
      <c r="CK620" s="540"/>
      <c r="CL620" s="540"/>
      <c r="CM620" s="540"/>
      <c r="CN620" s="540"/>
      <c r="CO620" s="540"/>
      <c r="CP620" s="540"/>
      <c r="CQ620" s="540"/>
      <c r="CR620" s="540"/>
      <c r="CS620" s="540"/>
      <c r="CT620" s="540"/>
      <c r="CU620" s="540"/>
      <c r="CV620" s="540"/>
      <c r="CW620" s="540"/>
      <c r="CX620" s="540"/>
      <c r="CY620" s="540"/>
      <c r="CZ620" s="540"/>
      <c r="DA620" s="540"/>
      <c r="DB620" s="540"/>
      <c r="DC620" s="540"/>
      <c r="DD620" s="540"/>
      <c r="DE620" s="540"/>
    </row>
    <row r="621" spans="1:109" s="116" customFormat="1" x14ac:dyDescent="0.2">
      <c r="A621" s="435"/>
      <c r="B621" s="435"/>
      <c r="C621" s="435"/>
      <c r="D621" s="435"/>
      <c r="AB621" s="540"/>
      <c r="AU621" s="540"/>
      <c r="AV621" s="540"/>
      <c r="AW621" s="540"/>
      <c r="AX621" s="540"/>
      <c r="AY621" s="540"/>
      <c r="AZ621" s="540"/>
      <c r="BA621" s="540"/>
      <c r="BB621" s="540"/>
      <c r="BC621" s="540"/>
      <c r="BD621" s="540"/>
      <c r="BE621" s="540"/>
      <c r="BF621" s="540"/>
      <c r="BG621" s="540"/>
      <c r="BH621" s="540"/>
      <c r="BI621" s="540"/>
      <c r="BJ621" s="540"/>
      <c r="BK621" s="540"/>
      <c r="BL621" s="540"/>
      <c r="BM621" s="540"/>
      <c r="BN621" s="540"/>
      <c r="BO621" s="540"/>
      <c r="BP621" s="540"/>
      <c r="BQ621" s="540"/>
      <c r="BR621" s="540"/>
      <c r="BS621" s="540"/>
      <c r="BT621" s="540"/>
      <c r="BU621" s="540"/>
      <c r="BV621" s="540"/>
      <c r="BW621" s="540"/>
      <c r="BX621" s="540"/>
      <c r="BY621" s="540"/>
      <c r="BZ621" s="540"/>
      <c r="CA621" s="540"/>
      <c r="CB621" s="540"/>
      <c r="CC621" s="540"/>
      <c r="CD621" s="540"/>
      <c r="CE621" s="540"/>
      <c r="CF621" s="540"/>
      <c r="CG621" s="540"/>
      <c r="CH621" s="540"/>
      <c r="CI621" s="540"/>
      <c r="CJ621" s="540"/>
      <c r="CK621" s="540"/>
      <c r="CL621" s="540"/>
      <c r="CM621" s="540"/>
      <c r="CN621" s="540"/>
      <c r="CO621" s="540"/>
      <c r="CP621" s="540"/>
      <c r="CQ621" s="540"/>
      <c r="CR621" s="540"/>
      <c r="CS621" s="540"/>
      <c r="CT621" s="540"/>
      <c r="CU621" s="540"/>
      <c r="CV621" s="540"/>
      <c r="CW621" s="540"/>
      <c r="CX621" s="540"/>
      <c r="CY621" s="540"/>
      <c r="CZ621" s="540"/>
      <c r="DA621" s="540"/>
      <c r="DB621" s="540"/>
      <c r="DC621" s="540"/>
      <c r="DD621" s="540"/>
      <c r="DE621" s="540"/>
    </row>
    <row r="622" spans="1:109" s="116" customFormat="1" x14ac:dyDescent="0.2">
      <c r="A622" s="435"/>
      <c r="B622" s="435"/>
      <c r="C622" s="435"/>
      <c r="D622" s="435"/>
      <c r="AB622" s="540"/>
      <c r="AU622" s="540"/>
      <c r="AV622" s="540"/>
      <c r="AW622" s="540"/>
      <c r="AX622" s="540"/>
      <c r="AY622" s="540"/>
      <c r="AZ622" s="540"/>
      <c r="BA622" s="540"/>
      <c r="BB622" s="540"/>
      <c r="BC622" s="540"/>
      <c r="BD622" s="540"/>
      <c r="BE622" s="540"/>
      <c r="BF622" s="540"/>
      <c r="BG622" s="540"/>
      <c r="BH622" s="540"/>
      <c r="BI622" s="540"/>
      <c r="BJ622" s="540"/>
      <c r="BK622" s="540"/>
      <c r="BL622" s="540"/>
      <c r="BM622" s="540"/>
      <c r="BN622" s="540"/>
      <c r="BO622" s="540"/>
      <c r="BP622" s="540"/>
      <c r="BQ622" s="540"/>
      <c r="BR622" s="540"/>
      <c r="BS622" s="540"/>
      <c r="BT622" s="540"/>
      <c r="BU622" s="540"/>
      <c r="BV622" s="540"/>
      <c r="BW622" s="540"/>
      <c r="BX622" s="540"/>
      <c r="BY622" s="540"/>
      <c r="BZ622" s="540"/>
      <c r="CA622" s="540"/>
      <c r="CB622" s="540"/>
      <c r="CC622" s="540"/>
      <c r="CD622" s="540"/>
      <c r="CE622" s="540"/>
      <c r="CF622" s="540"/>
      <c r="CG622" s="540"/>
      <c r="CH622" s="540"/>
      <c r="CI622" s="540"/>
      <c r="CJ622" s="540"/>
      <c r="CK622" s="540"/>
      <c r="CL622" s="540"/>
      <c r="CM622" s="540"/>
      <c r="CN622" s="540"/>
      <c r="CO622" s="540"/>
      <c r="CP622" s="540"/>
      <c r="CQ622" s="540"/>
      <c r="CR622" s="540"/>
      <c r="CS622" s="540"/>
      <c r="CT622" s="540"/>
      <c r="CU622" s="540"/>
      <c r="CV622" s="540"/>
      <c r="CW622" s="540"/>
      <c r="CX622" s="540"/>
      <c r="CY622" s="540"/>
      <c r="CZ622" s="540"/>
      <c r="DA622" s="540"/>
      <c r="DB622" s="540"/>
      <c r="DC622" s="540"/>
      <c r="DD622" s="540"/>
      <c r="DE622" s="540"/>
    </row>
    <row r="623" spans="1:109" s="116" customFormat="1" x14ac:dyDescent="0.2">
      <c r="A623" s="435"/>
      <c r="B623" s="435"/>
      <c r="C623" s="435"/>
      <c r="D623" s="435"/>
      <c r="AB623" s="540"/>
      <c r="AU623" s="540"/>
      <c r="AV623" s="540"/>
      <c r="AW623" s="540"/>
      <c r="AX623" s="540"/>
      <c r="AY623" s="540"/>
      <c r="AZ623" s="540"/>
      <c r="BA623" s="540"/>
      <c r="BB623" s="540"/>
      <c r="BC623" s="540"/>
      <c r="BD623" s="540"/>
      <c r="BE623" s="540"/>
      <c r="BF623" s="540"/>
      <c r="BG623" s="540"/>
      <c r="BH623" s="540"/>
      <c r="BI623" s="540"/>
      <c r="BJ623" s="540"/>
      <c r="BK623" s="540"/>
      <c r="BL623" s="540"/>
      <c r="BM623" s="540"/>
      <c r="BN623" s="540"/>
      <c r="BO623" s="540"/>
      <c r="BP623" s="540"/>
      <c r="BQ623" s="540"/>
      <c r="BR623" s="540"/>
      <c r="BS623" s="540"/>
      <c r="BT623" s="540"/>
      <c r="BU623" s="540"/>
      <c r="BV623" s="540"/>
      <c r="BW623" s="540"/>
      <c r="BX623" s="540"/>
      <c r="BY623" s="540"/>
      <c r="BZ623" s="540"/>
      <c r="CA623" s="540"/>
      <c r="CB623" s="540"/>
      <c r="CC623" s="540"/>
      <c r="CD623" s="540"/>
      <c r="CE623" s="540"/>
      <c r="CF623" s="540"/>
      <c r="CG623" s="540"/>
      <c r="CH623" s="540"/>
      <c r="CI623" s="540"/>
      <c r="CJ623" s="540"/>
      <c r="CK623" s="540"/>
      <c r="CL623" s="540"/>
      <c r="CM623" s="540"/>
      <c r="CN623" s="540"/>
      <c r="CO623" s="540"/>
      <c r="CP623" s="540"/>
      <c r="CQ623" s="540"/>
      <c r="CR623" s="540"/>
      <c r="CS623" s="540"/>
      <c r="CT623" s="540"/>
      <c r="CU623" s="540"/>
      <c r="CV623" s="540"/>
      <c r="CW623" s="540"/>
      <c r="CX623" s="540"/>
      <c r="CY623" s="540"/>
      <c r="CZ623" s="540"/>
      <c r="DA623" s="540"/>
      <c r="DB623" s="540"/>
      <c r="DC623" s="540"/>
      <c r="DD623" s="540"/>
      <c r="DE623" s="540"/>
    </row>
    <row r="624" spans="1:109" s="116" customFormat="1" x14ac:dyDescent="0.2">
      <c r="A624" s="435"/>
      <c r="B624" s="435"/>
      <c r="C624" s="435"/>
      <c r="D624" s="435"/>
      <c r="AB624" s="540"/>
      <c r="AU624" s="540"/>
      <c r="AV624" s="540"/>
      <c r="AW624" s="540"/>
      <c r="AX624" s="540"/>
      <c r="AY624" s="540"/>
      <c r="AZ624" s="540"/>
      <c r="BA624" s="540"/>
      <c r="BB624" s="540"/>
      <c r="BC624" s="540"/>
      <c r="BD624" s="540"/>
      <c r="BE624" s="540"/>
      <c r="BF624" s="540"/>
      <c r="BG624" s="540"/>
      <c r="BH624" s="540"/>
      <c r="BI624" s="540"/>
      <c r="BJ624" s="540"/>
      <c r="BK624" s="540"/>
      <c r="BL624" s="540"/>
      <c r="BM624" s="540"/>
      <c r="BN624" s="540"/>
      <c r="BO624" s="540"/>
      <c r="BP624" s="540"/>
      <c r="BQ624" s="540"/>
      <c r="BR624" s="540"/>
      <c r="BS624" s="540"/>
      <c r="BT624" s="540"/>
      <c r="BU624" s="540"/>
      <c r="BV624" s="540"/>
      <c r="BW624" s="540"/>
      <c r="BX624" s="540"/>
      <c r="BY624" s="540"/>
      <c r="BZ624" s="540"/>
      <c r="CA624" s="540"/>
      <c r="CB624" s="540"/>
      <c r="CC624" s="540"/>
      <c r="CD624" s="540"/>
      <c r="CE624" s="540"/>
      <c r="CF624" s="540"/>
      <c r="CG624" s="540"/>
      <c r="CH624" s="540"/>
      <c r="CI624" s="540"/>
      <c r="CJ624" s="540"/>
      <c r="CK624" s="540"/>
      <c r="CL624" s="540"/>
      <c r="CM624" s="540"/>
      <c r="CN624" s="540"/>
      <c r="CO624" s="540"/>
      <c r="CP624" s="540"/>
      <c r="CQ624" s="540"/>
      <c r="CR624" s="540"/>
      <c r="CS624" s="540"/>
      <c r="CT624" s="540"/>
      <c r="CU624" s="540"/>
      <c r="CV624" s="540"/>
      <c r="CW624" s="540"/>
      <c r="CX624" s="540"/>
      <c r="CY624" s="540"/>
      <c r="CZ624" s="540"/>
      <c r="DA624" s="540"/>
      <c r="DB624" s="540"/>
      <c r="DC624" s="540"/>
      <c r="DD624" s="540"/>
      <c r="DE624" s="540"/>
    </row>
    <row r="625" spans="1:109" s="116" customFormat="1" x14ac:dyDescent="0.2">
      <c r="A625" s="435"/>
      <c r="B625" s="435"/>
      <c r="C625" s="435"/>
      <c r="D625" s="435"/>
      <c r="AB625" s="540"/>
      <c r="AU625" s="540"/>
      <c r="AV625" s="540"/>
      <c r="AW625" s="540"/>
      <c r="AX625" s="540"/>
      <c r="AY625" s="540"/>
      <c r="AZ625" s="540"/>
      <c r="BA625" s="540"/>
      <c r="BB625" s="540"/>
      <c r="BC625" s="540"/>
      <c r="BD625" s="540"/>
      <c r="BE625" s="540"/>
      <c r="BF625" s="540"/>
      <c r="BG625" s="540"/>
      <c r="BH625" s="540"/>
      <c r="BI625" s="540"/>
      <c r="BJ625" s="540"/>
      <c r="BK625" s="540"/>
      <c r="BL625" s="540"/>
      <c r="BM625" s="540"/>
      <c r="BN625" s="540"/>
      <c r="BO625" s="540"/>
      <c r="BP625" s="540"/>
      <c r="BQ625" s="540"/>
      <c r="BR625" s="540"/>
      <c r="BS625" s="540"/>
      <c r="BT625" s="540"/>
      <c r="BU625" s="540"/>
      <c r="BV625" s="540"/>
      <c r="BW625" s="540"/>
      <c r="BX625" s="540"/>
      <c r="BY625" s="540"/>
      <c r="BZ625" s="540"/>
      <c r="CA625" s="540"/>
      <c r="CB625" s="540"/>
      <c r="CC625" s="540"/>
      <c r="CD625" s="540"/>
      <c r="CE625" s="540"/>
      <c r="CF625" s="540"/>
      <c r="CG625" s="540"/>
      <c r="CH625" s="540"/>
      <c r="CI625" s="540"/>
      <c r="CJ625" s="540"/>
      <c r="CK625" s="540"/>
      <c r="CL625" s="540"/>
      <c r="CM625" s="540"/>
      <c r="CN625" s="540"/>
      <c r="CO625" s="540"/>
      <c r="CP625" s="540"/>
      <c r="CQ625" s="540"/>
      <c r="CR625" s="540"/>
      <c r="CS625" s="540"/>
      <c r="CT625" s="540"/>
      <c r="CU625" s="540"/>
      <c r="CV625" s="540"/>
      <c r="CW625" s="540"/>
      <c r="CX625" s="540"/>
      <c r="CY625" s="540"/>
      <c r="CZ625" s="540"/>
      <c r="DA625" s="540"/>
      <c r="DB625" s="540"/>
      <c r="DC625" s="540"/>
      <c r="DD625" s="540"/>
      <c r="DE625" s="540"/>
    </row>
    <row r="626" spans="1:109" s="116" customFormat="1" x14ac:dyDescent="0.2">
      <c r="A626" s="435"/>
      <c r="B626" s="435"/>
      <c r="C626" s="435"/>
      <c r="D626" s="435"/>
      <c r="AB626" s="540"/>
      <c r="AU626" s="540"/>
      <c r="AV626" s="540"/>
      <c r="AW626" s="540"/>
      <c r="AX626" s="540"/>
      <c r="AY626" s="540"/>
      <c r="AZ626" s="540"/>
      <c r="BA626" s="540"/>
      <c r="BB626" s="540"/>
      <c r="BC626" s="540"/>
      <c r="BD626" s="540"/>
      <c r="BE626" s="540"/>
      <c r="BF626" s="540"/>
      <c r="BG626" s="540"/>
      <c r="BH626" s="540"/>
      <c r="BI626" s="540"/>
      <c r="BJ626" s="540"/>
      <c r="BK626" s="540"/>
      <c r="BL626" s="540"/>
      <c r="BM626" s="540"/>
      <c r="BN626" s="540"/>
      <c r="BO626" s="540"/>
      <c r="BP626" s="540"/>
      <c r="BQ626" s="540"/>
      <c r="BR626" s="540"/>
      <c r="BS626" s="540"/>
      <c r="BT626" s="540"/>
      <c r="BU626" s="540"/>
      <c r="BV626" s="540"/>
      <c r="BW626" s="540"/>
      <c r="BX626" s="540"/>
      <c r="BY626" s="540"/>
      <c r="BZ626" s="540"/>
      <c r="CA626" s="540"/>
      <c r="CB626" s="540"/>
      <c r="CC626" s="540"/>
      <c r="CD626" s="540"/>
      <c r="CE626" s="540"/>
      <c r="CF626" s="540"/>
      <c r="CG626" s="540"/>
      <c r="CH626" s="540"/>
      <c r="CI626" s="540"/>
      <c r="CJ626" s="540"/>
      <c r="CK626" s="540"/>
      <c r="CL626" s="540"/>
      <c r="CM626" s="540"/>
      <c r="CN626" s="540"/>
      <c r="CO626" s="540"/>
      <c r="CP626" s="540"/>
      <c r="CQ626" s="540"/>
      <c r="CR626" s="540"/>
      <c r="CS626" s="540"/>
      <c r="CT626" s="540"/>
      <c r="CU626" s="540"/>
      <c r="CV626" s="540"/>
      <c r="CW626" s="540"/>
      <c r="CX626" s="540"/>
      <c r="CY626" s="540"/>
      <c r="CZ626" s="540"/>
      <c r="DA626" s="540"/>
      <c r="DB626" s="540"/>
      <c r="DC626" s="540"/>
      <c r="DD626" s="540"/>
      <c r="DE626" s="540"/>
    </row>
    <row r="627" spans="1:109" s="116" customFormat="1" x14ac:dyDescent="0.2">
      <c r="A627" s="435"/>
      <c r="B627" s="435"/>
      <c r="C627" s="435"/>
      <c r="D627" s="435"/>
      <c r="AB627" s="540"/>
      <c r="AU627" s="540"/>
      <c r="AV627" s="540"/>
      <c r="AW627" s="540"/>
      <c r="AX627" s="540"/>
      <c r="AY627" s="540"/>
      <c r="AZ627" s="540"/>
      <c r="BA627" s="540"/>
      <c r="BB627" s="540"/>
      <c r="BC627" s="540"/>
      <c r="BD627" s="540"/>
      <c r="BE627" s="540"/>
      <c r="BF627" s="540"/>
      <c r="BG627" s="540"/>
      <c r="BH627" s="540"/>
      <c r="BI627" s="540"/>
      <c r="BJ627" s="540"/>
      <c r="BK627" s="540"/>
      <c r="BL627" s="540"/>
      <c r="BM627" s="540"/>
      <c r="BN627" s="540"/>
      <c r="BO627" s="540"/>
      <c r="BP627" s="540"/>
      <c r="BQ627" s="540"/>
      <c r="BR627" s="540"/>
      <c r="BS627" s="540"/>
      <c r="BT627" s="540"/>
      <c r="BU627" s="540"/>
      <c r="BV627" s="540"/>
      <c r="BW627" s="540"/>
      <c r="BX627" s="540"/>
      <c r="BY627" s="540"/>
      <c r="BZ627" s="540"/>
      <c r="CA627" s="540"/>
      <c r="CB627" s="540"/>
      <c r="CC627" s="540"/>
      <c r="CD627" s="540"/>
      <c r="CE627" s="540"/>
      <c r="CF627" s="540"/>
      <c r="CG627" s="540"/>
      <c r="CH627" s="540"/>
      <c r="CI627" s="540"/>
      <c r="CJ627" s="540"/>
      <c r="CK627" s="540"/>
      <c r="CL627" s="540"/>
      <c r="CM627" s="540"/>
      <c r="CN627" s="540"/>
      <c r="CO627" s="540"/>
      <c r="CP627" s="540"/>
      <c r="CQ627" s="540"/>
      <c r="CR627" s="540"/>
      <c r="CS627" s="540"/>
      <c r="CT627" s="540"/>
      <c r="CU627" s="540"/>
      <c r="CV627" s="540"/>
      <c r="CW627" s="540"/>
      <c r="CX627" s="540"/>
      <c r="CY627" s="540"/>
      <c r="CZ627" s="540"/>
      <c r="DA627" s="540"/>
      <c r="DB627" s="540"/>
      <c r="DC627" s="540"/>
      <c r="DD627" s="540"/>
      <c r="DE627" s="540"/>
    </row>
    <row r="628" spans="1:109" s="116" customFormat="1" x14ac:dyDescent="0.2">
      <c r="A628" s="435"/>
      <c r="B628" s="435"/>
      <c r="C628" s="435"/>
      <c r="D628" s="435"/>
      <c r="AB628" s="540"/>
      <c r="AU628" s="540"/>
      <c r="AV628" s="540"/>
      <c r="AW628" s="540"/>
      <c r="AX628" s="540"/>
      <c r="AY628" s="540"/>
      <c r="AZ628" s="540"/>
      <c r="BA628" s="540"/>
      <c r="BB628" s="540"/>
      <c r="BC628" s="540"/>
      <c r="BD628" s="540"/>
      <c r="BE628" s="540"/>
      <c r="BF628" s="540"/>
      <c r="BG628" s="540"/>
      <c r="BH628" s="540"/>
      <c r="BI628" s="540"/>
      <c r="BJ628" s="540"/>
      <c r="BK628" s="540"/>
      <c r="BL628" s="540"/>
      <c r="BM628" s="540"/>
      <c r="BN628" s="540"/>
      <c r="BO628" s="540"/>
      <c r="BP628" s="540"/>
      <c r="BQ628" s="540"/>
      <c r="BR628" s="540"/>
      <c r="BS628" s="540"/>
      <c r="BT628" s="540"/>
      <c r="BU628" s="540"/>
      <c r="BV628" s="540"/>
      <c r="BW628" s="540"/>
      <c r="BX628" s="540"/>
      <c r="BY628" s="540"/>
      <c r="BZ628" s="540"/>
      <c r="CA628" s="540"/>
      <c r="CB628" s="540"/>
      <c r="CC628" s="540"/>
      <c r="CD628" s="540"/>
      <c r="CE628" s="540"/>
      <c r="CF628" s="540"/>
      <c r="CG628" s="540"/>
      <c r="CH628" s="540"/>
      <c r="CI628" s="540"/>
      <c r="CJ628" s="540"/>
      <c r="CK628" s="540"/>
      <c r="CL628" s="540"/>
      <c r="CM628" s="540"/>
      <c r="CN628" s="540"/>
      <c r="CO628" s="540"/>
      <c r="CP628" s="540"/>
      <c r="CQ628" s="540"/>
      <c r="CR628" s="540"/>
      <c r="CS628" s="540"/>
      <c r="CT628" s="540"/>
      <c r="CU628" s="540"/>
      <c r="CV628" s="540"/>
      <c r="CW628" s="540"/>
      <c r="CX628" s="540"/>
      <c r="CY628" s="540"/>
      <c r="CZ628" s="540"/>
      <c r="DA628" s="540"/>
      <c r="DB628" s="540"/>
      <c r="DC628" s="540"/>
      <c r="DD628" s="540"/>
      <c r="DE628" s="540"/>
    </row>
    <row r="629" spans="1:109" s="116" customFormat="1" x14ac:dyDescent="0.2">
      <c r="A629" s="435"/>
      <c r="B629" s="435"/>
      <c r="C629" s="435"/>
      <c r="D629" s="435"/>
      <c r="AB629" s="540"/>
      <c r="AU629" s="540"/>
      <c r="AV629" s="540"/>
      <c r="AW629" s="540"/>
      <c r="AX629" s="540"/>
      <c r="AY629" s="540"/>
      <c r="AZ629" s="540"/>
      <c r="BA629" s="540"/>
      <c r="BB629" s="540"/>
      <c r="BC629" s="540"/>
      <c r="BD629" s="540"/>
      <c r="BE629" s="540"/>
      <c r="BF629" s="540"/>
      <c r="BG629" s="540"/>
      <c r="BH629" s="540"/>
      <c r="BI629" s="540"/>
      <c r="BJ629" s="540"/>
      <c r="BK629" s="540"/>
      <c r="BL629" s="540"/>
      <c r="BM629" s="540"/>
      <c r="BN629" s="540"/>
      <c r="BO629" s="540"/>
      <c r="BP629" s="540"/>
      <c r="BQ629" s="540"/>
      <c r="BR629" s="540"/>
      <c r="BS629" s="540"/>
      <c r="BT629" s="540"/>
      <c r="BU629" s="540"/>
      <c r="BV629" s="540"/>
      <c r="BW629" s="540"/>
      <c r="BX629" s="540"/>
      <c r="BY629" s="540"/>
      <c r="BZ629" s="540"/>
      <c r="CA629" s="540"/>
      <c r="CB629" s="540"/>
      <c r="CC629" s="540"/>
      <c r="CD629" s="540"/>
      <c r="CE629" s="540"/>
      <c r="CF629" s="540"/>
      <c r="CG629" s="540"/>
      <c r="CH629" s="540"/>
      <c r="CI629" s="540"/>
      <c r="CJ629" s="540"/>
      <c r="CK629" s="540"/>
      <c r="CL629" s="540"/>
      <c r="CM629" s="540"/>
      <c r="CN629" s="540"/>
      <c r="CO629" s="540"/>
      <c r="CP629" s="540"/>
      <c r="CQ629" s="540"/>
      <c r="CR629" s="540"/>
      <c r="CS629" s="540"/>
      <c r="CT629" s="540"/>
      <c r="CU629" s="540"/>
      <c r="CV629" s="540"/>
      <c r="CW629" s="540"/>
      <c r="CX629" s="540"/>
      <c r="CY629" s="540"/>
      <c r="CZ629" s="540"/>
      <c r="DA629" s="540"/>
      <c r="DB629" s="540"/>
      <c r="DC629" s="540"/>
      <c r="DD629" s="540"/>
      <c r="DE629" s="540"/>
    </row>
    <row r="630" spans="1:109" s="116" customFormat="1" x14ac:dyDescent="0.2">
      <c r="A630" s="435"/>
      <c r="B630" s="435"/>
      <c r="C630" s="435"/>
      <c r="D630" s="435"/>
      <c r="AB630" s="540"/>
      <c r="AU630" s="540"/>
      <c r="AV630" s="540"/>
      <c r="AW630" s="540"/>
      <c r="AX630" s="540"/>
      <c r="AY630" s="540"/>
      <c r="AZ630" s="540"/>
      <c r="BA630" s="540"/>
      <c r="BB630" s="540"/>
      <c r="BC630" s="540"/>
      <c r="BD630" s="540"/>
      <c r="BE630" s="540"/>
      <c r="BF630" s="540"/>
      <c r="BG630" s="540"/>
      <c r="BH630" s="540"/>
      <c r="BI630" s="540"/>
      <c r="BJ630" s="540"/>
      <c r="BK630" s="540"/>
      <c r="BL630" s="540"/>
      <c r="BM630" s="540"/>
      <c r="BN630" s="540"/>
      <c r="BO630" s="540"/>
      <c r="BP630" s="540"/>
      <c r="BQ630" s="540"/>
      <c r="BR630" s="540"/>
      <c r="BS630" s="540"/>
      <c r="BT630" s="540"/>
      <c r="BU630" s="540"/>
      <c r="BV630" s="540"/>
      <c r="BW630" s="540"/>
      <c r="BX630" s="540"/>
      <c r="BY630" s="540"/>
      <c r="BZ630" s="540"/>
      <c r="CA630" s="540"/>
      <c r="CB630" s="540"/>
      <c r="CC630" s="540"/>
      <c r="CD630" s="540"/>
      <c r="CE630" s="540"/>
      <c r="CF630" s="540"/>
      <c r="CG630" s="540"/>
      <c r="CH630" s="540"/>
      <c r="CI630" s="540"/>
      <c r="CJ630" s="540"/>
      <c r="CK630" s="540"/>
      <c r="CL630" s="540"/>
      <c r="CM630" s="540"/>
      <c r="CN630" s="540"/>
      <c r="CO630" s="540"/>
      <c r="CP630" s="540"/>
      <c r="CQ630" s="540"/>
      <c r="CR630" s="540"/>
      <c r="CS630" s="540"/>
      <c r="CT630" s="540"/>
      <c r="CU630" s="540"/>
      <c r="CV630" s="540"/>
      <c r="CW630" s="540"/>
      <c r="CX630" s="540"/>
      <c r="CY630" s="540"/>
      <c r="CZ630" s="540"/>
      <c r="DA630" s="540"/>
      <c r="DB630" s="540"/>
      <c r="DC630" s="540"/>
      <c r="DD630" s="540"/>
      <c r="DE630" s="540"/>
    </row>
    <row r="631" spans="1:109" s="116" customFormat="1" x14ac:dyDescent="0.2">
      <c r="A631" s="435"/>
      <c r="B631" s="435"/>
      <c r="C631" s="435"/>
      <c r="D631" s="435"/>
      <c r="AB631" s="540"/>
      <c r="AU631" s="540"/>
      <c r="AV631" s="540"/>
      <c r="AW631" s="540"/>
      <c r="AX631" s="540"/>
      <c r="AY631" s="540"/>
      <c r="AZ631" s="540"/>
      <c r="BA631" s="540"/>
      <c r="BB631" s="540"/>
      <c r="BC631" s="540"/>
      <c r="BD631" s="540"/>
      <c r="BE631" s="540"/>
      <c r="BF631" s="540"/>
      <c r="BG631" s="540"/>
      <c r="BH631" s="540"/>
      <c r="BI631" s="540"/>
      <c r="BJ631" s="540"/>
      <c r="BK631" s="540"/>
      <c r="BL631" s="540"/>
      <c r="BM631" s="540"/>
      <c r="BN631" s="540"/>
      <c r="BO631" s="540"/>
      <c r="BP631" s="540"/>
      <c r="BQ631" s="540"/>
      <c r="BR631" s="540"/>
      <c r="BS631" s="540"/>
      <c r="BT631" s="540"/>
      <c r="BU631" s="540"/>
      <c r="BV631" s="540"/>
      <c r="BW631" s="540"/>
      <c r="BX631" s="540"/>
      <c r="BY631" s="540"/>
      <c r="BZ631" s="540"/>
      <c r="CA631" s="540"/>
      <c r="CB631" s="540"/>
      <c r="CC631" s="540"/>
      <c r="CD631" s="540"/>
      <c r="CE631" s="540"/>
      <c r="CF631" s="540"/>
      <c r="CG631" s="540"/>
      <c r="CH631" s="540"/>
      <c r="CI631" s="540"/>
      <c r="CJ631" s="540"/>
      <c r="CK631" s="540"/>
      <c r="CL631" s="540"/>
      <c r="CM631" s="540"/>
      <c r="CN631" s="540"/>
      <c r="CO631" s="540"/>
      <c r="CP631" s="540"/>
      <c r="CQ631" s="540"/>
      <c r="CR631" s="540"/>
      <c r="CS631" s="540"/>
      <c r="CT631" s="540"/>
      <c r="CU631" s="540"/>
      <c r="CV631" s="540"/>
      <c r="CW631" s="540"/>
      <c r="CX631" s="540"/>
      <c r="CY631" s="540"/>
      <c r="CZ631" s="540"/>
      <c r="DA631" s="540"/>
      <c r="DB631" s="540"/>
      <c r="DC631" s="540"/>
      <c r="DD631" s="540"/>
      <c r="DE631" s="540"/>
    </row>
    <row r="632" spans="1:109" s="116" customFormat="1" x14ac:dyDescent="0.2">
      <c r="A632" s="435"/>
      <c r="B632" s="435"/>
      <c r="C632" s="435"/>
      <c r="D632" s="435"/>
      <c r="AB632" s="540"/>
      <c r="AU632" s="540"/>
      <c r="AV632" s="540"/>
      <c r="AW632" s="540"/>
      <c r="AX632" s="540"/>
      <c r="AY632" s="540"/>
      <c r="AZ632" s="540"/>
      <c r="BA632" s="540"/>
      <c r="BB632" s="540"/>
      <c r="BC632" s="540"/>
      <c r="BD632" s="540"/>
      <c r="BE632" s="540"/>
      <c r="BF632" s="540"/>
      <c r="BG632" s="540"/>
      <c r="BH632" s="540"/>
      <c r="BI632" s="540"/>
      <c r="BJ632" s="540"/>
      <c r="BK632" s="540"/>
      <c r="BL632" s="540"/>
      <c r="BM632" s="540"/>
      <c r="BN632" s="540"/>
      <c r="BO632" s="540"/>
      <c r="BP632" s="540"/>
      <c r="BQ632" s="540"/>
      <c r="BR632" s="540"/>
      <c r="BS632" s="540"/>
      <c r="BT632" s="540"/>
      <c r="BU632" s="540"/>
      <c r="BV632" s="540"/>
      <c r="BW632" s="540"/>
      <c r="BX632" s="540"/>
      <c r="BY632" s="540"/>
      <c r="BZ632" s="540"/>
      <c r="CA632" s="540"/>
      <c r="CB632" s="540"/>
      <c r="CC632" s="540"/>
      <c r="CD632" s="540"/>
      <c r="CE632" s="540"/>
      <c r="CF632" s="540"/>
      <c r="CG632" s="540"/>
      <c r="CH632" s="540"/>
      <c r="CI632" s="540"/>
      <c r="CJ632" s="540"/>
      <c r="CK632" s="540"/>
      <c r="CL632" s="540"/>
      <c r="CM632" s="540"/>
      <c r="CN632" s="540"/>
      <c r="CO632" s="540"/>
      <c r="CP632" s="540"/>
      <c r="CQ632" s="540"/>
      <c r="CR632" s="540"/>
      <c r="CS632" s="540"/>
      <c r="CT632" s="540"/>
      <c r="CU632" s="540"/>
      <c r="CV632" s="540"/>
      <c r="CW632" s="540"/>
      <c r="CX632" s="540"/>
      <c r="CY632" s="540"/>
      <c r="CZ632" s="540"/>
      <c r="DA632" s="540"/>
      <c r="DB632" s="540"/>
      <c r="DC632" s="540"/>
      <c r="DD632" s="540"/>
      <c r="DE632" s="540"/>
    </row>
    <row r="633" spans="1:109" s="116" customFormat="1" x14ac:dyDescent="0.2">
      <c r="A633" s="435"/>
      <c r="B633" s="435"/>
      <c r="C633" s="435"/>
      <c r="D633" s="435"/>
      <c r="AB633" s="540"/>
      <c r="AU633" s="540"/>
      <c r="AV633" s="540"/>
      <c r="AW633" s="540"/>
      <c r="AX633" s="540"/>
      <c r="AY633" s="540"/>
      <c r="AZ633" s="540"/>
      <c r="BA633" s="540"/>
      <c r="BB633" s="540"/>
      <c r="BC633" s="540"/>
      <c r="BD633" s="540"/>
      <c r="BE633" s="540"/>
      <c r="BF633" s="540"/>
      <c r="BG633" s="540"/>
      <c r="BH633" s="540"/>
      <c r="BI633" s="540"/>
      <c r="BJ633" s="540"/>
      <c r="BK633" s="540"/>
      <c r="BL633" s="540"/>
      <c r="BM633" s="540"/>
      <c r="BN633" s="540"/>
      <c r="BO633" s="540"/>
      <c r="BP633" s="540"/>
      <c r="BQ633" s="540"/>
      <c r="BR633" s="540"/>
      <c r="BS633" s="540"/>
      <c r="BT633" s="540"/>
      <c r="BU633" s="540"/>
      <c r="BV633" s="540"/>
      <c r="BW633" s="540"/>
      <c r="BX633" s="540"/>
      <c r="BY633" s="540"/>
      <c r="BZ633" s="540"/>
      <c r="CA633" s="540"/>
      <c r="CB633" s="540"/>
      <c r="CC633" s="540"/>
      <c r="CD633" s="540"/>
      <c r="CE633" s="540"/>
      <c r="CF633" s="540"/>
      <c r="CG633" s="540"/>
      <c r="CH633" s="540"/>
      <c r="CI633" s="540"/>
      <c r="CJ633" s="540"/>
      <c r="CK633" s="540"/>
      <c r="CL633" s="540"/>
      <c r="CM633" s="540"/>
      <c r="CN633" s="540"/>
      <c r="CO633" s="540"/>
      <c r="CP633" s="540"/>
      <c r="CQ633" s="540"/>
      <c r="CR633" s="540"/>
      <c r="CS633" s="540"/>
      <c r="CT633" s="540"/>
      <c r="CU633" s="540"/>
      <c r="CV633" s="540"/>
      <c r="CW633" s="540"/>
      <c r="CX633" s="540"/>
      <c r="CY633" s="540"/>
      <c r="CZ633" s="540"/>
      <c r="DA633" s="540"/>
      <c r="DB633" s="540"/>
      <c r="DC633" s="540"/>
      <c r="DD633" s="540"/>
      <c r="DE633" s="540"/>
    </row>
    <row r="634" spans="1:109" s="116" customFormat="1" x14ac:dyDescent="0.2">
      <c r="A634" s="435"/>
      <c r="B634" s="435"/>
      <c r="C634" s="435"/>
      <c r="D634" s="435"/>
      <c r="AB634" s="540"/>
      <c r="AU634" s="540"/>
      <c r="AV634" s="540"/>
      <c r="AW634" s="540"/>
      <c r="AX634" s="540"/>
      <c r="AY634" s="540"/>
      <c r="AZ634" s="540"/>
      <c r="BA634" s="540"/>
      <c r="BB634" s="540"/>
      <c r="BC634" s="540"/>
      <c r="BD634" s="540"/>
      <c r="BE634" s="540"/>
      <c r="BF634" s="540"/>
      <c r="BG634" s="540"/>
      <c r="BH634" s="540"/>
      <c r="BI634" s="540"/>
      <c r="BJ634" s="540"/>
      <c r="BK634" s="540"/>
      <c r="BL634" s="540"/>
      <c r="BM634" s="540"/>
      <c r="BN634" s="540"/>
      <c r="BO634" s="540"/>
      <c r="BP634" s="540"/>
      <c r="BQ634" s="540"/>
      <c r="BR634" s="540"/>
      <c r="BS634" s="540"/>
      <c r="BT634" s="540"/>
      <c r="BU634" s="540"/>
      <c r="BV634" s="540"/>
      <c r="BW634" s="540"/>
      <c r="BX634" s="540"/>
      <c r="BY634" s="540"/>
      <c r="BZ634" s="540"/>
      <c r="CA634" s="540"/>
      <c r="CB634" s="540"/>
      <c r="CC634" s="540"/>
      <c r="CD634" s="540"/>
      <c r="CE634" s="540"/>
      <c r="CF634" s="540"/>
      <c r="CG634" s="540"/>
      <c r="CH634" s="540"/>
      <c r="CI634" s="540"/>
      <c r="CJ634" s="540"/>
      <c r="CK634" s="540"/>
      <c r="CL634" s="540"/>
      <c r="CM634" s="540"/>
      <c r="CN634" s="540"/>
      <c r="CO634" s="540"/>
      <c r="CP634" s="540"/>
      <c r="CQ634" s="540"/>
      <c r="CR634" s="540"/>
      <c r="CS634" s="540"/>
      <c r="CT634" s="540"/>
      <c r="CU634" s="540"/>
      <c r="CV634" s="540"/>
      <c r="CW634" s="540"/>
      <c r="CX634" s="540"/>
      <c r="CY634" s="540"/>
      <c r="CZ634" s="540"/>
      <c r="DA634" s="540"/>
      <c r="DB634" s="540"/>
      <c r="DC634" s="540"/>
      <c r="DD634" s="540"/>
      <c r="DE634" s="540"/>
    </row>
    <row r="635" spans="1:109" s="116" customFormat="1" x14ac:dyDescent="0.2">
      <c r="A635" s="435"/>
      <c r="B635" s="435"/>
      <c r="C635" s="435"/>
      <c r="D635" s="435"/>
      <c r="AB635" s="540"/>
      <c r="AU635" s="540"/>
      <c r="AV635" s="540"/>
      <c r="AW635" s="540"/>
      <c r="AX635" s="540"/>
      <c r="AY635" s="540"/>
      <c r="AZ635" s="540"/>
      <c r="BA635" s="540"/>
      <c r="BB635" s="540"/>
      <c r="BC635" s="540"/>
      <c r="BD635" s="540"/>
      <c r="BE635" s="540"/>
      <c r="BF635" s="540"/>
      <c r="BG635" s="540"/>
      <c r="BH635" s="540"/>
      <c r="BI635" s="540"/>
      <c r="BJ635" s="540"/>
      <c r="BK635" s="540"/>
      <c r="BL635" s="540"/>
      <c r="BM635" s="540"/>
      <c r="BN635" s="540"/>
      <c r="BO635" s="540"/>
      <c r="BP635" s="540"/>
      <c r="BQ635" s="540"/>
      <c r="BR635" s="540"/>
      <c r="BS635" s="540"/>
      <c r="BT635" s="540"/>
      <c r="BU635" s="540"/>
      <c r="BV635" s="540"/>
      <c r="BW635" s="540"/>
      <c r="BX635" s="540"/>
      <c r="BY635" s="540"/>
      <c r="BZ635" s="540"/>
      <c r="CA635" s="540"/>
      <c r="CB635" s="540"/>
      <c r="CC635" s="540"/>
      <c r="CD635" s="540"/>
      <c r="CE635" s="540"/>
      <c r="CF635" s="540"/>
      <c r="CG635" s="540"/>
      <c r="CH635" s="540"/>
      <c r="CI635" s="540"/>
      <c r="CJ635" s="540"/>
      <c r="CK635" s="540"/>
      <c r="CL635" s="540"/>
      <c r="CM635" s="540"/>
      <c r="CN635" s="540"/>
      <c r="CO635" s="540"/>
      <c r="CP635" s="540"/>
      <c r="CQ635" s="540"/>
      <c r="CR635" s="540"/>
      <c r="CS635" s="540"/>
      <c r="CT635" s="540"/>
      <c r="CU635" s="540"/>
      <c r="CV635" s="540"/>
      <c r="CW635" s="540"/>
      <c r="CX635" s="540"/>
      <c r="CY635" s="540"/>
      <c r="CZ635" s="540"/>
      <c r="DA635" s="540"/>
      <c r="DB635" s="540"/>
      <c r="DC635" s="540"/>
      <c r="DD635" s="540"/>
      <c r="DE635" s="540"/>
    </row>
    <row r="636" spans="1:109" s="116" customFormat="1" x14ac:dyDescent="0.2">
      <c r="A636" s="435"/>
      <c r="B636" s="435"/>
      <c r="C636" s="435"/>
      <c r="D636" s="435"/>
      <c r="AB636" s="540"/>
      <c r="AU636" s="540"/>
      <c r="AV636" s="540"/>
      <c r="AW636" s="540"/>
      <c r="AX636" s="540"/>
      <c r="AY636" s="540"/>
      <c r="AZ636" s="540"/>
      <c r="BA636" s="540"/>
      <c r="BB636" s="540"/>
      <c r="BC636" s="540"/>
      <c r="BD636" s="540"/>
      <c r="BE636" s="540"/>
      <c r="BF636" s="540"/>
      <c r="BG636" s="540"/>
      <c r="BH636" s="540"/>
      <c r="BI636" s="540"/>
      <c r="BJ636" s="540"/>
      <c r="BK636" s="540"/>
      <c r="BL636" s="540"/>
      <c r="BM636" s="540"/>
      <c r="BN636" s="540"/>
      <c r="BO636" s="540"/>
      <c r="BP636" s="540"/>
      <c r="BQ636" s="540"/>
      <c r="BR636" s="540"/>
      <c r="BS636" s="540"/>
      <c r="BT636" s="540"/>
      <c r="BU636" s="540"/>
      <c r="BV636" s="540"/>
      <c r="BW636" s="540"/>
      <c r="BX636" s="540"/>
      <c r="BY636" s="540"/>
      <c r="BZ636" s="540"/>
      <c r="CA636" s="540"/>
      <c r="CB636" s="540"/>
      <c r="CC636" s="540"/>
      <c r="CD636" s="540"/>
      <c r="CE636" s="540"/>
      <c r="CF636" s="540"/>
      <c r="CG636" s="540"/>
      <c r="CH636" s="540"/>
      <c r="CI636" s="540"/>
      <c r="CJ636" s="540"/>
      <c r="CK636" s="540"/>
      <c r="CL636" s="540"/>
      <c r="CM636" s="540"/>
      <c r="CN636" s="540"/>
      <c r="CO636" s="540"/>
      <c r="CP636" s="540"/>
      <c r="CQ636" s="540"/>
      <c r="CR636" s="540"/>
      <c r="CS636" s="540"/>
      <c r="CT636" s="540"/>
      <c r="CU636" s="540"/>
      <c r="CV636" s="540"/>
      <c r="CW636" s="540"/>
      <c r="CX636" s="540"/>
      <c r="CY636" s="540"/>
      <c r="CZ636" s="540"/>
      <c r="DA636" s="540"/>
      <c r="DB636" s="540"/>
      <c r="DC636" s="540"/>
      <c r="DD636" s="540"/>
      <c r="DE636" s="540"/>
    </row>
    <row r="637" spans="1:109" s="116" customFormat="1" x14ac:dyDescent="0.2">
      <c r="A637" s="435"/>
      <c r="B637" s="435"/>
      <c r="C637" s="435"/>
      <c r="D637" s="435"/>
      <c r="AB637" s="540"/>
      <c r="AU637" s="540"/>
      <c r="AV637" s="540"/>
      <c r="AW637" s="540"/>
      <c r="AX637" s="540"/>
      <c r="AY637" s="540"/>
      <c r="AZ637" s="540"/>
      <c r="BA637" s="540"/>
      <c r="BB637" s="540"/>
      <c r="BC637" s="540"/>
      <c r="BD637" s="540"/>
      <c r="BE637" s="540"/>
      <c r="BF637" s="540"/>
      <c r="BG637" s="540"/>
      <c r="BH637" s="540"/>
      <c r="BI637" s="540"/>
      <c r="BJ637" s="540"/>
      <c r="BK637" s="540"/>
      <c r="BL637" s="540"/>
      <c r="BM637" s="540"/>
      <c r="BN637" s="540"/>
      <c r="BO637" s="540"/>
      <c r="BP637" s="540"/>
      <c r="BQ637" s="540"/>
      <c r="BR637" s="540"/>
      <c r="BS637" s="540"/>
      <c r="BT637" s="540"/>
      <c r="BU637" s="540"/>
      <c r="BV637" s="540"/>
      <c r="BW637" s="540"/>
      <c r="BX637" s="540"/>
      <c r="BY637" s="540"/>
      <c r="BZ637" s="540"/>
      <c r="CA637" s="540"/>
      <c r="CB637" s="540"/>
      <c r="CC637" s="540"/>
      <c r="CD637" s="540"/>
      <c r="CE637" s="540"/>
      <c r="CF637" s="540"/>
      <c r="CG637" s="540"/>
      <c r="CH637" s="540"/>
      <c r="CI637" s="540"/>
      <c r="CJ637" s="540"/>
      <c r="CK637" s="540"/>
      <c r="CL637" s="540"/>
      <c r="CM637" s="540"/>
      <c r="CN637" s="540"/>
      <c r="CO637" s="540"/>
      <c r="CP637" s="540"/>
      <c r="CQ637" s="540"/>
      <c r="CR637" s="540"/>
      <c r="CS637" s="540"/>
      <c r="CT637" s="540"/>
      <c r="CU637" s="540"/>
      <c r="CV637" s="540"/>
      <c r="CW637" s="540"/>
      <c r="CX637" s="540"/>
      <c r="CY637" s="540"/>
      <c r="CZ637" s="540"/>
      <c r="DA637" s="540"/>
      <c r="DB637" s="540"/>
      <c r="DC637" s="540"/>
      <c r="DD637" s="540"/>
      <c r="DE637" s="540"/>
    </row>
    <row r="638" spans="1:109" s="116" customFormat="1" x14ac:dyDescent="0.2">
      <c r="A638" s="435"/>
      <c r="B638" s="435"/>
      <c r="C638" s="435"/>
      <c r="D638" s="435"/>
      <c r="AB638" s="540"/>
      <c r="AU638" s="540"/>
      <c r="AV638" s="540"/>
      <c r="AW638" s="540"/>
      <c r="AX638" s="540"/>
      <c r="AY638" s="540"/>
      <c r="AZ638" s="540"/>
      <c r="BA638" s="540"/>
      <c r="BB638" s="540"/>
      <c r="BC638" s="540"/>
      <c r="BD638" s="540"/>
      <c r="BE638" s="540"/>
      <c r="BF638" s="540"/>
      <c r="BG638" s="540"/>
      <c r="BH638" s="540"/>
      <c r="BI638" s="540"/>
      <c r="BJ638" s="540"/>
      <c r="BK638" s="540"/>
      <c r="BL638" s="540"/>
      <c r="BM638" s="540"/>
      <c r="BN638" s="540"/>
      <c r="BO638" s="540"/>
      <c r="BP638" s="540"/>
      <c r="BQ638" s="540"/>
      <c r="BR638" s="540"/>
      <c r="BS638" s="540"/>
      <c r="BT638" s="540"/>
      <c r="BU638" s="540"/>
      <c r="BV638" s="540"/>
      <c r="BW638" s="540"/>
      <c r="BX638" s="540"/>
      <c r="BY638" s="540"/>
      <c r="BZ638" s="540"/>
      <c r="CA638" s="540"/>
      <c r="CB638" s="540"/>
      <c r="CC638" s="540"/>
      <c r="CD638" s="540"/>
      <c r="CE638" s="540"/>
      <c r="CF638" s="540"/>
      <c r="CG638" s="540"/>
      <c r="CH638" s="540"/>
      <c r="CI638" s="540"/>
      <c r="CJ638" s="540"/>
      <c r="CK638" s="540"/>
      <c r="CL638" s="540"/>
      <c r="CM638" s="540"/>
      <c r="CN638" s="540"/>
      <c r="CO638" s="540"/>
      <c r="CP638" s="540"/>
      <c r="CQ638" s="540"/>
      <c r="CR638" s="540"/>
      <c r="CS638" s="540"/>
      <c r="CT638" s="540"/>
      <c r="CU638" s="540"/>
      <c r="CV638" s="540"/>
      <c r="CW638" s="540"/>
      <c r="CX638" s="540"/>
      <c r="CY638" s="540"/>
      <c r="CZ638" s="540"/>
      <c r="DA638" s="540"/>
      <c r="DB638" s="540"/>
      <c r="DC638" s="540"/>
      <c r="DD638" s="540"/>
      <c r="DE638" s="540"/>
    </row>
    <row r="639" spans="1:109" s="116" customFormat="1" x14ac:dyDescent="0.2">
      <c r="A639" s="435"/>
      <c r="B639" s="435"/>
      <c r="C639" s="435"/>
      <c r="D639" s="435"/>
      <c r="AB639" s="540"/>
      <c r="AU639" s="540"/>
      <c r="AV639" s="540"/>
      <c r="AW639" s="540"/>
      <c r="AX639" s="540"/>
      <c r="AY639" s="540"/>
      <c r="AZ639" s="540"/>
      <c r="BA639" s="540"/>
      <c r="BB639" s="540"/>
      <c r="BC639" s="540"/>
      <c r="BD639" s="540"/>
      <c r="BE639" s="540"/>
      <c r="BF639" s="540"/>
      <c r="BG639" s="540"/>
      <c r="BH639" s="540"/>
      <c r="BI639" s="540"/>
      <c r="BJ639" s="540"/>
      <c r="BK639" s="540"/>
      <c r="BL639" s="540"/>
      <c r="BM639" s="540"/>
      <c r="BN639" s="540"/>
      <c r="BO639" s="540"/>
      <c r="BP639" s="540"/>
      <c r="BQ639" s="540"/>
      <c r="BR639" s="540"/>
      <c r="BS639" s="540"/>
      <c r="BT639" s="540"/>
      <c r="BU639" s="540"/>
      <c r="BV639" s="540"/>
      <c r="BW639" s="540"/>
      <c r="BX639" s="540"/>
      <c r="BY639" s="540"/>
      <c r="BZ639" s="540"/>
      <c r="CA639" s="540"/>
      <c r="CB639" s="540"/>
      <c r="CC639" s="540"/>
      <c r="CD639" s="540"/>
      <c r="CE639" s="540"/>
      <c r="CF639" s="540"/>
      <c r="CG639" s="540"/>
      <c r="CH639" s="540"/>
      <c r="CI639" s="540"/>
      <c r="CJ639" s="540"/>
      <c r="CK639" s="540"/>
      <c r="CL639" s="540"/>
      <c r="CM639" s="540"/>
      <c r="CN639" s="540"/>
      <c r="CO639" s="540"/>
      <c r="CP639" s="540"/>
      <c r="CQ639" s="540"/>
      <c r="CR639" s="540"/>
      <c r="CS639" s="540"/>
      <c r="CT639" s="540"/>
      <c r="CU639" s="540"/>
      <c r="CV639" s="540"/>
      <c r="CW639" s="540"/>
      <c r="CX639" s="540"/>
      <c r="CY639" s="540"/>
      <c r="CZ639" s="540"/>
      <c r="DA639" s="540"/>
      <c r="DB639" s="540"/>
      <c r="DC639" s="540"/>
      <c r="DD639" s="540"/>
      <c r="DE639" s="540"/>
    </row>
    <row r="640" spans="1:109" s="116" customFormat="1" x14ac:dyDescent="0.2">
      <c r="A640" s="435"/>
      <c r="B640" s="435"/>
      <c r="C640" s="435"/>
      <c r="D640" s="435"/>
      <c r="AB640" s="540"/>
      <c r="AU640" s="540"/>
      <c r="AV640" s="540"/>
      <c r="AW640" s="540"/>
      <c r="AX640" s="540"/>
      <c r="AY640" s="540"/>
      <c r="AZ640" s="540"/>
      <c r="BA640" s="540"/>
      <c r="BB640" s="540"/>
      <c r="BC640" s="540"/>
      <c r="BD640" s="540"/>
      <c r="BE640" s="540"/>
      <c r="BF640" s="540"/>
      <c r="BG640" s="540"/>
      <c r="BH640" s="540"/>
      <c r="BI640" s="540"/>
      <c r="BJ640" s="540"/>
      <c r="BK640" s="540"/>
      <c r="BL640" s="540"/>
      <c r="BM640" s="540"/>
      <c r="BN640" s="540"/>
      <c r="BO640" s="540"/>
      <c r="BP640" s="540"/>
      <c r="BQ640" s="540"/>
      <c r="BR640" s="540"/>
      <c r="BS640" s="540"/>
      <c r="BT640" s="540"/>
      <c r="BU640" s="540"/>
      <c r="BV640" s="540"/>
      <c r="BW640" s="540"/>
      <c r="BX640" s="540"/>
      <c r="BY640" s="540"/>
      <c r="BZ640" s="540"/>
      <c r="CA640" s="540"/>
      <c r="CB640" s="540"/>
      <c r="CC640" s="540"/>
      <c r="CD640" s="540"/>
      <c r="CE640" s="540"/>
      <c r="CF640" s="540"/>
      <c r="CG640" s="540"/>
      <c r="CH640" s="540"/>
      <c r="CI640" s="540"/>
      <c r="CJ640" s="540"/>
      <c r="CK640" s="540"/>
      <c r="CL640" s="540"/>
      <c r="CM640" s="540"/>
      <c r="CN640" s="540"/>
      <c r="CO640" s="540"/>
      <c r="CP640" s="540"/>
      <c r="CQ640" s="540"/>
      <c r="CR640" s="540"/>
      <c r="CS640" s="540"/>
      <c r="CT640" s="540"/>
      <c r="CU640" s="540"/>
      <c r="CV640" s="540"/>
      <c r="CW640" s="540"/>
      <c r="CX640" s="540"/>
      <c r="CY640" s="540"/>
      <c r="CZ640" s="540"/>
      <c r="DA640" s="540"/>
      <c r="DB640" s="540"/>
      <c r="DC640" s="540"/>
      <c r="DD640" s="540"/>
      <c r="DE640" s="540"/>
    </row>
    <row r="641" spans="1:109" s="116" customFormat="1" x14ac:dyDescent="0.2">
      <c r="A641" s="435"/>
      <c r="B641" s="435"/>
      <c r="C641" s="435"/>
      <c r="D641" s="435"/>
      <c r="AB641" s="540"/>
      <c r="AU641" s="540"/>
      <c r="AV641" s="540"/>
      <c r="AW641" s="540"/>
      <c r="AX641" s="540"/>
      <c r="AY641" s="540"/>
      <c r="AZ641" s="540"/>
      <c r="BA641" s="540"/>
      <c r="BB641" s="540"/>
      <c r="BC641" s="540"/>
      <c r="BD641" s="540"/>
      <c r="BE641" s="540"/>
      <c r="BF641" s="540"/>
      <c r="BG641" s="540"/>
      <c r="BH641" s="540"/>
      <c r="BI641" s="540"/>
      <c r="BJ641" s="540"/>
      <c r="BK641" s="540"/>
      <c r="BL641" s="540"/>
      <c r="BM641" s="540"/>
      <c r="BN641" s="540"/>
      <c r="BO641" s="540"/>
      <c r="BP641" s="540"/>
      <c r="BQ641" s="540"/>
      <c r="BR641" s="540"/>
      <c r="BS641" s="540"/>
      <c r="BT641" s="540"/>
      <c r="BU641" s="540"/>
      <c r="BV641" s="540"/>
      <c r="BW641" s="540"/>
      <c r="BX641" s="540"/>
      <c r="BY641" s="540"/>
      <c r="BZ641" s="540"/>
      <c r="CA641" s="540"/>
      <c r="CB641" s="540"/>
      <c r="CC641" s="540"/>
      <c r="CD641" s="540"/>
      <c r="CE641" s="540"/>
      <c r="CF641" s="540"/>
      <c r="CG641" s="540"/>
      <c r="CH641" s="540"/>
      <c r="CI641" s="540"/>
      <c r="CJ641" s="540"/>
      <c r="CK641" s="540"/>
      <c r="CL641" s="540"/>
      <c r="CM641" s="540"/>
      <c r="CN641" s="540"/>
      <c r="CO641" s="540"/>
      <c r="CP641" s="540"/>
      <c r="CQ641" s="540"/>
      <c r="CR641" s="540"/>
      <c r="CS641" s="540"/>
      <c r="CT641" s="540"/>
      <c r="CU641" s="540"/>
      <c r="CV641" s="540"/>
      <c r="CW641" s="540"/>
      <c r="CX641" s="540"/>
      <c r="CY641" s="540"/>
      <c r="CZ641" s="540"/>
      <c r="DA641" s="540"/>
      <c r="DB641" s="540"/>
      <c r="DC641" s="540"/>
      <c r="DD641" s="540"/>
      <c r="DE641" s="540"/>
    </row>
    <row r="642" spans="1:109" s="116" customFormat="1" x14ac:dyDescent="0.2">
      <c r="A642" s="435"/>
      <c r="B642" s="435"/>
      <c r="C642" s="435"/>
      <c r="D642" s="435"/>
      <c r="AB642" s="540"/>
      <c r="AU642" s="540"/>
      <c r="AV642" s="540"/>
      <c r="AW642" s="540"/>
      <c r="AX642" s="540"/>
      <c r="AY642" s="540"/>
      <c r="AZ642" s="540"/>
      <c r="BA642" s="540"/>
      <c r="BB642" s="540"/>
      <c r="BC642" s="540"/>
      <c r="BD642" s="540"/>
      <c r="BE642" s="540"/>
      <c r="BF642" s="540"/>
      <c r="BG642" s="540"/>
      <c r="BH642" s="540"/>
      <c r="BI642" s="540"/>
      <c r="BJ642" s="540"/>
      <c r="BK642" s="540"/>
      <c r="BL642" s="540"/>
      <c r="BM642" s="540"/>
      <c r="BN642" s="540"/>
      <c r="BO642" s="540"/>
      <c r="BP642" s="540"/>
      <c r="BQ642" s="540"/>
      <c r="BR642" s="540"/>
      <c r="BS642" s="540"/>
      <c r="BT642" s="540"/>
      <c r="BU642" s="540"/>
      <c r="BV642" s="540"/>
      <c r="BW642" s="540"/>
      <c r="BX642" s="540"/>
      <c r="BY642" s="540"/>
      <c r="BZ642" s="540"/>
      <c r="CA642" s="540"/>
      <c r="CB642" s="540"/>
      <c r="CC642" s="540"/>
      <c r="CD642" s="540"/>
      <c r="CE642" s="540"/>
      <c r="CF642" s="540"/>
      <c r="CG642" s="540"/>
      <c r="CH642" s="540"/>
      <c r="CI642" s="540"/>
      <c r="CJ642" s="540"/>
      <c r="CK642" s="540"/>
      <c r="CL642" s="540"/>
      <c r="CM642" s="540"/>
      <c r="CN642" s="540"/>
      <c r="CO642" s="540"/>
      <c r="CP642" s="540"/>
      <c r="CQ642" s="540"/>
      <c r="CR642" s="540"/>
      <c r="CS642" s="540"/>
      <c r="CT642" s="540"/>
      <c r="CU642" s="540"/>
      <c r="CV642" s="540"/>
      <c r="CW642" s="540"/>
      <c r="CX642" s="540"/>
      <c r="CY642" s="540"/>
      <c r="CZ642" s="540"/>
      <c r="DA642" s="540"/>
      <c r="DB642" s="540"/>
      <c r="DC642" s="540"/>
      <c r="DD642" s="540"/>
      <c r="DE642" s="540"/>
    </row>
    <row r="643" spans="1:109" s="116" customFormat="1" x14ac:dyDescent="0.2">
      <c r="A643" s="435"/>
      <c r="B643" s="435"/>
      <c r="C643" s="435"/>
      <c r="D643" s="435"/>
      <c r="AB643" s="540"/>
      <c r="AU643" s="540"/>
      <c r="AV643" s="540"/>
      <c r="AW643" s="540"/>
      <c r="AX643" s="540"/>
      <c r="AY643" s="540"/>
      <c r="AZ643" s="540"/>
      <c r="BA643" s="540"/>
      <c r="BB643" s="540"/>
      <c r="BC643" s="540"/>
      <c r="BD643" s="540"/>
      <c r="BE643" s="540"/>
      <c r="BF643" s="540"/>
      <c r="BG643" s="540"/>
      <c r="BH643" s="540"/>
      <c r="BI643" s="540"/>
      <c r="BJ643" s="540"/>
      <c r="BK643" s="540"/>
      <c r="BL643" s="540"/>
      <c r="BM643" s="540"/>
      <c r="BN643" s="540"/>
      <c r="BO643" s="540"/>
      <c r="BP643" s="540"/>
      <c r="BQ643" s="540"/>
      <c r="BR643" s="540"/>
      <c r="BS643" s="540"/>
      <c r="BT643" s="540"/>
      <c r="BU643" s="540"/>
      <c r="BV643" s="540"/>
      <c r="BW643" s="540"/>
      <c r="BX643" s="540"/>
      <c r="BY643" s="540"/>
      <c r="BZ643" s="540"/>
      <c r="CA643" s="540"/>
      <c r="CB643" s="540"/>
      <c r="CC643" s="540"/>
      <c r="CD643" s="540"/>
      <c r="CE643" s="540"/>
      <c r="CF643" s="540"/>
      <c r="CG643" s="540"/>
      <c r="CH643" s="540"/>
      <c r="CI643" s="540"/>
      <c r="CJ643" s="540"/>
      <c r="CK643" s="540"/>
      <c r="CL643" s="540"/>
      <c r="CM643" s="540"/>
      <c r="CN643" s="540"/>
      <c r="CO643" s="540"/>
      <c r="CP643" s="540"/>
      <c r="CQ643" s="540"/>
      <c r="CR643" s="540"/>
      <c r="CS643" s="540"/>
      <c r="CT643" s="540"/>
      <c r="CU643" s="540"/>
      <c r="CV643" s="540"/>
      <c r="CW643" s="540"/>
      <c r="CX643" s="540"/>
      <c r="CY643" s="540"/>
      <c r="CZ643" s="540"/>
      <c r="DA643" s="540"/>
      <c r="DB643" s="540"/>
      <c r="DC643" s="540"/>
      <c r="DD643" s="540"/>
      <c r="DE643" s="540"/>
    </row>
    <row r="644" spans="1:109" s="116" customFormat="1" x14ac:dyDescent="0.2">
      <c r="A644" s="435"/>
      <c r="B644" s="435"/>
      <c r="C644" s="435"/>
      <c r="D644" s="435"/>
      <c r="AB644" s="540"/>
      <c r="AU644" s="540"/>
      <c r="AV644" s="540"/>
      <c r="AW644" s="540"/>
      <c r="AX644" s="540"/>
      <c r="AY644" s="540"/>
      <c r="AZ644" s="540"/>
      <c r="BA644" s="540"/>
      <c r="BB644" s="540"/>
      <c r="BC644" s="540"/>
      <c r="BD644" s="540"/>
      <c r="BE644" s="540"/>
      <c r="BF644" s="540"/>
      <c r="BG644" s="540"/>
      <c r="BH644" s="540"/>
      <c r="BI644" s="540"/>
      <c r="BJ644" s="540"/>
      <c r="BK644" s="540"/>
      <c r="BL644" s="540"/>
      <c r="BM644" s="540"/>
      <c r="BN644" s="540"/>
      <c r="BO644" s="540"/>
      <c r="BP644" s="540"/>
      <c r="BQ644" s="540"/>
      <c r="BR644" s="540"/>
      <c r="BS644" s="540"/>
      <c r="BT644" s="540"/>
      <c r="BU644" s="540"/>
      <c r="BV644" s="540"/>
      <c r="BW644" s="540"/>
      <c r="BX644" s="540"/>
      <c r="BY644" s="540"/>
      <c r="BZ644" s="540"/>
      <c r="CA644" s="540"/>
      <c r="CB644" s="540"/>
      <c r="CC644" s="540"/>
      <c r="CD644" s="540"/>
      <c r="CE644" s="540"/>
      <c r="CF644" s="540"/>
      <c r="CG644" s="540"/>
      <c r="CH644" s="540"/>
      <c r="CI644" s="540"/>
      <c r="CJ644" s="540"/>
      <c r="CK644" s="540"/>
      <c r="CL644" s="540"/>
      <c r="CM644" s="540"/>
      <c r="CN644" s="540"/>
      <c r="CO644" s="540"/>
      <c r="CP644" s="540"/>
      <c r="CQ644" s="540"/>
      <c r="CR644" s="540"/>
      <c r="CS644" s="540"/>
      <c r="CT644" s="540"/>
      <c r="CU644" s="540"/>
      <c r="CV644" s="540"/>
      <c r="CW644" s="540"/>
      <c r="CX644" s="540"/>
      <c r="CY644" s="540"/>
      <c r="CZ644" s="540"/>
      <c r="DA644" s="540"/>
      <c r="DB644" s="540"/>
      <c r="DC644" s="540"/>
      <c r="DD644" s="540"/>
      <c r="DE644" s="540"/>
    </row>
    <row r="645" spans="1:109" s="116" customFormat="1" x14ac:dyDescent="0.2">
      <c r="A645" s="435"/>
      <c r="B645" s="435"/>
      <c r="C645" s="435"/>
      <c r="D645" s="435"/>
      <c r="AB645" s="540"/>
      <c r="AU645" s="540"/>
      <c r="AV645" s="540"/>
      <c r="AW645" s="540"/>
      <c r="AX645" s="540"/>
      <c r="AY645" s="540"/>
      <c r="AZ645" s="540"/>
      <c r="BA645" s="540"/>
      <c r="BB645" s="540"/>
      <c r="BC645" s="540"/>
      <c r="BD645" s="540"/>
      <c r="BE645" s="540"/>
      <c r="BF645" s="540"/>
      <c r="BG645" s="540"/>
      <c r="BH645" s="540"/>
      <c r="BI645" s="540"/>
      <c r="BJ645" s="540"/>
      <c r="BK645" s="540"/>
      <c r="BL645" s="540"/>
      <c r="BM645" s="540"/>
      <c r="BN645" s="540"/>
      <c r="BO645" s="540"/>
      <c r="BP645" s="540"/>
      <c r="BQ645" s="540"/>
      <c r="BR645" s="540"/>
      <c r="BS645" s="540"/>
      <c r="BT645" s="540"/>
      <c r="BU645" s="540"/>
      <c r="BV645" s="540"/>
      <c r="BW645" s="540"/>
      <c r="BX645" s="540"/>
      <c r="BY645" s="540"/>
      <c r="BZ645" s="540"/>
      <c r="CA645" s="540"/>
      <c r="CB645" s="540"/>
      <c r="CC645" s="540"/>
      <c r="CD645" s="540"/>
      <c r="CE645" s="540"/>
      <c r="CF645" s="540"/>
      <c r="CG645" s="540"/>
      <c r="CH645" s="540"/>
      <c r="CI645" s="540"/>
      <c r="CJ645" s="540"/>
      <c r="CK645" s="540"/>
      <c r="CL645" s="540"/>
      <c r="CM645" s="540"/>
      <c r="CN645" s="540"/>
      <c r="CO645" s="540"/>
      <c r="CP645" s="540"/>
      <c r="CQ645" s="540"/>
      <c r="CR645" s="540"/>
      <c r="CS645" s="540"/>
      <c r="CT645" s="540"/>
      <c r="CU645" s="540"/>
      <c r="CV645" s="540"/>
      <c r="CW645" s="540"/>
      <c r="CX645" s="540"/>
      <c r="CY645" s="540"/>
      <c r="CZ645" s="540"/>
      <c r="DA645" s="540"/>
      <c r="DB645" s="540"/>
      <c r="DC645" s="540"/>
      <c r="DD645" s="540"/>
      <c r="DE645" s="540"/>
    </row>
    <row r="646" spans="1:109" s="116" customFormat="1" x14ac:dyDescent="0.2">
      <c r="A646" s="435"/>
      <c r="B646" s="435"/>
      <c r="C646" s="435"/>
      <c r="D646" s="435"/>
      <c r="AB646" s="540"/>
      <c r="AU646" s="540"/>
      <c r="AV646" s="540"/>
      <c r="AW646" s="540"/>
      <c r="AX646" s="540"/>
      <c r="AY646" s="540"/>
      <c r="AZ646" s="540"/>
      <c r="BA646" s="540"/>
      <c r="BB646" s="540"/>
      <c r="BC646" s="540"/>
      <c r="BD646" s="540"/>
      <c r="BE646" s="540"/>
      <c r="BF646" s="540"/>
      <c r="BG646" s="540"/>
      <c r="BH646" s="540"/>
      <c r="BI646" s="540"/>
      <c r="BJ646" s="540"/>
      <c r="BK646" s="540"/>
      <c r="BL646" s="540"/>
      <c r="BM646" s="540"/>
      <c r="BN646" s="540"/>
      <c r="BO646" s="540"/>
      <c r="BP646" s="540"/>
      <c r="BQ646" s="540"/>
      <c r="BR646" s="540"/>
      <c r="BS646" s="540"/>
      <c r="BT646" s="540"/>
      <c r="BU646" s="540"/>
      <c r="BV646" s="540"/>
      <c r="BW646" s="540"/>
      <c r="BX646" s="540"/>
      <c r="BY646" s="540"/>
      <c r="BZ646" s="540"/>
      <c r="CA646" s="540"/>
      <c r="CB646" s="540"/>
      <c r="CC646" s="540"/>
      <c r="CD646" s="540"/>
      <c r="CE646" s="540"/>
      <c r="CF646" s="540"/>
      <c r="CG646" s="540"/>
      <c r="CH646" s="540"/>
      <c r="CI646" s="540"/>
      <c r="CJ646" s="540"/>
      <c r="CK646" s="540"/>
      <c r="CL646" s="540"/>
      <c r="CM646" s="540"/>
      <c r="CN646" s="540"/>
      <c r="CO646" s="540"/>
      <c r="CP646" s="540"/>
      <c r="CQ646" s="540"/>
      <c r="CR646" s="540"/>
      <c r="CS646" s="540"/>
      <c r="CT646" s="540"/>
      <c r="CU646" s="540"/>
      <c r="CV646" s="540"/>
      <c r="CW646" s="540"/>
      <c r="CX646" s="540"/>
      <c r="CY646" s="540"/>
      <c r="CZ646" s="540"/>
      <c r="DA646" s="540"/>
      <c r="DB646" s="540"/>
      <c r="DC646" s="540"/>
      <c r="DD646" s="540"/>
      <c r="DE646" s="540"/>
    </row>
    <row r="647" spans="1:109" s="116" customFormat="1" x14ac:dyDescent="0.2">
      <c r="A647" s="435"/>
      <c r="B647" s="435"/>
      <c r="C647" s="435"/>
      <c r="D647" s="435"/>
      <c r="AB647" s="540"/>
      <c r="AU647" s="540"/>
      <c r="AV647" s="540"/>
      <c r="AW647" s="540"/>
      <c r="AX647" s="540"/>
      <c r="AY647" s="540"/>
      <c r="AZ647" s="540"/>
      <c r="BA647" s="540"/>
      <c r="BB647" s="540"/>
      <c r="BC647" s="540"/>
      <c r="BD647" s="540"/>
      <c r="BE647" s="540"/>
      <c r="BF647" s="540"/>
      <c r="BG647" s="540"/>
      <c r="BH647" s="540"/>
      <c r="BI647" s="540"/>
      <c r="BJ647" s="540"/>
      <c r="BK647" s="540"/>
      <c r="BL647" s="540"/>
      <c r="BM647" s="540"/>
      <c r="BN647" s="540"/>
      <c r="BO647" s="540"/>
      <c r="BP647" s="540"/>
      <c r="BQ647" s="540"/>
      <c r="BR647" s="540"/>
      <c r="BS647" s="540"/>
      <c r="BT647" s="540"/>
      <c r="BU647" s="540"/>
      <c r="BV647" s="540"/>
      <c r="BW647" s="540"/>
      <c r="BX647" s="540"/>
      <c r="BY647" s="540"/>
      <c r="BZ647" s="540"/>
      <c r="CA647" s="540"/>
      <c r="CB647" s="540"/>
      <c r="CC647" s="540"/>
      <c r="CD647" s="540"/>
      <c r="CE647" s="540"/>
      <c r="CF647" s="540"/>
      <c r="CG647" s="540"/>
      <c r="CH647" s="540"/>
      <c r="CI647" s="540"/>
      <c r="CJ647" s="540"/>
      <c r="CK647" s="540"/>
      <c r="CL647" s="540"/>
      <c r="CM647" s="540"/>
      <c r="CN647" s="540"/>
      <c r="CO647" s="540"/>
      <c r="CP647" s="540"/>
      <c r="CQ647" s="540"/>
      <c r="CR647" s="540"/>
      <c r="CS647" s="540"/>
      <c r="CT647" s="540"/>
      <c r="CU647" s="540"/>
      <c r="CV647" s="540"/>
      <c r="CW647" s="540"/>
      <c r="CX647" s="540"/>
      <c r="CY647" s="540"/>
      <c r="CZ647" s="540"/>
      <c r="DA647" s="540"/>
      <c r="DB647" s="540"/>
      <c r="DC647" s="540"/>
      <c r="DD647" s="540"/>
      <c r="DE647" s="540"/>
    </row>
    <row r="648" spans="1:109" s="116" customFormat="1" x14ac:dyDescent="0.2">
      <c r="A648" s="435"/>
      <c r="B648" s="435"/>
      <c r="C648" s="435"/>
      <c r="D648" s="435"/>
      <c r="AB648" s="540"/>
      <c r="AU648" s="540"/>
      <c r="AV648" s="540"/>
      <c r="AW648" s="540"/>
      <c r="AX648" s="540"/>
      <c r="AY648" s="540"/>
      <c r="AZ648" s="540"/>
      <c r="BA648" s="540"/>
      <c r="BB648" s="540"/>
      <c r="BC648" s="540"/>
      <c r="BD648" s="540"/>
      <c r="BE648" s="540"/>
      <c r="BF648" s="540"/>
      <c r="BG648" s="540"/>
      <c r="BH648" s="540"/>
      <c r="BI648" s="540"/>
      <c r="BJ648" s="540"/>
      <c r="BK648" s="540"/>
      <c r="BL648" s="540"/>
      <c r="BM648" s="540"/>
      <c r="BN648" s="540"/>
      <c r="BO648" s="540"/>
      <c r="BP648" s="540"/>
      <c r="BQ648" s="540"/>
      <c r="BR648" s="540"/>
      <c r="BS648" s="540"/>
      <c r="BT648" s="540"/>
      <c r="BU648" s="540"/>
      <c r="BV648" s="540"/>
      <c r="BW648" s="540"/>
      <c r="BX648" s="540"/>
      <c r="BY648" s="540"/>
      <c r="BZ648" s="540"/>
      <c r="CA648" s="540"/>
      <c r="CB648" s="540"/>
      <c r="CC648" s="540"/>
      <c r="CD648" s="540"/>
      <c r="CE648" s="540"/>
      <c r="CF648" s="540"/>
      <c r="CG648" s="540"/>
      <c r="CH648" s="540"/>
      <c r="CI648" s="540"/>
      <c r="CJ648" s="540"/>
      <c r="CK648" s="540"/>
      <c r="CL648" s="540"/>
      <c r="CM648" s="540"/>
      <c r="CN648" s="540"/>
      <c r="CO648" s="540"/>
      <c r="CP648" s="540"/>
      <c r="CQ648" s="540"/>
      <c r="CR648" s="540"/>
      <c r="CS648" s="540"/>
      <c r="CT648" s="540"/>
      <c r="CU648" s="540"/>
      <c r="CV648" s="540"/>
      <c r="CW648" s="540"/>
      <c r="CX648" s="540"/>
      <c r="CY648" s="540"/>
      <c r="CZ648" s="540"/>
      <c r="DA648" s="540"/>
      <c r="DB648" s="540"/>
      <c r="DC648" s="540"/>
      <c r="DD648" s="540"/>
      <c r="DE648" s="540"/>
    </row>
    <row r="649" spans="1:109" s="116" customFormat="1" x14ac:dyDescent="0.2">
      <c r="A649" s="435"/>
      <c r="B649" s="435"/>
      <c r="C649" s="435"/>
      <c r="D649" s="435"/>
      <c r="AB649" s="540"/>
      <c r="AU649" s="540"/>
      <c r="AV649" s="540"/>
      <c r="AW649" s="540"/>
      <c r="AX649" s="540"/>
      <c r="AY649" s="540"/>
      <c r="AZ649" s="540"/>
      <c r="BA649" s="540"/>
      <c r="BB649" s="540"/>
      <c r="BC649" s="540"/>
      <c r="BD649" s="540"/>
      <c r="BE649" s="540"/>
      <c r="BF649" s="540"/>
      <c r="BG649" s="540"/>
      <c r="BH649" s="540"/>
      <c r="BI649" s="540"/>
      <c r="BJ649" s="540"/>
      <c r="BK649" s="540"/>
      <c r="BL649" s="540"/>
      <c r="BM649" s="540"/>
      <c r="BN649" s="540"/>
      <c r="BO649" s="540"/>
      <c r="BP649" s="540"/>
      <c r="BQ649" s="540"/>
      <c r="BR649" s="540"/>
      <c r="BS649" s="540"/>
      <c r="BT649" s="540"/>
      <c r="BU649" s="540"/>
      <c r="BV649" s="540"/>
      <c r="BW649" s="540"/>
      <c r="BX649" s="540"/>
      <c r="BY649" s="540"/>
      <c r="BZ649" s="540"/>
      <c r="CA649" s="540"/>
      <c r="CB649" s="540"/>
      <c r="CC649" s="540"/>
      <c r="CD649" s="540"/>
      <c r="CE649" s="540"/>
      <c r="CF649" s="540"/>
      <c r="CG649" s="540"/>
      <c r="CH649" s="540"/>
      <c r="CI649" s="540"/>
      <c r="CJ649" s="540"/>
      <c r="CK649" s="540"/>
      <c r="CL649" s="540"/>
      <c r="CM649" s="540"/>
      <c r="CN649" s="540"/>
      <c r="CO649" s="540"/>
      <c r="CP649" s="540"/>
      <c r="CQ649" s="540"/>
      <c r="CR649" s="540"/>
      <c r="CS649" s="540"/>
      <c r="CT649" s="540"/>
      <c r="CU649" s="540"/>
      <c r="CV649" s="540"/>
      <c r="CW649" s="540"/>
      <c r="CX649" s="540"/>
      <c r="CY649" s="540"/>
      <c r="CZ649" s="540"/>
      <c r="DA649" s="540"/>
      <c r="DB649" s="540"/>
      <c r="DC649" s="540"/>
      <c r="DD649" s="540"/>
      <c r="DE649" s="540"/>
    </row>
    <row r="650" spans="1:109" s="116" customFormat="1" x14ac:dyDescent="0.2">
      <c r="A650" s="435"/>
      <c r="B650" s="435"/>
      <c r="C650" s="435"/>
      <c r="D650" s="435"/>
      <c r="AB650" s="540"/>
      <c r="AU650" s="540"/>
      <c r="AV650" s="540"/>
      <c r="AW650" s="540"/>
      <c r="AX650" s="540"/>
      <c r="AY650" s="540"/>
      <c r="AZ650" s="540"/>
      <c r="BA650" s="540"/>
      <c r="BB650" s="540"/>
      <c r="BC650" s="540"/>
      <c r="BD650" s="540"/>
      <c r="BE650" s="540"/>
      <c r="BF650" s="540"/>
      <c r="BG650" s="540"/>
      <c r="BH650" s="540"/>
      <c r="BI650" s="540"/>
      <c r="BJ650" s="540"/>
      <c r="BK650" s="540"/>
      <c r="BL650" s="540"/>
      <c r="BM650" s="540"/>
      <c r="BN650" s="540"/>
      <c r="BO650" s="540"/>
      <c r="BP650" s="540"/>
      <c r="BQ650" s="540"/>
      <c r="BR650" s="540"/>
      <c r="BS650" s="540"/>
      <c r="BT650" s="540"/>
      <c r="BU650" s="540"/>
      <c r="BV650" s="540"/>
      <c r="BW650" s="540"/>
      <c r="BX650" s="540"/>
      <c r="BY650" s="540"/>
      <c r="BZ650" s="540"/>
      <c r="CA650" s="540"/>
      <c r="CB650" s="540"/>
      <c r="CC650" s="540"/>
      <c r="CD650" s="540"/>
      <c r="CE650" s="540"/>
      <c r="CF650" s="540"/>
      <c r="CG650" s="540"/>
      <c r="CH650" s="540"/>
      <c r="CI650" s="540"/>
      <c r="CJ650" s="540"/>
      <c r="CK650" s="540"/>
      <c r="CL650" s="540"/>
      <c r="CM650" s="540"/>
      <c r="CN650" s="540"/>
      <c r="CO650" s="540"/>
      <c r="CP650" s="540"/>
      <c r="CQ650" s="540"/>
      <c r="CR650" s="540"/>
      <c r="CS650" s="540"/>
      <c r="CT650" s="540"/>
      <c r="CU650" s="540"/>
      <c r="CV650" s="540"/>
      <c r="CW650" s="540"/>
      <c r="CX650" s="540"/>
      <c r="CY650" s="540"/>
      <c r="CZ650" s="540"/>
      <c r="DA650" s="540"/>
      <c r="DB650" s="540"/>
      <c r="DC650" s="540"/>
      <c r="DD650" s="540"/>
      <c r="DE650" s="540"/>
    </row>
    <row r="651" spans="1:109" s="116" customFormat="1" x14ac:dyDescent="0.2">
      <c r="A651" s="435"/>
      <c r="B651" s="435"/>
      <c r="C651" s="435"/>
      <c r="D651" s="435"/>
      <c r="AB651" s="540"/>
      <c r="AU651" s="540"/>
      <c r="AV651" s="540"/>
      <c r="AW651" s="540"/>
      <c r="AX651" s="540"/>
      <c r="AY651" s="540"/>
      <c r="AZ651" s="540"/>
      <c r="BA651" s="540"/>
      <c r="BB651" s="540"/>
      <c r="BC651" s="540"/>
      <c r="BD651" s="540"/>
      <c r="BE651" s="540"/>
      <c r="BF651" s="540"/>
      <c r="BG651" s="540"/>
      <c r="BH651" s="540"/>
      <c r="BI651" s="540"/>
      <c r="BJ651" s="540"/>
      <c r="BK651" s="540"/>
      <c r="BL651" s="540"/>
      <c r="BM651" s="540"/>
      <c r="BN651" s="540"/>
      <c r="BO651" s="540"/>
      <c r="BP651" s="540"/>
      <c r="BQ651" s="540"/>
      <c r="BR651" s="540"/>
      <c r="BS651" s="540"/>
      <c r="BT651" s="540"/>
      <c r="BU651" s="540"/>
      <c r="BV651" s="540"/>
      <c r="BW651" s="540"/>
      <c r="BX651" s="540"/>
      <c r="BY651" s="540"/>
      <c r="BZ651" s="540"/>
      <c r="CA651" s="540"/>
      <c r="CB651" s="540"/>
      <c r="CC651" s="540"/>
      <c r="CD651" s="540"/>
      <c r="CE651" s="540"/>
      <c r="CF651" s="540"/>
      <c r="CG651" s="540"/>
      <c r="CH651" s="540"/>
      <c r="CI651" s="540"/>
      <c r="CJ651" s="540"/>
      <c r="CK651" s="540"/>
      <c r="CL651" s="540"/>
      <c r="CM651" s="540"/>
      <c r="CN651" s="540"/>
      <c r="CO651" s="540"/>
      <c r="CP651" s="540"/>
      <c r="CQ651" s="540"/>
      <c r="CR651" s="540"/>
      <c r="CS651" s="540"/>
      <c r="CT651" s="540"/>
      <c r="CU651" s="540"/>
      <c r="CV651" s="540"/>
      <c r="CW651" s="540"/>
      <c r="CX651" s="540"/>
      <c r="CY651" s="540"/>
      <c r="CZ651" s="540"/>
      <c r="DA651" s="540"/>
      <c r="DB651" s="540"/>
      <c r="DC651" s="540"/>
      <c r="DD651" s="540"/>
      <c r="DE651" s="540"/>
    </row>
    <row r="652" spans="1:109" s="116" customFormat="1" x14ac:dyDescent="0.2">
      <c r="A652" s="435"/>
      <c r="B652" s="435"/>
      <c r="C652" s="435"/>
      <c r="D652" s="435"/>
      <c r="AB652" s="540"/>
      <c r="AU652" s="540"/>
      <c r="AV652" s="540"/>
      <c r="AW652" s="540"/>
      <c r="AX652" s="540"/>
      <c r="AY652" s="540"/>
      <c r="AZ652" s="540"/>
      <c r="BA652" s="540"/>
      <c r="BB652" s="540"/>
      <c r="BC652" s="540"/>
      <c r="BD652" s="540"/>
      <c r="BE652" s="540"/>
      <c r="BF652" s="540"/>
      <c r="BG652" s="540"/>
      <c r="BH652" s="540"/>
      <c r="BI652" s="540"/>
      <c r="BJ652" s="540"/>
      <c r="BK652" s="540"/>
      <c r="BL652" s="540"/>
      <c r="BM652" s="540"/>
      <c r="BN652" s="540"/>
      <c r="BO652" s="540"/>
      <c r="BP652" s="540"/>
      <c r="BQ652" s="540"/>
      <c r="BR652" s="540"/>
      <c r="BS652" s="540"/>
      <c r="BT652" s="540"/>
      <c r="BU652" s="540"/>
      <c r="BV652" s="540"/>
      <c r="BW652" s="540"/>
      <c r="BX652" s="540"/>
      <c r="BY652" s="540"/>
      <c r="BZ652" s="540"/>
      <c r="CA652" s="540"/>
      <c r="CB652" s="540"/>
      <c r="CC652" s="540"/>
      <c r="CD652" s="540"/>
      <c r="CE652" s="540"/>
      <c r="CF652" s="540"/>
      <c r="CG652" s="540"/>
      <c r="CH652" s="540"/>
      <c r="CI652" s="540"/>
      <c r="CJ652" s="540"/>
      <c r="CK652" s="540"/>
      <c r="CL652" s="540"/>
      <c r="CM652" s="540"/>
      <c r="CN652" s="540"/>
      <c r="CO652" s="540"/>
      <c r="CP652" s="540"/>
      <c r="CQ652" s="540"/>
      <c r="CR652" s="540"/>
      <c r="CS652" s="540"/>
      <c r="CT652" s="540"/>
      <c r="CU652" s="540"/>
      <c r="CV652" s="540"/>
      <c r="CW652" s="540"/>
      <c r="CX652" s="540"/>
      <c r="CY652" s="540"/>
      <c r="CZ652" s="540"/>
      <c r="DA652" s="540"/>
      <c r="DB652" s="540"/>
      <c r="DC652" s="540"/>
      <c r="DD652" s="540"/>
      <c r="DE652" s="540"/>
    </row>
    <row r="653" spans="1:109" s="116" customFormat="1" x14ac:dyDescent="0.2">
      <c r="A653" s="435"/>
      <c r="B653" s="435"/>
      <c r="C653" s="435"/>
      <c r="D653" s="435"/>
      <c r="AB653" s="540"/>
      <c r="AU653" s="540"/>
      <c r="AV653" s="540"/>
      <c r="AW653" s="540"/>
      <c r="AX653" s="540"/>
      <c r="AY653" s="540"/>
      <c r="AZ653" s="540"/>
      <c r="BA653" s="540"/>
      <c r="BB653" s="540"/>
      <c r="BC653" s="540"/>
      <c r="BD653" s="540"/>
      <c r="BE653" s="540"/>
      <c r="BF653" s="540"/>
      <c r="BG653" s="540"/>
      <c r="BH653" s="540"/>
      <c r="BI653" s="540"/>
      <c r="BJ653" s="540"/>
      <c r="BK653" s="540"/>
      <c r="BL653" s="540"/>
      <c r="BM653" s="540"/>
      <c r="BN653" s="540"/>
      <c r="BO653" s="540"/>
      <c r="BP653" s="540"/>
      <c r="BQ653" s="540"/>
      <c r="BR653" s="540"/>
      <c r="BS653" s="540"/>
      <c r="BT653" s="540"/>
      <c r="BU653" s="540"/>
      <c r="BV653" s="540"/>
      <c r="BW653" s="540"/>
      <c r="BX653" s="540"/>
      <c r="BY653" s="540"/>
      <c r="BZ653" s="540"/>
      <c r="CA653" s="540"/>
      <c r="CB653" s="540"/>
      <c r="CC653" s="540"/>
      <c r="CD653" s="540"/>
      <c r="CE653" s="540"/>
      <c r="CF653" s="540"/>
      <c r="CG653" s="540"/>
      <c r="CH653" s="540"/>
      <c r="CI653" s="540"/>
      <c r="CJ653" s="540"/>
      <c r="CK653" s="540"/>
      <c r="CL653" s="540"/>
      <c r="CM653" s="540"/>
      <c r="CN653" s="540"/>
      <c r="CO653" s="540"/>
      <c r="CP653" s="540"/>
      <c r="CQ653" s="540"/>
      <c r="CR653" s="540"/>
      <c r="CS653" s="540"/>
      <c r="CT653" s="540"/>
      <c r="CU653" s="540"/>
      <c r="CV653" s="540"/>
      <c r="CW653" s="540"/>
      <c r="CX653" s="540"/>
      <c r="CY653" s="540"/>
      <c r="CZ653" s="540"/>
      <c r="DA653" s="540"/>
      <c r="DB653" s="540"/>
      <c r="DC653" s="540"/>
      <c r="DD653" s="540"/>
      <c r="DE653" s="540"/>
    </row>
    <row r="654" spans="1:109" s="116" customFormat="1" x14ac:dyDescent="0.2">
      <c r="A654" s="435"/>
      <c r="B654" s="435"/>
      <c r="C654" s="435"/>
      <c r="D654" s="435"/>
      <c r="AB654" s="540"/>
      <c r="AU654" s="540"/>
      <c r="AV654" s="540"/>
      <c r="AW654" s="540"/>
      <c r="AX654" s="540"/>
      <c r="AY654" s="540"/>
      <c r="AZ654" s="540"/>
      <c r="BA654" s="540"/>
      <c r="BB654" s="540"/>
      <c r="BC654" s="540"/>
      <c r="BD654" s="540"/>
      <c r="BE654" s="540"/>
      <c r="BF654" s="540"/>
      <c r="BG654" s="540"/>
      <c r="BH654" s="540"/>
      <c r="BI654" s="540"/>
      <c r="BJ654" s="540"/>
      <c r="BK654" s="540"/>
      <c r="BL654" s="540"/>
      <c r="BM654" s="540"/>
      <c r="BN654" s="540"/>
      <c r="BO654" s="540"/>
      <c r="BP654" s="540"/>
      <c r="BQ654" s="540"/>
      <c r="BR654" s="540"/>
      <c r="BS654" s="540"/>
      <c r="BT654" s="540"/>
      <c r="BU654" s="540"/>
      <c r="BV654" s="540"/>
      <c r="BW654" s="540"/>
      <c r="BX654" s="540"/>
      <c r="BY654" s="540"/>
      <c r="BZ654" s="540"/>
      <c r="CA654" s="540"/>
      <c r="CB654" s="540"/>
      <c r="CC654" s="540"/>
      <c r="CD654" s="540"/>
      <c r="CE654" s="540"/>
      <c r="CF654" s="540"/>
      <c r="CG654" s="540"/>
      <c r="CH654" s="540"/>
      <c r="CI654" s="540"/>
      <c r="CJ654" s="540"/>
      <c r="CK654" s="540"/>
      <c r="CL654" s="540"/>
      <c r="CM654" s="540"/>
      <c r="CN654" s="540"/>
      <c r="CO654" s="540"/>
      <c r="CP654" s="540"/>
      <c r="CQ654" s="540"/>
      <c r="CR654" s="540"/>
      <c r="CS654" s="540"/>
      <c r="CT654" s="540"/>
      <c r="CU654" s="540"/>
      <c r="CV654" s="540"/>
      <c r="CW654" s="540"/>
      <c r="CX654" s="540"/>
      <c r="CY654" s="540"/>
      <c r="CZ654" s="540"/>
      <c r="DA654" s="540"/>
      <c r="DB654" s="540"/>
      <c r="DC654" s="540"/>
      <c r="DD654" s="540"/>
      <c r="DE654" s="540"/>
    </row>
    <row r="655" spans="1:109" s="116" customFormat="1" x14ac:dyDescent="0.2">
      <c r="A655" s="435"/>
      <c r="B655" s="435"/>
      <c r="C655" s="435"/>
      <c r="D655" s="435"/>
      <c r="AB655" s="540"/>
      <c r="AU655" s="540"/>
      <c r="AV655" s="540"/>
      <c r="AW655" s="540"/>
      <c r="AX655" s="540"/>
      <c r="AY655" s="540"/>
      <c r="AZ655" s="540"/>
      <c r="BA655" s="540"/>
      <c r="BB655" s="540"/>
      <c r="BC655" s="540"/>
      <c r="BD655" s="540"/>
      <c r="BE655" s="540"/>
      <c r="BF655" s="540"/>
      <c r="BG655" s="540"/>
      <c r="BH655" s="540"/>
      <c r="BI655" s="540"/>
      <c r="BJ655" s="540"/>
      <c r="BK655" s="540"/>
      <c r="BL655" s="540"/>
      <c r="BM655" s="540"/>
      <c r="BN655" s="540"/>
      <c r="BO655" s="540"/>
      <c r="BP655" s="540"/>
      <c r="BQ655" s="540"/>
      <c r="BR655" s="540"/>
      <c r="BS655" s="540"/>
      <c r="BT655" s="540"/>
      <c r="BU655" s="540"/>
      <c r="BV655" s="540"/>
      <c r="BW655" s="540"/>
      <c r="BX655" s="540"/>
      <c r="BY655" s="540"/>
      <c r="BZ655" s="540"/>
      <c r="CA655" s="540"/>
      <c r="CB655" s="540"/>
      <c r="CC655" s="540"/>
      <c r="CD655" s="540"/>
      <c r="CE655" s="540"/>
      <c r="CF655" s="540"/>
      <c r="CG655" s="540"/>
      <c r="CH655" s="540"/>
      <c r="CI655" s="540"/>
      <c r="CJ655" s="540"/>
      <c r="CK655" s="540"/>
      <c r="CL655" s="540"/>
      <c r="CM655" s="540"/>
      <c r="CN655" s="540"/>
      <c r="CO655" s="540"/>
      <c r="CP655" s="540"/>
      <c r="CQ655" s="540"/>
      <c r="CR655" s="540"/>
      <c r="CS655" s="540"/>
      <c r="CT655" s="540"/>
      <c r="CU655" s="540"/>
      <c r="CV655" s="540"/>
      <c r="CW655" s="540"/>
      <c r="CX655" s="540"/>
      <c r="CY655" s="540"/>
      <c r="CZ655" s="540"/>
      <c r="DA655" s="540"/>
      <c r="DB655" s="540"/>
      <c r="DC655" s="540"/>
      <c r="DD655" s="540"/>
      <c r="DE655" s="540"/>
    </row>
    <row r="656" spans="1:109" s="116" customFormat="1" x14ac:dyDescent="0.2">
      <c r="A656" s="435"/>
      <c r="B656" s="435"/>
      <c r="C656" s="435"/>
      <c r="D656" s="435"/>
      <c r="AB656" s="540"/>
      <c r="AU656" s="540"/>
      <c r="AV656" s="540"/>
      <c r="AW656" s="540"/>
      <c r="AX656" s="540"/>
      <c r="AY656" s="540"/>
      <c r="AZ656" s="540"/>
      <c r="BA656" s="540"/>
      <c r="BB656" s="540"/>
      <c r="BC656" s="540"/>
      <c r="BD656" s="540"/>
      <c r="BE656" s="540"/>
      <c r="BF656" s="540"/>
      <c r="BG656" s="540"/>
      <c r="BH656" s="540"/>
      <c r="BI656" s="540"/>
      <c r="BJ656" s="540"/>
      <c r="BK656" s="540"/>
      <c r="BL656" s="540"/>
      <c r="BM656" s="540"/>
      <c r="BN656" s="540"/>
      <c r="BO656" s="540"/>
      <c r="BP656" s="540"/>
      <c r="BQ656" s="540"/>
      <c r="BR656" s="540"/>
      <c r="BS656" s="540"/>
      <c r="BT656" s="540"/>
      <c r="BU656" s="540"/>
      <c r="BV656" s="540"/>
      <c r="BW656" s="540"/>
      <c r="BX656" s="540"/>
      <c r="BY656" s="540"/>
      <c r="BZ656" s="540"/>
      <c r="CA656" s="540"/>
      <c r="CB656" s="540"/>
      <c r="CC656" s="540"/>
      <c r="CD656" s="540"/>
      <c r="CE656" s="540"/>
      <c r="CF656" s="540"/>
      <c r="CG656" s="540"/>
      <c r="CH656" s="540"/>
      <c r="CI656" s="540"/>
      <c r="CJ656" s="540"/>
      <c r="CK656" s="540"/>
      <c r="CL656" s="540"/>
      <c r="CM656" s="540"/>
      <c r="CN656" s="540"/>
      <c r="CO656" s="540"/>
      <c r="CP656" s="540"/>
      <c r="CQ656" s="540"/>
      <c r="CR656" s="540"/>
      <c r="CS656" s="540"/>
      <c r="CT656" s="540"/>
      <c r="CU656" s="540"/>
      <c r="CV656" s="540"/>
      <c r="CW656" s="540"/>
      <c r="CX656" s="540"/>
      <c r="CY656" s="540"/>
      <c r="CZ656" s="540"/>
      <c r="DA656" s="540"/>
      <c r="DB656" s="540"/>
      <c r="DC656" s="540"/>
      <c r="DD656" s="540"/>
      <c r="DE656" s="540"/>
    </row>
    <row r="657" spans="1:109" s="116" customFormat="1" x14ac:dyDescent="0.2">
      <c r="A657" s="435"/>
      <c r="B657" s="435"/>
      <c r="C657" s="435"/>
      <c r="D657" s="435"/>
      <c r="AB657" s="540"/>
      <c r="AU657" s="540"/>
      <c r="AV657" s="540"/>
      <c r="AW657" s="540"/>
      <c r="AX657" s="540"/>
      <c r="AY657" s="540"/>
      <c r="AZ657" s="540"/>
      <c r="BA657" s="540"/>
      <c r="BB657" s="540"/>
      <c r="BC657" s="540"/>
      <c r="BD657" s="540"/>
      <c r="BE657" s="540"/>
      <c r="BF657" s="540"/>
      <c r="BG657" s="540"/>
      <c r="BH657" s="540"/>
      <c r="BI657" s="540"/>
      <c r="BJ657" s="540"/>
      <c r="BK657" s="540"/>
      <c r="BL657" s="540"/>
      <c r="BM657" s="540"/>
      <c r="BN657" s="540"/>
      <c r="BO657" s="540"/>
      <c r="BP657" s="540"/>
      <c r="BQ657" s="540"/>
      <c r="BR657" s="540"/>
      <c r="BS657" s="540"/>
      <c r="BT657" s="540"/>
      <c r="BU657" s="540"/>
      <c r="BV657" s="540"/>
      <c r="BW657" s="540"/>
      <c r="BX657" s="540"/>
      <c r="BY657" s="540"/>
      <c r="BZ657" s="540"/>
      <c r="CA657" s="540"/>
      <c r="CB657" s="540"/>
      <c r="CC657" s="540"/>
      <c r="CD657" s="540"/>
      <c r="CE657" s="540"/>
      <c r="CF657" s="540"/>
      <c r="CG657" s="540"/>
      <c r="CH657" s="540"/>
      <c r="CI657" s="540"/>
      <c r="CJ657" s="540"/>
      <c r="CK657" s="540"/>
      <c r="CL657" s="540"/>
      <c r="CM657" s="540"/>
      <c r="CN657" s="540"/>
      <c r="CO657" s="540"/>
      <c r="CP657" s="540"/>
      <c r="CQ657" s="540"/>
      <c r="CR657" s="540"/>
      <c r="CS657" s="540"/>
      <c r="CT657" s="540"/>
      <c r="CU657" s="540"/>
      <c r="CV657" s="540"/>
      <c r="CW657" s="540"/>
      <c r="CX657" s="540"/>
      <c r="CY657" s="540"/>
      <c r="CZ657" s="540"/>
      <c r="DA657" s="540"/>
      <c r="DB657" s="540"/>
      <c r="DC657" s="540"/>
      <c r="DD657" s="540"/>
      <c r="DE657" s="540"/>
    </row>
    <row r="658" spans="1:109" s="116" customFormat="1" x14ac:dyDescent="0.2">
      <c r="A658" s="435"/>
      <c r="B658" s="435"/>
      <c r="C658" s="435"/>
      <c r="D658" s="435"/>
      <c r="AB658" s="540"/>
      <c r="AU658" s="540"/>
      <c r="AV658" s="540"/>
      <c r="AW658" s="540"/>
      <c r="AX658" s="540"/>
      <c r="AY658" s="540"/>
      <c r="AZ658" s="540"/>
      <c r="BA658" s="540"/>
      <c r="BB658" s="540"/>
      <c r="BC658" s="540"/>
      <c r="BD658" s="540"/>
      <c r="BE658" s="540"/>
      <c r="BF658" s="540"/>
      <c r="BG658" s="540"/>
      <c r="BH658" s="540"/>
      <c r="BI658" s="540"/>
      <c r="BJ658" s="540"/>
      <c r="BK658" s="540"/>
      <c r="BL658" s="540"/>
      <c r="BM658" s="540"/>
      <c r="BN658" s="540"/>
      <c r="BO658" s="540"/>
      <c r="BP658" s="540"/>
      <c r="BQ658" s="540"/>
      <c r="BR658" s="540"/>
      <c r="BS658" s="540"/>
      <c r="BT658" s="540"/>
      <c r="BU658" s="540"/>
      <c r="BV658" s="540"/>
      <c r="BW658" s="540"/>
      <c r="BX658" s="540"/>
      <c r="BY658" s="540"/>
      <c r="BZ658" s="540"/>
      <c r="CA658" s="540"/>
      <c r="CB658" s="540"/>
      <c r="CC658" s="540"/>
      <c r="CD658" s="540"/>
      <c r="CE658" s="540"/>
      <c r="CF658" s="540"/>
      <c r="CG658" s="540"/>
      <c r="CH658" s="540"/>
      <c r="CI658" s="540"/>
      <c r="CJ658" s="540"/>
      <c r="CK658" s="540"/>
      <c r="CL658" s="540"/>
      <c r="CM658" s="540"/>
      <c r="CN658" s="540"/>
      <c r="CO658" s="540"/>
      <c r="CP658" s="540"/>
      <c r="CQ658" s="540"/>
      <c r="CR658" s="540"/>
      <c r="CS658" s="540"/>
      <c r="CT658" s="540"/>
      <c r="CU658" s="540"/>
      <c r="CV658" s="540"/>
      <c r="CW658" s="540"/>
      <c r="CX658" s="540"/>
      <c r="CY658" s="540"/>
      <c r="CZ658" s="540"/>
      <c r="DA658" s="540"/>
      <c r="DB658" s="540"/>
      <c r="DC658" s="540"/>
      <c r="DD658" s="540"/>
      <c r="DE658" s="540"/>
    </row>
    <row r="659" spans="1:109" s="116" customFormat="1" x14ac:dyDescent="0.2">
      <c r="A659" s="435"/>
      <c r="B659" s="435"/>
      <c r="C659" s="435"/>
      <c r="D659" s="435"/>
      <c r="AB659" s="540"/>
      <c r="AU659" s="540"/>
      <c r="AV659" s="540"/>
      <c r="AW659" s="540"/>
      <c r="AX659" s="540"/>
      <c r="AY659" s="540"/>
      <c r="AZ659" s="540"/>
      <c r="BA659" s="540"/>
      <c r="BB659" s="540"/>
      <c r="BC659" s="540"/>
      <c r="BD659" s="540"/>
      <c r="BE659" s="540"/>
      <c r="BF659" s="540"/>
      <c r="BG659" s="540"/>
      <c r="BH659" s="540"/>
      <c r="BI659" s="540"/>
      <c r="BJ659" s="540"/>
      <c r="BK659" s="540"/>
      <c r="BL659" s="540"/>
      <c r="BM659" s="540"/>
      <c r="BN659" s="540"/>
      <c r="BO659" s="540"/>
      <c r="BP659" s="540"/>
      <c r="BQ659" s="540"/>
      <c r="BR659" s="540"/>
      <c r="BS659" s="540"/>
      <c r="BT659" s="540"/>
      <c r="BU659" s="540"/>
      <c r="BV659" s="540"/>
      <c r="BW659" s="540"/>
      <c r="BX659" s="540"/>
      <c r="BY659" s="540"/>
      <c r="BZ659" s="540"/>
      <c r="CA659" s="540"/>
      <c r="CB659" s="540"/>
      <c r="CC659" s="540"/>
      <c r="CD659" s="540"/>
      <c r="CE659" s="540"/>
      <c r="CF659" s="540"/>
      <c r="CG659" s="540"/>
      <c r="CH659" s="540"/>
      <c r="CI659" s="540"/>
      <c r="CJ659" s="540"/>
      <c r="CK659" s="540"/>
      <c r="CL659" s="540"/>
      <c r="CM659" s="540"/>
      <c r="CN659" s="540"/>
      <c r="CO659" s="540"/>
      <c r="CP659" s="540"/>
      <c r="CQ659" s="540"/>
      <c r="CR659" s="540"/>
      <c r="CS659" s="540"/>
      <c r="CT659" s="540"/>
      <c r="CU659" s="540"/>
      <c r="CV659" s="540"/>
      <c r="CW659" s="540"/>
      <c r="CX659" s="540"/>
      <c r="CY659" s="540"/>
      <c r="CZ659" s="540"/>
      <c r="DA659" s="540"/>
      <c r="DB659" s="540"/>
      <c r="DC659" s="540"/>
      <c r="DD659" s="540"/>
      <c r="DE659" s="540"/>
    </row>
    <row r="660" spans="1:109" s="116" customFormat="1" x14ac:dyDescent="0.2">
      <c r="A660" s="435"/>
      <c r="B660" s="435"/>
      <c r="C660" s="435"/>
      <c r="D660" s="435"/>
      <c r="AB660" s="540"/>
      <c r="AU660" s="540"/>
      <c r="AV660" s="540"/>
      <c r="AW660" s="540"/>
      <c r="AX660" s="540"/>
      <c r="AY660" s="540"/>
      <c r="AZ660" s="540"/>
      <c r="BA660" s="540"/>
      <c r="BB660" s="540"/>
      <c r="BC660" s="540"/>
      <c r="BD660" s="540"/>
      <c r="BE660" s="540"/>
      <c r="BF660" s="540"/>
      <c r="BG660" s="540"/>
      <c r="BH660" s="540"/>
      <c r="BI660" s="540"/>
      <c r="BJ660" s="540"/>
      <c r="BK660" s="540"/>
      <c r="BL660" s="540"/>
      <c r="BM660" s="540"/>
      <c r="BN660" s="540"/>
      <c r="BO660" s="540"/>
      <c r="BP660" s="540"/>
      <c r="BQ660" s="540"/>
      <c r="BR660" s="540"/>
      <c r="BS660" s="540"/>
      <c r="BT660" s="540"/>
      <c r="BU660" s="540"/>
      <c r="BV660" s="540"/>
      <c r="BW660" s="540"/>
      <c r="BX660" s="540"/>
      <c r="BY660" s="540"/>
      <c r="BZ660" s="540"/>
      <c r="CA660" s="540"/>
      <c r="CB660" s="540"/>
      <c r="CC660" s="540"/>
      <c r="CD660" s="540"/>
      <c r="CE660" s="540"/>
      <c r="CF660" s="540"/>
      <c r="CG660" s="540"/>
      <c r="CH660" s="540"/>
      <c r="CI660" s="540"/>
      <c r="CJ660" s="540"/>
      <c r="CK660" s="540"/>
      <c r="CL660" s="540"/>
      <c r="CM660" s="540"/>
      <c r="CN660" s="540"/>
      <c r="CO660" s="540"/>
      <c r="CP660" s="540"/>
      <c r="CQ660" s="540"/>
      <c r="CR660" s="540"/>
      <c r="CS660" s="540"/>
      <c r="CT660" s="540"/>
      <c r="CU660" s="540"/>
      <c r="CV660" s="540"/>
      <c r="CW660" s="540"/>
      <c r="CX660" s="540"/>
      <c r="CY660" s="540"/>
      <c r="CZ660" s="540"/>
      <c r="DA660" s="540"/>
      <c r="DB660" s="540"/>
      <c r="DC660" s="540"/>
      <c r="DD660" s="540"/>
      <c r="DE660" s="540"/>
    </row>
    <row r="661" spans="1:109" s="116" customFormat="1" x14ac:dyDescent="0.2">
      <c r="A661" s="435"/>
      <c r="B661" s="435"/>
      <c r="C661" s="435"/>
      <c r="D661" s="435"/>
      <c r="AB661" s="540"/>
      <c r="AU661" s="540"/>
      <c r="AV661" s="540"/>
      <c r="AW661" s="540"/>
      <c r="AX661" s="540"/>
      <c r="AY661" s="540"/>
      <c r="AZ661" s="540"/>
      <c r="BA661" s="540"/>
      <c r="BB661" s="540"/>
      <c r="BC661" s="540"/>
      <c r="BD661" s="540"/>
      <c r="BE661" s="540"/>
      <c r="BF661" s="540"/>
      <c r="BG661" s="540"/>
      <c r="BH661" s="540"/>
      <c r="BI661" s="540"/>
      <c r="BJ661" s="540"/>
      <c r="BK661" s="540"/>
      <c r="BL661" s="540"/>
      <c r="BM661" s="540"/>
      <c r="BN661" s="540"/>
      <c r="BO661" s="540"/>
      <c r="BP661" s="540"/>
      <c r="BQ661" s="540"/>
      <c r="BR661" s="540"/>
      <c r="BS661" s="540"/>
      <c r="BT661" s="540"/>
      <c r="BU661" s="540"/>
      <c r="BV661" s="540"/>
      <c r="BW661" s="540"/>
      <c r="BX661" s="540"/>
      <c r="BY661" s="540"/>
      <c r="BZ661" s="540"/>
      <c r="CA661" s="540"/>
      <c r="CB661" s="540"/>
      <c r="CC661" s="540"/>
      <c r="CD661" s="540"/>
      <c r="CE661" s="540"/>
      <c r="CF661" s="540"/>
      <c r="CG661" s="540"/>
      <c r="CH661" s="540"/>
      <c r="CI661" s="540"/>
      <c r="CJ661" s="540"/>
      <c r="CK661" s="540"/>
      <c r="CL661" s="540"/>
      <c r="CM661" s="540"/>
      <c r="CN661" s="540"/>
      <c r="CO661" s="540"/>
      <c r="CP661" s="540"/>
      <c r="CQ661" s="540"/>
      <c r="CR661" s="540"/>
      <c r="CS661" s="540"/>
      <c r="CT661" s="540"/>
      <c r="CU661" s="540"/>
      <c r="CV661" s="540"/>
      <c r="CW661" s="540"/>
      <c r="CX661" s="540"/>
      <c r="CY661" s="540"/>
      <c r="CZ661" s="540"/>
      <c r="DA661" s="540"/>
      <c r="DB661" s="540"/>
      <c r="DC661" s="540"/>
      <c r="DD661" s="540"/>
      <c r="DE661" s="540"/>
    </row>
    <row r="662" spans="1:109" s="116" customFormat="1" x14ac:dyDescent="0.2">
      <c r="A662" s="435"/>
      <c r="B662" s="435"/>
      <c r="C662" s="435"/>
      <c r="D662" s="435"/>
      <c r="AB662" s="540"/>
      <c r="AU662" s="540"/>
      <c r="AV662" s="540"/>
      <c r="AW662" s="540"/>
      <c r="AX662" s="540"/>
      <c r="AY662" s="540"/>
      <c r="AZ662" s="540"/>
      <c r="BA662" s="540"/>
      <c r="BB662" s="540"/>
      <c r="BC662" s="540"/>
      <c r="BD662" s="540"/>
      <c r="BE662" s="540"/>
      <c r="BF662" s="540"/>
      <c r="BG662" s="540"/>
      <c r="BH662" s="540"/>
      <c r="BI662" s="540"/>
      <c r="BJ662" s="540"/>
      <c r="BK662" s="540"/>
      <c r="BL662" s="540"/>
      <c r="BM662" s="540"/>
      <c r="BN662" s="540"/>
      <c r="BO662" s="540"/>
      <c r="BP662" s="540"/>
      <c r="BQ662" s="540"/>
      <c r="BR662" s="540"/>
      <c r="BS662" s="540"/>
      <c r="BT662" s="540"/>
      <c r="BU662" s="540"/>
      <c r="BV662" s="540"/>
      <c r="BW662" s="540"/>
      <c r="BX662" s="540"/>
      <c r="BY662" s="540"/>
      <c r="BZ662" s="540"/>
      <c r="CA662" s="540"/>
      <c r="CB662" s="540"/>
      <c r="CC662" s="540"/>
      <c r="CD662" s="540"/>
      <c r="CE662" s="540"/>
      <c r="CF662" s="540"/>
      <c r="CG662" s="540"/>
      <c r="CH662" s="540"/>
      <c r="CI662" s="540"/>
      <c r="CJ662" s="540"/>
      <c r="CK662" s="540"/>
      <c r="CL662" s="540"/>
      <c r="CM662" s="540"/>
      <c r="CN662" s="540"/>
      <c r="CO662" s="540"/>
      <c r="CP662" s="540"/>
      <c r="CQ662" s="540"/>
      <c r="CR662" s="540"/>
      <c r="CS662" s="540"/>
      <c r="CT662" s="540"/>
      <c r="CU662" s="540"/>
      <c r="CV662" s="540"/>
      <c r="CW662" s="540"/>
      <c r="CX662" s="540"/>
      <c r="CY662" s="540"/>
      <c r="CZ662" s="540"/>
      <c r="DA662" s="540"/>
      <c r="DB662" s="540"/>
      <c r="DC662" s="540"/>
      <c r="DD662" s="540"/>
      <c r="DE662" s="540"/>
    </row>
    <row r="663" spans="1:109" s="116" customFormat="1" x14ac:dyDescent="0.2">
      <c r="A663" s="435"/>
      <c r="B663" s="435"/>
      <c r="C663" s="435"/>
      <c r="D663" s="435"/>
      <c r="AB663" s="540"/>
      <c r="AU663" s="540"/>
      <c r="AV663" s="540"/>
      <c r="AW663" s="540"/>
      <c r="AX663" s="540"/>
      <c r="AY663" s="540"/>
      <c r="AZ663" s="540"/>
      <c r="BA663" s="540"/>
      <c r="BB663" s="540"/>
      <c r="BC663" s="540"/>
      <c r="BD663" s="540"/>
      <c r="BE663" s="540"/>
      <c r="BF663" s="540"/>
      <c r="BG663" s="540"/>
      <c r="BH663" s="540"/>
      <c r="BI663" s="540"/>
      <c r="BJ663" s="540"/>
      <c r="BK663" s="540"/>
      <c r="BL663" s="540"/>
      <c r="BM663" s="540"/>
      <c r="BN663" s="540"/>
      <c r="BO663" s="540"/>
      <c r="BP663" s="540"/>
      <c r="BQ663" s="540"/>
      <c r="BR663" s="540"/>
      <c r="BS663" s="540"/>
      <c r="BT663" s="540"/>
      <c r="BU663" s="540"/>
      <c r="BV663" s="540"/>
      <c r="BW663" s="540"/>
      <c r="BX663" s="540"/>
      <c r="BY663" s="540"/>
      <c r="BZ663" s="540"/>
      <c r="CA663" s="540"/>
      <c r="CB663" s="540"/>
      <c r="CC663" s="540"/>
      <c r="CD663" s="540"/>
      <c r="CE663" s="540"/>
      <c r="CF663" s="540"/>
      <c r="CG663" s="540"/>
      <c r="CH663" s="540"/>
      <c r="CI663" s="540"/>
      <c r="CJ663" s="540"/>
      <c r="CK663" s="540"/>
      <c r="CL663" s="540"/>
      <c r="CM663" s="540"/>
      <c r="CN663" s="540"/>
      <c r="CO663" s="540"/>
      <c r="CP663" s="540"/>
      <c r="CQ663" s="540"/>
      <c r="CR663" s="540"/>
      <c r="CS663" s="540"/>
      <c r="CT663" s="540"/>
      <c r="CU663" s="540"/>
      <c r="CV663" s="540"/>
      <c r="CW663" s="540"/>
      <c r="CX663" s="540"/>
      <c r="CY663" s="540"/>
      <c r="CZ663" s="540"/>
      <c r="DA663" s="540"/>
      <c r="DB663" s="540"/>
      <c r="DC663" s="540"/>
      <c r="DD663" s="540"/>
      <c r="DE663" s="540"/>
    </row>
    <row r="664" spans="1:109" s="116" customFormat="1" x14ac:dyDescent="0.2">
      <c r="A664" s="435"/>
      <c r="B664" s="435"/>
      <c r="C664" s="435"/>
      <c r="D664" s="435"/>
      <c r="AB664" s="540"/>
      <c r="AU664" s="540"/>
      <c r="AV664" s="540"/>
      <c r="AW664" s="540"/>
      <c r="AX664" s="540"/>
      <c r="AY664" s="540"/>
      <c r="AZ664" s="540"/>
      <c r="BA664" s="540"/>
      <c r="BB664" s="540"/>
      <c r="BC664" s="540"/>
      <c r="BD664" s="540"/>
      <c r="BE664" s="540"/>
      <c r="BF664" s="540"/>
      <c r="BG664" s="540"/>
      <c r="BH664" s="540"/>
      <c r="BI664" s="540"/>
      <c r="BJ664" s="540"/>
      <c r="BK664" s="540"/>
      <c r="BL664" s="540"/>
      <c r="BM664" s="540"/>
      <c r="BN664" s="540"/>
      <c r="BO664" s="540"/>
      <c r="BP664" s="540"/>
      <c r="BQ664" s="540"/>
      <c r="BR664" s="540"/>
      <c r="BS664" s="540"/>
      <c r="BT664" s="540"/>
      <c r="BU664" s="540"/>
      <c r="BV664" s="540"/>
      <c r="BW664" s="540"/>
      <c r="BX664" s="540"/>
      <c r="BY664" s="540"/>
      <c r="BZ664" s="540"/>
      <c r="CA664" s="540"/>
      <c r="CB664" s="540"/>
      <c r="CC664" s="540"/>
      <c r="CD664" s="540"/>
      <c r="CE664" s="540"/>
      <c r="CF664" s="540"/>
      <c r="CG664" s="540"/>
      <c r="CH664" s="540"/>
      <c r="CI664" s="540"/>
      <c r="CJ664" s="540"/>
      <c r="CK664" s="540"/>
      <c r="CL664" s="540"/>
      <c r="CM664" s="540"/>
      <c r="CN664" s="540"/>
      <c r="CO664" s="540"/>
      <c r="CP664" s="540"/>
      <c r="CQ664" s="540"/>
      <c r="CR664" s="540"/>
      <c r="CS664" s="540"/>
      <c r="CT664" s="540"/>
      <c r="CU664" s="540"/>
      <c r="CV664" s="540"/>
      <c r="CW664" s="540"/>
      <c r="CX664" s="540"/>
      <c r="CY664" s="540"/>
      <c r="CZ664" s="540"/>
      <c r="DA664" s="540"/>
      <c r="DB664" s="540"/>
      <c r="DC664" s="540"/>
      <c r="DD664" s="540"/>
      <c r="DE664" s="540"/>
    </row>
    <row r="665" spans="1:109" s="116" customFormat="1" x14ac:dyDescent="0.2">
      <c r="A665" s="435"/>
      <c r="B665" s="435"/>
      <c r="C665" s="435"/>
      <c r="D665" s="435"/>
      <c r="AB665" s="540"/>
      <c r="AU665" s="540"/>
      <c r="AV665" s="540"/>
      <c r="AW665" s="540"/>
      <c r="AX665" s="540"/>
      <c r="AY665" s="540"/>
      <c r="AZ665" s="540"/>
      <c r="BA665" s="540"/>
      <c r="BB665" s="540"/>
      <c r="BC665" s="540"/>
      <c r="BD665" s="540"/>
      <c r="BE665" s="540"/>
      <c r="BF665" s="540"/>
      <c r="BG665" s="540"/>
      <c r="BH665" s="540"/>
      <c r="BI665" s="540"/>
      <c r="BJ665" s="540"/>
      <c r="BK665" s="540"/>
      <c r="BL665" s="540"/>
      <c r="BM665" s="540"/>
      <c r="BN665" s="540"/>
      <c r="BO665" s="540"/>
      <c r="BP665" s="540"/>
      <c r="BQ665" s="540"/>
      <c r="BR665" s="540"/>
      <c r="BS665" s="540"/>
      <c r="BT665" s="540"/>
      <c r="BU665" s="540"/>
      <c r="BV665" s="540"/>
      <c r="BW665" s="540"/>
      <c r="BX665" s="540"/>
      <c r="BY665" s="540"/>
      <c r="BZ665" s="540"/>
      <c r="CA665" s="540"/>
      <c r="CB665" s="540"/>
      <c r="CC665" s="540"/>
      <c r="CD665" s="540"/>
      <c r="CE665" s="540"/>
      <c r="CF665" s="540"/>
      <c r="CG665" s="540"/>
      <c r="CH665" s="540"/>
      <c r="CI665" s="540"/>
      <c r="CJ665" s="540"/>
      <c r="CK665" s="540"/>
      <c r="CL665" s="540"/>
      <c r="CM665" s="540"/>
      <c r="CN665" s="540"/>
      <c r="CO665" s="540"/>
      <c r="CP665" s="540"/>
      <c r="CQ665" s="540"/>
      <c r="CR665" s="540"/>
      <c r="CS665" s="540"/>
      <c r="CT665" s="540"/>
      <c r="CU665" s="540"/>
      <c r="CV665" s="540"/>
      <c r="CW665" s="540"/>
      <c r="CX665" s="540"/>
      <c r="CY665" s="540"/>
      <c r="CZ665" s="540"/>
      <c r="DA665" s="540"/>
      <c r="DB665" s="540"/>
      <c r="DC665" s="540"/>
      <c r="DD665" s="540"/>
      <c r="DE665" s="540"/>
    </row>
    <row r="666" spans="1:109" s="116" customFormat="1" x14ac:dyDescent="0.2">
      <c r="A666" s="435"/>
      <c r="B666" s="435"/>
      <c r="C666" s="435"/>
      <c r="D666" s="435"/>
      <c r="AB666" s="540"/>
      <c r="AU666" s="540"/>
      <c r="AV666" s="540"/>
      <c r="AW666" s="540"/>
      <c r="AX666" s="540"/>
      <c r="AY666" s="540"/>
      <c r="AZ666" s="540"/>
      <c r="BA666" s="540"/>
      <c r="BB666" s="540"/>
      <c r="BC666" s="540"/>
      <c r="BD666" s="540"/>
      <c r="BE666" s="540"/>
      <c r="BF666" s="540"/>
      <c r="BG666" s="540"/>
      <c r="BH666" s="540"/>
      <c r="BI666" s="540"/>
      <c r="BJ666" s="540"/>
      <c r="BK666" s="540"/>
      <c r="BL666" s="540"/>
      <c r="BM666" s="540"/>
      <c r="BN666" s="540"/>
      <c r="BO666" s="540"/>
      <c r="BP666" s="540"/>
      <c r="BQ666" s="540"/>
      <c r="BR666" s="540"/>
      <c r="BS666" s="540"/>
      <c r="BT666" s="540"/>
      <c r="BU666" s="540"/>
      <c r="BV666" s="540"/>
      <c r="BW666" s="540"/>
      <c r="BX666" s="540"/>
      <c r="BY666" s="540"/>
      <c r="BZ666" s="540"/>
      <c r="CA666" s="540"/>
      <c r="CB666" s="540"/>
      <c r="CC666" s="540"/>
      <c r="CD666" s="540"/>
      <c r="CE666" s="540"/>
      <c r="CF666" s="540"/>
      <c r="CG666" s="540"/>
      <c r="CH666" s="540"/>
      <c r="CI666" s="540"/>
      <c r="CJ666" s="540"/>
      <c r="CK666" s="540"/>
      <c r="CL666" s="540"/>
      <c r="CM666" s="540"/>
      <c r="CN666" s="540"/>
      <c r="CO666" s="540"/>
      <c r="CP666" s="540"/>
      <c r="CQ666" s="540"/>
      <c r="CR666" s="540"/>
      <c r="CS666" s="540"/>
      <c r="CT666" s="540"/>
      <c r="CU666" s="540"/>
      <c r="CV666" s="540"/>
      <c r="CW666" s="540"/>
      <c r="CX666" s="540"/>
      <c r="CY666" s="540"/>
      <c r="CZ666" s="540"/>
      <c r="DA666" s="540"/>
      <c r="DB666" s="540"/>
      <c r="DC666" s="540"/>
      <c r="DD666" s="540"/>
      <c r="DE666" s="540"/>
    </row>
    <row r="667" spans="1:109" s="116" customFormat="1" x14ac:dyDescent="0.2">
      <c r="A667" s="435"/>
      <c r="B667" s="435"/>
      <c r="C667" s="435"/>
      <c r="D667" s="435"/>
      <c r="AB667" s="540"/>
      <c r="AU667" s="540"/>
      <c r="AV667" s="540"/>
      <c r="AW667" s="540"/>
      <c r="AX667" s="540"/>
      <c r="AY667" s="540"/>
      <c r="AZ667" s="540"/>
      <c r="BA667" s="540"/>
      <c r="BB667" s="540"/>
      <c r="BC667" s="540"/>
      <c r="BD667" s="540"/>
      <c r="BE667" s="540"/>
      <c r="BF667" s="540"/>
      <c r="BG667" s="540"/>
      <c r="BH667" s="540"/>
      <c r="BI667" s="540"/>
      <c r="BJ667" s="540"/>
      <c r="BK667" s="540"/>
      <c r="BL667" s="540"/>
      <c r="BM667" s="540"/>
      <c r="BN667" s="540"/>
      <c r="BO667" s="540"/>
      <c r="BP667" s="540"/>
      <c r="BQ667" s="540"/>
      <c r="BR667" s="540"/>
      <c r="BS667" s="540"/>
      <c r="BT667" s="540"/>
      <c r="BU667" s="540"/>
      <c r="BV667" s="540"/>
      <c r="BW667" s="540"/>
      <c r="BX667" s="540"/>
      <c r="BY667" s="540"/>
      <c r="BZ667" s="540"/>
      <c r="CA667" s="540"/>
      <c r="CB667" s="540"/>
      <c r="CC667" s="540"/>
      <c r="CD667" s="540"/>
      <c r="CE667" s="540"/>
      <c r="CF667" s="540"/>
      <c r="CG667" s="540"/>
      <c r="CH667" s="540"/>
      <c r="CI667" s="540"/>
      <c r="CJ667" s="540"/>
      <c r="CK667" s="540"/>
      <c r="CL667" s="540"/>
      <c r="CM667" s="540"/>
      <c r="CN667" s="540"/>
      <c r="CO667" s="540"/>
      <c r="CP667" s="540"/>
      <c r="CQ667" s="540"/>
      <c r="CR667" s="540"/>
      <c r="CS667" s="540"/>
      <c r="CT667" s="540"/>
      <c r="CU667" s="540"/>
      <c r="CV667" s="540"/>
      <c r="CW667" s="540"/>
      <c r="CX667" s="540"/>
      <c r="CY667" s="540"/>
      <c r="CZ667" s="540"/>
      <c r="DA667" s="540"/>
      <c r="DB667" s="540"/>
      <c r="DC667" s="540"/>
      <c r="DD667" s="540"/>
      <c r="DE667" s="540"/>
    </row>
    <row r="668" spans="1:109" s="116" customFormat="1" x14ac:dyDescent="0.2">
      <c r="A668" s="435"/>
      <c r="B668" s="435"/>
      <c r="C668" s="435"/>
      <c r="D668" s="435"/>
      <c r="AB668" s="540"/>
      <c r="AU668" s="540"/>
      <c r="AV668" s="540"/>
      <c r="AW668" s="540"/>
      <c r="AX668" s="540"/>
      <c r="AY668" s="540"/>
      <c r="AZ668" s="540"/>
      <c r="BA668" s="540"/>
      <c r="BB668" s="540"/>
      <c r="BC668" s="540"/>
      <c r="BD668" s="540"/>
      <c r="BE668" s="540"/>
      <c r="BF668" s="540"/>
      <c r="BG668" s="540"/>
      <c r="BH668" s="540"/>
      <c r="BI668" s="540"/>
      <c r="BJ668" s="540"/>
      <c r="BK668" s="540"/>
      <c r="BL668" s="540"/>
      <c r="BM668" s="540"/>
      <c r="BN668" s="540"/>
      <c r="BO668" s="540"/>
      <c r="BP668" s="540"/>
      <c r="BQ668" s="540"/>
      <c r="BR668" s="540"/>
      <c r="BS668" s="540"/>
      <c r="BT668" s="540"/>
      <c r="BU668" s="540"/>
      <c r="BV668" s="540"/>
      <c r="BW668" s="540"/>
      <c r="BX668" s="540"/>
      <c r="BY668" s="540"/>
      <c r="BZ668" s="540"/>
      <c r="CA668" s="540"/>
      <c r="CB668" s="540"/>
      <c r="CC668" s="540"/>
      <c r="CD668" s="540"/>
      <c r="CE668" s="540"/>
      <c r="CF668" s="540"/>
      <c r="CG668" s="540"/>
      <c r="CH668" s="540"/>
      <c r="CI668" s="540"/>
      <c r="CJ668" s="540"/>
      <c r="CK668" s="540"/>
      <c r="CL668" s="540"/>
      <c r="CM668" s="540"/>
      <c r="CN668" s="540"/>
      <c r="CO668" s="540"/>
      <c r="CP668" s="540"/>
      <c r="CQ668" s="540"/>
      <c r="CR668" s="540"/>
      <c r="CS668" s="540"/>
      <c r="CT668" s="540"/>
      <c r="CU668" s="540"/>
      <c r="CV668" s="540"/>
      <c r="CW668" s="540"/>
      <c r="CX668" s="540"/>
      <c r="CY668" s="540"/>
      <c r="CZ668" s="540"/>
      <c r="DA668" s="540"/>
      <c r="DB668" s="540"/>
      <c r="DC668" s="540"/>
      <c r="DD668" s="540"/>
      <c r="DE668" s="540"/>
    </row>
    <row r="669" spans="1:109" s="116" customFormat="1" x14ac:dyDescent="0.2">
      <c r="A669" s="435"/>
      <c r="B669" s="435"/>
      <c r="C669" s="435"/>
      <c r="D669" s="435"/>
      <c r="AB669" s="540"/>
      <c r="AU669" s="540"/>
      <c r="AV669" s="540"/>
      <c r="AW669" s="540"/>
      <c r="AX669" s="540"/>
      <c r="AY669" s="540"/>
      <c r="AZ669" s="540"/>
      <c r="BA669" s="540"/>
      <c r="BB669" s="540"/>
      <c r="BC669" s="540"/>
      <c r="BD669" s="540"/>
      <c r="BE669" s="540"/>
      <c r="BF669" s="540"/>
      <c r="BG669" s="540"/>
      <c r="BH669" s="540"/>
      <c r="BI669" s="540"/>
      <c r="BJ669" s="540"/>
      <c r="BK669" s="540"/>
      <c r="BL669" s="540"/>
      <c r="BM669" s="540"/>
      <c r="BN669" s="540"/>
      <c r="BO669" s="540"/>
      <c r="BP669" s="540"/>
      <c r="BQ669" s="540"/>
      <c r="BR669" s="540"/>
      <c r="BS669" s="540"/>
      <c r="BT669" s="540"/>
      <c r="BU669" s="540"/>
      <c r="BV669" s="540"/>
      <c r="BW669" s="540"/>
      <c r="BX669" s="540"/>
      <c r="BY669" s="540"/>
      <c r="BZ669" s="540"/>
      <c r="CA669" s="540"/>
      <c r="CB669" s="540"/>
      <c r="CC669" s="540"/>
      <c r="CD669" s="540"/>
      <c r="CE669" s="540"/>
      <c r="CF669" s="540"/>
      <c r="CG669" s="540"/>
      <c r="CH669" s="540"/>
      <c r="CI669" s="540"/>
      <c r="CJ669" s="540"/>
      <c r="CK669" s="540"/>
      <c r="CL669" s="540"/>
      <c r="CM669" s="540"/>
      <c r="CN669" s="540"/>
      <c r="CO669" s="540"/>
      <c r="CP669" s="540"/>
      <c r="CQ669" s="540"/>
      <c r="CR669" s="540"/>
      <c r="CS669" s="540"/>
      <c r="CT669" s="540"/>
      <c r="CU669" s="540"/>
      <c r="CV669" s="540"/>
      <c r="CW669" s="540"/>
      <c r="CX669" s="540"/>
      <c r="CY669" s="540"/>
      <c r="CZ669" s="540"/>
      <c r="DA669" s="540"/>
      <c r="DB669" s="540"/>
      <c r="DC669" s="540"/>
      <c r="DD669" s="540"/>
      <c r="DE669" s="540"/>
    </row>
    <row r="670" spans="1:109" s="116" customFormat="1" x14ac:dyDescent="0.2">
      <c r="A670" s="435"/>
      <c r="B670" s="435"/>
      <c r="C670" s="435"/>
      <c r="D670" s="435"/>
      <c r="AB670" s="540"/>
      <c r="AU670" s="540"/>
      <c r="AV670" s="540"/>
      <c r="AW670" s="540"/>
      <c r="AX670" s="540"/>
      <c r="AY670" s="540"/>
      <c r="AZ670" s="540"/>
      <c r="BA670" s="540"/>
      <c r="BB670" s="540"/>
      <c r="BC670" s="540"/>
      <c r="BD670" s="540"/>
      <c r="BE670" s="540"/>
      <c r="BF670" s="540"/>
      <c r="BG670" s="540"/>
      <c r="BH670" s="540"/>
      <c r="BI670" s="540"/>
      <c r="BJ670" s="540"/>
      <c r="BK670" s="540"/>
      <c r="BL670" s="540"/>
      <c r="BM670" s="540"/>
      <c r="BN670" s="540"/>
      <c r="BO670" s="540"/>
      <c r="BP670" s="540"/>
      <c r="BQ670" s="540"/>
      <c r="BR670" s="540"/>
      <c r="BS670" s="540"/>
      <c r="BT670" s="540"/>
      <c r="BU670" s="540"/>
      <c r="BV670" s="540"/>
      <c r="BW670" s="540"/>
      <c r="BX670" s="540"/>
      <c r="BY670" s="540"/>
      <c r="BZ670" s="540"/>
      <c r="CA670" s="540"/>
      <c r="CB670" s="540"/>
      <c r="CC670" s="540"/>
      <c r="CD670" s="540"/>
      <c r="CE670" s="540"/>
      <c r="CF670" s="540"/>
      <c r="CG670" s="540"/>
      <c r="CH670" s="540"/>
      <c r="CI670" s="540"/>
      <c r="CJ670" s="540"/>
      <c r="CK670" s="540"/>
      <c r="CL670" s="540"/>
      <c r="CM670" s="540"/>
      <c r="CN670" s="540"/>
      <c r="CO670" s="540"/>
      <c r="CP670" s="540"/>
      <c r="CQ670" s="540"/>
      <c r="CR670" s="540"/>
      <c r="CS670" s="540"/>
      <c r="CT670" s="540"/>
      <c r="CU670" s="540"/>
      <c r="CV670" s="540"/>
      <c r="CW670" s="540"/>
      <c r="CX670" s="540"/>
      <c r="CY670" s="540"/>
      <c r="CZ670" s="540"/>
      <c r="DA670" s="540"/>
      <c r="DB670" s="540"/>
      <c r="DC670" s="540"/>
      <c r="DD670" s="540"/>
      <c r="DE670" s="540"/>
    </row>
    <row r="671" spans="1:109" s="116" customFormat="1" x14ac:dyDescent="0.2">
      <c r="A671" s="435"/>
      <c r="B671" s="435"/>
      <c r="C671" s="435"/>
      <c r="D671" s="435"/>
      <c r="AB671" s="540"/>
      <c r="AU671" s="540"/>
      <c r="AV671" s="540"/>
      <c r="AW671" s="540"/>
      <c r="AX671" s="540"/>
      <c r="AY671" s="540"/>
      <c r="AZ671" s="540"/>
      <c r="BA671" s="540"/>
      <c r="BB671" s="540"/>
      <c r="BC671" s="540"/>
      <c r="BD671" s="540"/>
      <c r="BE671" s="540"/>
      <c r="BF671" s="540"/>
      <c r="BG671" s="540"/>
      <c r="BH671" s="540"/>
      <c r="BI671" s="540"/>
      <c r="BJ671" s="540"/>
      <c r="BK671" s="540"/>
      <c r="BL671" s="540"/>
      <c r="BM671" s="540"/>
      <c r="BN671" s="540"/>
      <c r="BO671" s="540"/>
      <c r="BP671" s="540"/>
      <c r="BQ671" s="540"/>
      <c r="BR671" s="540"/>
      <c r="BS671" s="540"/>
      <c r="BT671" s="540"/>
      <c r="BU671" s="540"/>
      <c r="BV671" s="540"/>
      <c r="BW671" s="540"/>
      <c r="BX671" s="540"/>
      <c r="BY671" s="540"/>
      <c r="BZ671" s="540"/>
      <c r="CA671" s="540"/>
      <c r="CB671" s="540"/>
      <c r="CC671" s="540"/>
      <c r="CD671" s="540"/>
      <c r="CE671" s="540"/>
      <c r="CF671" s="540"/>
      <c r="CG671" s="540"/>
      <c r="CH671" s="540"/>
      <c r="CI671" s="540"/>
      <c r="CJ671" s="540"/>
      <c r="CK671" s="540"/>
      <c r="CL671" s="540"/>
      <c r="CM671" s="540"/>
      <c r="CN671" s="540"/>
      <c r="CO671" s="540"/>
      <c r="CP671" s="540"/>
      <c r="CQ671" s="540"/>
      <c r="CR671" s="540"/>
      <c r="CS671" s="540"/>
      <c r="CT671" s="540"/>
      <c r="CU671" s="540"/>
      <c r="CV671" s="540"/>
      <c r="CW671" s="540"/>
      <c r="CX671" s="540"/>
      <c r="CY671" s="540"/>
      <c r="CZ671" s="540"/>
      <c r="DA671" s="540"/>
      <c r="DB671" s="540"/>
      <c r="DC671" s="540"/>
      <c r="DD671" s="540"/>
      <c r="DE671" s="540"/>
    </row>
    <row r="672" spans="1:109" s="116" customFormat="1" x14ac:dyDescent="0.2">
      <c r="A672" s="435"/>
      <c r="B672" s="435"/>
      <c r="C672" s="435"/>
      <c r="D672" s="435"/>
      <c r="AB672" s="540"/>
      <c r="AU672" s="540"/>
      <c r="AV672" s="540"/>
      <c r="AW672" s="540"/>
      <c r="AX672" s="540"/>
      <c r="AY672" s="540"/>
      <c r="AZ672" s="540"/>
      <c r="BA672" s="540"/>
      <c r="BB672" s="540"/>
      <c r="BC672" s="540"/>
      <c r="BD672" s="540"/>
      <c r="BE672" s="540"/>
      <c r="BF672" s="540"/>
      <c r="BG672" s="540"/>
      <c r="BH672" s="540"/>
      <c r="BI672" s="540"/>
      <c r="BJ672" s="540"/>
      <c r="BK672" s="540"/>
      <c r="BL672" s="540"/>
      <c r="BM672" s="540"/>
      <c r="BN672" s="540"/>
      <c r="BO672" s="540"/>
      <c r="BP672" s="540"/>
      <c r="BQ672" s="540"/>
      <c r="BR672" s="540"/>
      <c r="BS672" s="540"/>
      <c r="BT672" s="540"/>
      <c r="BU672" s="540"/>
      <c r="BV672" s="540"/>
      <c r="BW672" s="540"/>
      <c r="BX672" s="540"/>
      <c r="BY672" s="540"/>
      <c r="BZ672" s="540"/>
      <c r="CA672" s="540"/>
      <c r="CB672" s="540"/>
      <c r="CC672" s="540"/>
      <c r="CD672" s="540"/>
      <c r="CE672" s="540"/>
      <c r="CF672" s="540"/>
      <c r="CG672" s="540"/>
      <c r="CH672" s="540"/>
      <c r="CI672" s="540"/>
      <c r="CJ672" s="540"/>
      <c r="CK672" s="540"/>
      <c r="CL672" s="540"/>
      <c r="CM672" s="540"/>
      <c r="CN672" s="540"/>
      <c r="CO672" s="540"/>
      <c r="CP672" s="540"/>
      <c r="CQ672" s="540"/>
      <c r="CR672" s="540"/>
      <c r="CS672" s="540"/>
      <c r="CT672" s="540"/>
      <c r="CU672" s="540"/>
      <c r="CV672" s="540"/>
      <c r="CW672" s="540"/>
      <c r="CX672" s="540"/>
      <c r="CY672" s="540"/>
      <c r="CZ672" s="540"/>
      <c r="DA672" s="540"/>
      <c r="DB672" s="540"/>
      <c r="DC672" s="540"/>
      <c r="DD672" s="540"/>
      <c r="DE672" s="540"/>
    </row>
    <row r="673" spans="1:109" s="116" customFormat="1" x14ac:dyDescent="0.2">
      <c r="A673" s="435"/>
      <c r="B673" s="435"/>
      <c r="C673" s="435"/>
      <c r="D673" s="435"/>
      <c r="AB673" s="540"/>
      <c r="AU673" s="540"/>
      <c r="AV673" s="540"/>
      <c r="AW673" s="540"/>
      <c r="AX673" s="540"/>
      <c r="AY673" s="540"/>
      <c r="AZ673" s="540"/>
      <c r="BA673" s="540"/>
      <c r="BB673" s="540"/>
      <c r="BC673" s="540"/>
      <c r="BD673" s="540"/>
      <c r="BE673" s="540"/>
      <c r="BF673" s="540"/>
      <c r="BG673" s="540"/>
      <c r="BH673" s="540"/>
      <c r="BI673" s="540"/>
      <c r="BJ673" s="540"/>
      <c r="BK673" s="540"/>
      <c r="BL673" s="540"/>
      <c r="BM673" s="540"/>
      <c r="BN673" s="540"/>
      <c r="BO673" s="540"/>
      <c r="BP673" s="540"/>
      <c r="BQ673" s="540"/>
      <c r="BR673" s="540"/>
      <c r="BS673" s="540"/>
      <c r="BT673" s="540"/>
      <c r="BU673" s="540"/>
      <c r="BV673" s="540"/>
      <c r="BW673" s="540"/>
      <c r="BX673" s="540"/>
      <c r="BY673" s="540"/>
      <c r="BZ673" s="540"/>
      <c r="CA673" s="540"/>
      <c r="CB673" s="540"/>
      <c r="CC673" s="540"/>
      <c r="CD673" s="540"/>
      <c r="CE673" s="540"/>
      <c r="CF673" s="540"/>
      <c r="CG673" s="540"/>
      <c r="CH673" s="540"/>
      <c r="CI673" s="540"/>
      <c r="CJ673" s="540"/>
      <c r="CK673" s="540"/>
      <c r="CL673" s="540"/>
      <c r="CM673" s="540"/>
      <c r="CN673" s="540"/>
      <c r="CO673" s="540"/>
      <c r="CP673" s="540"/>
      <c r="CQ673" s="540"/>
      <c r="CR673" s="540"/>
      <c r="CS673" s="540"/>
      <c r="CT673" s="540"/>
      <c r="CU673" s="540"/>
      <c r="CV673" s="540"/>
      <c r="CW673" s="540"/>
      <c r="CX673" s="540"/>
      <c r="CY673" s="540"/>
      <c r="CZ673" s="540"/>
      <c r="DA673" s="540"/>
      <c r="DB673" s="540"/>
      <c r="DC673" s="540"/>
      <c r="DD673" s="540"/>
      <c r="DE673" s="540"/>
    </row>
    <row r="674" spans="1:109" s="116" customFormat="1" x14ac:dyDescent="0.2">
      <c r="A674" s="435"/>
      <c r="B674" s="435"/>
      <c r="C674" s="435"/>
      <c r="D674" s="435"/>
      <c r="AB674" s="540"/>
      <c r="AU674" s="540"/>
      <c r="AV674" s="540"/>
      <c r="AW674" s="540"/>
      <c r="AX674" s="540"/>
      <c r="AY674" s="540"/>
      <c r="AZ674" s="540"/>
      <c r="BA674" s="540"/>
      <c r="BB674" s="540"/>
      <c r="BC674" s="540"/>
      <c r="BD674" s="540"/>
      <c r="BE674" s="540"/>
      <c r="BF674" s="540"/>
      <c r="BG674" s="540"/>
      <c r="BH674" s="540"/>
      <c r="BI674" s="540"/>
      <c r="BJ674" s="540"/>
      <c r="BK674" s="540"/>
      <c r="BL674" s="540"/>
      <c r="BM674" s="540"/>
      <c r="BN674" s="540"/>
      <c r="BO674" s="540"/>
      <c r="BP674" s="540"/>
      <c r="BQ674" s="540"/>
      <c r="BR674" s="540"/>
      <c r="BS674" s="540"/>
      <c r="BT674" s="540"/>
      <c r="BU674" s="540"/>
      <c r="BV674" s="540"/>
      <c r="BW674" s="540"/>
      <c r="BX674" s="540"/>
      <c r="BY674" s="540"/>
      <c r="BZ674" s="540"/>
      <c r="CA674" s="540"/>
      <c r="CB674" s="540"/>
      <c r="CC674" s="540"/>
      <c r="CD674" s="540"/>
      <c r="CE674" s="540"/>
      <c r="CF674" s="540"/>
      <c r="CG674" s="540"/>
      <c r="CH674" s="540"/>
      <c r="CI674" s="540"/>
      <c r="CJ674" s="540"/>
      <c r="CK674" s="540"/>
      <c r="CL674" s="540"/>
      <c r="CM674" s="540"/>
      <c r="CN674" s="540"/>
      <c r="CO674" s="540"/>
      <c r="CP674" s="540"/>
      <c r="CQ674" s="540"/>
      <c r="CR674" s="540"/>
      <c r="CS674" s="540"/>
      <c r="CT674" s="540"/>
      <c r="CU674" s="540"/>
      <c r="CV674" s="540"/>
      <c r="CW674" s="540"/>
      <c r="CX674" s="540"/>
      <c r="CY674" s="540"/>
      <c r="CZ674" s="540"/>
      <c r="DA674" s="540"/>
      <c r="DB674" s="540"/>
      <c r="DC674" s="540"/>
      <c r="DD674" s="540"/>
      <c r="DE674" s="540"/>
    </row>
    <row r="675" spans="1:109" s="116" customFormat="1" x14ac:dyDescent="0.2">
      <c r="A675" s="435"/>
      <c r="B675" s="435"/>
      <c r="C675" s="435"/>
      <c r="D675" s="435"/>
      <c r="AB675" s="540"/>
      <c r="AU675" s="540"/>
      <c r="AV675" s="540"/>
      <c r="AW675" s="540"/>
      <c r="AX675" s="540"/>
      <c r="AY675" s="540"/>
      <c r="AZ675" s="540"/>
      <c r="BA675" s="540"/>
      <c r="BB675" s="540"/>
      <c r="BC675" s="540"/>
      <c r="BD675" s="540"/>
      <c r="BE675" s="540"/>
      <c r="BF675" s="540"/>
      <c r="BG675" s="540"/>
      <c r="BH675" s="540"/>
      <c r="BI675" s="540"/>
      <c r="BJ675" s="540"/>
      <c r="BK675" s="540"/>
      <c r="BL675" s="540"/>
      <c r="BM675" s="540"/>
      <c r="BN675" s="540"/>
      <c r="BO675" s="540"/>
      <c r="BP675" s="540"/>
      <c r="BQ675" s="540"/>
      <c r="BR675" s="540"/>
      <c r="BS675" s="540"/>
      <c r="BT675" s="540"/>
      <c r="BU675" s="540"/>
      <c r="BV675" s="540"/>
      <c r="BW675" s="540"/>
      <c r="BX675" s="540"/>
      <c r="BY675" s="540"/>
      <c r="BZ675" s="540"/>
      <c r="CA675" s="540"/>
      <c r="CB675" s="540"/>
      <c r="CC675" s="540"/>
      <c r="CD675" s="540"/>
      <c r="CE675" s="540"/>
      <c r="CF675" s="540"/>
      <c r="CG675" s="540"/>
      <c r="CH675" s="540"/>
      <c r="CI675" s="540"/>
      <c r="CJ675" s="540"/>
      <c r="CK675" s="540"/>
      <c r="CL675" s="540"/>
      <c r="CM675" s="540"/>
      <c r="CN675" s="540"/>
      <c r="CO675" s="540"/>
      <c r="CP675" s="540"/>
      <c r="CQ675" s="540"/>
      <c r="CR675" s="540"/>
      <c r="CS675" s="540"/>
      <c r="CT675" s="540"/>
      <c r="CU675" s="540"/>
      <c r="CV675" s="540"/>
      <c r="CW675" s="540"/>
      <c r="CX675" s="540"/>
      <c r="CY675" s="540"/>
      <c r="CZ675" s="540"/>
      <c r="DA675" s="540"/>
      <c r="DB675" s="540"/>
      <c r="DC675" s="540"/>
      <c r="DD675" s="540"/>
      <c r="DE675" s="540"/>
    </row>
    <row r="676" spans="1:109" s="116" customFormat="1" x14ac:dyDescent="0.2">
      <c r="A676" s="435"/>
      <c r="B676" s="435"/>
      <c r="C676" s="435"/>
      <c r="D676" s="435"/>
      <c r="AB676" s="540"/>
      <c r="AU676" s="540"/>
      <c r="AV676" s="540"/>
      <c r="AW676" s="540"/>
      <c r="AX676" s="540"/>
      <c r="AY676" s="540"/>
      <c r="AZ676" s="540"/>
      <c r="BA676" s="540"/>
      <c r="BB676" s="540"/>
      <c r="BC676" s="540"/>
      <c r="BD676" s="540"/>
      <c r="BE676" s="540"/>
      <c r="BF676" s="540"/>
      <c r="BG676" s="540"/>
      <c r="BH676" s="540"/>
      <c r="BI676" s="540"/>
      <c r="BJ676" s="540"/>
      <c r="BK676" s="540"/>
      <c r="BL676" s="540"/>
      <c r="BM676" s="540"/>
      <c r="BN676" s="540"/>
      <c r="BO676" s="540"/>
      <c r="BP676" s="540"/>
      <c r="BQ676" s="540"/>
      <c r="BR676" s="540"/>
      <c r="BS676" s="540"/>
      <c r="BT676" s="540"/>
      <c r="BU676" s="540"/>
      <c r="BV676" s="540"/>
      <c r="BW676" s="540"/>
      <c r="BX676" s="540"/>
      <c r="BY676" s="540"/>
      <c r="BZ676" s="540"/>
      <c r="CA676" s="540"/>
      <c r="CB676" s="540"/>
      <c r="CC676" s="540"/>
      <c r="CD676" s="540"/>
      <c r="CE676" s="540"/>
      <c r="CF676" s="540"/>
      <c r="CG676" s="540"/>
      <c r="CH676" s="540"/>
      <c r="CI676" s="540"/>
      <c r="CJ676" s="540"/>
      <c r="CK676" s="540"/>
      <c r="CL676" s="540"/>
      <c r="CM676" s="540"/>
      <c r="CN676" s="540"/>
      <c r="CO676" s="540"/>
      <c r="CP676" s="540"/>
      <c r="CQ676" s="540"/>
      <c r="CR676" s="540"/>
      <c r="CS676" s="540"/>
      <c r="CT676" s="540"/>
      <c r="CU676" s="540"/>
      <c r="CV676" s="540"/>
      <c r="CW676" s="540"/>
      <c r="CX676" s="540"/>
      <c r="CY676" s="540"/>
      <c r="CZ676" s="540"/>
      <c r="DA676" s="540"/>
      <c r="DB676" s="540"/>
      <c r="DC676" s="540"/>
      <c r="DD676" s="540"/>
      <c r="DE676" s="540"/>
    </row>
    <row r="677" spans="1:109" s="116" customFormat="1" x14ac:dyDescent="0.2">
      <c r="A677" s="435"/>
      <c r="B677" s="435"/>
      <c r="C677" s="435"/>
      <c r="D677" s="435"/>
      <c r="AB677" s="540"/>
      <c r="AU677" s="540"/>
      <c r="AV677" s="540"/>
      <c r="AW677" s="540"/>
      <c r="AX677" s="540"/>
      <c r="AY677" s="540"/>
      <c r="AZ677" s="540"/>
      <c r="BA677" s="540"/>
      <c r="BB677" s="540"/>
      <c r="BC677" s="540"/>
      <c r="BD677" s="540"/>
      <c r="BE677" s="540"/>
      <c r="BF677" s="540"/>
      <c r="BG677" s="540"/>
      <c r="BH677" s="540"/>
      <c r="BI677" s="540"/>
      <c r="BJ677" s="540"/>
      <c r="BK677" s="540"/>
      <c r="BL677" s="540"/>
      <c r="BM677" s="540"/>
      <c r="BN677" s="540"/>
      <c r="BO677" s="540"/>
      <c r="BP677" s="540"/>
      <c r="BQ677" s="540"/>
      <c r="BR677" s="540"/>
      <c r="BS677" s="540"/>
      <c r="BT677" s="540"/>
      <c r="BU677" s="540"/>
      <c r="BV677" s="540"/>
      <c r="BW677" s="540"/>
      <c r="BX677" s="540"/>
      <c r="BY677" s="540"/>
      <c r="BZ677" s="540"/>
      <c r="CA677" s="540"/>
      <c r="CB677" s="540"/>
      <c r="CC677" s="540"/>
      <c r="CD677" s="540"/>
      <c r="CE677" s="540"/>
      <c r="CF677" s="540"/>
      <c r="CG677" s="540"/>
      <c r="CH677" s="540"/>
      <c r="CI677" s="540"/>
      <c r="CJ677" s="540"/>
      <c r="CK677" s="540"/>
      <c r="CL677" s="540"/>
      <c r="CM677" s="540"/>
      <c r="CN677" s="540"/>
      <c r="CO677" s="540"/>
      <c r="CP677" s="540"/>
      <c r="CQ677" s="540"/>
      <c r="CR677" s="540"/>
      <c r="CS677" s="540"/>
      <c r="CT677" s="540"/>
      <c r="CU677" s="540"/>
      <c r="CV677" s="540"/>
      <c r="CW677" s="540"/>
      <c r="CX677" s="540"/>
      <c r="CY677" s="540"/>
      <c r="CZ677" s="540"/>
      <c r="DA677" s="540"/>
      <c r="DB677" s="540"/>
      <c r="DC677" s="540"/>
      <c r="DD677" s="540"/>
      <c r="DE677" s="540"/>
    </row>
    <row r="678" spans="1:109" s="116" customFormat="1" x14ac:dyDescent="0.2">
      <c r="A678" s="435"/>
      <c r="B678" s="435"/>
      <c r="C678" s="435"/>
      <c r="D678" s="435"/>
      <c r="AB678" s="540"/>
      <c r="AU678" s="540"/>
      <c r="AV678" s="540"/>
      <c r="AW678" s="540"/>
      <c r="AX678" s="540"/>
      <c r="AY678" s="540"/>
      <c r="AZ678" s="540"/>
      <c r="BA678" s="540"/>
      <c r="BB678" s="540"/>
      <c r="BC678" s="540"/>
      <c r="BD678" s="540"/>
      <c r="BE678" s="540"/>
      <c r="BF678" s="540"/>
      <c r="BG678" s="540"/>
      <c r="BH678" s="540"/>
      <c r="BI678" s="540"/>
      <c r="BJ678" s="540"/>
      <c r="BK678" s="540"/>
      <c r="BL678" s="540"/>
      <c r="BM678" s="540"/>
      <c r="BN678" s="540"/>
      <c r="BO678" s="540"/>
      <c r="BP678" s="540"/>
      <c r="BQ678" s="540"/>
      <c r="BR678" s="540"/>
      <c r="BS678" s="540"/>
      <c r="BT678" s="540"/>
      <c r="BU678" s="540"/>
      <c r="BV678" s="540"/>
      <c r="BW678" s="540"/>
      <c r="BX678" s="540"/>
      <c r="BY678" s="540"/>
      <c r="BZ678" s="540"/>
      <c r="CA678" s="540"/>
      <c r="CB678" s="540"/>
      <c r="CC678" s="540"/>
      <c r="CD678" s="540"/>
      <c r="CE678" s="540"/>
      <c r="CF678" s="540"/>
      <c r="CG678" s="540"/>
      <c r="CH678" s="540"/>
      <c r="CI678" s="540"/>
      <c r="CJ678" s="540"/>
      <c r="CK678" s="540"/>
      <c r="CL678" s="540"/>
      <c r="CM678" s="540"/>
      <c r="CN678" s="540"/>
      <c r="CO678" s="540"/>
      <c r="CP678" s="540"/>
      <c r="CQ678" s="540"/>
      <c r="CR678" s="540"/>
      <c r="CS678" s="540"/>
      <c r="CT678" s="540"/>
      <c r="CU678" s="540"/>
      <c r="CV678" s="540"/>
      <c r="CW678" s="540"/>
      <c r="CX678" s="540"/>
      <c r="CY678" s="540"/>
      <c r="CZ678" s="540"/>
      <c r="DA678" s="540"/>
      <c r="DB678" s="540"/>
      <c r="DC678" s="540"/>
      <c r="DD678" s="540"/>
      <c r="DE678" s="540"/>
    </row>
    <row r="679" spans="1:109" s="116" customFormat="1" x14ac:dyDescent="0.2">
      <c r="A679" s="435"/>
      <c r="B679" s="435"/>
      <c r="C679" s="435"/>
      <c r="D679" s="435"/>
      <c r="AB679" s="540"/>
      <c r="AU679" s="540"/>
      <c r="AV679" s="540"/>
      <c r="AW679" s="540"/>
      <c r="AX679" s="540"/>
      <c r="AY679" s="540"/>
      <c r="AZ679" s="540"/>
      <c r="BA679" s="540"/>
      <c r="BB679" s="540"/>
      <c r="BC679" s="540"/>
      <c r="BD679" s="540"/>
      <c r="BE679" s="540"/>
      <c r="BF679" s="540"/>
      <c r="BG679" s="540"/>
      <c r="BH679" s="540"/>
      <c r="BI679" s="540"/>
      <c r="BJ679" s="540"/>
      <c r="BK679" s="540"/>
      <c r="BL679" s="540"/>
      <c r="BM679" s="540"/>
      <c r="BN679" s="540"/>
      <c r="BO679" s="540"/>
      <c r="BP679" s="540"/>
      <c r="BQ679" s="540"/>
      <c r="BR679" s="540"/>
      <c r="BS679" s="540"/>
      <c r="BT679" s="540"/>
      <c r="BU679" s="540"/>
      <c r="BV679" s="540"/>
      <c r="BW679" s="540"/>
      <c r="BX679" s="540"/>
      <c r="BY679" s="540"/>
      <c r="BZ679" s="540"/>
      <c r="CA679" s="540"/>
      <c r="CB679" s="540"/>
      <c r="CC679" s="540"/>
      <c r="CD679" s="540"/>
      <c r="CE679" s="540"/>
      <c r="CF679" s="540"/>
      <c r="CG679" s="540"/>
      <c r="CH679" s="540"/>
      <c r="CI679" s="540"/>
      <c r="CJ679" s="540"/>
      <c r="CK679" s="540"/>
      <c r="CL679" s="540"/>
      <c r="CM679" s="540"/>
      <c r="CN679" s="540"/>
      <c r="CO679" s="540"/>
      <c r="CP679" s="540"/>
      <c r="CQ679" s="540"/>
      <c r="CR679" s="540"/>
      <c r="CS679" s="540"/>
      <c r="CT679" s="540"/>
      <c r="CU679" s="540"/>
      <c r="CV679" s="540"/>
      <c r="CW679" s="540"/>
      <c r="CX679" s="540"/>
      <c r="CY679" s="540"/>
      <c r="CZ679" s="540"/>
      <c r="DA679" s="540"/>
      <c r="DB679" s="540"/>
      <c r="DC679" s="540"/>
      <c r="DD679" s="540"/>
      <c r="DE679" s="540"/>
    </row>
    <row r="680" spans="1:109" s="116" customFormat="1" x14ac:dyDescent="0.2">
      <c r="A680" s="435"/>
      <c r="B680" s="435"/>
      <c r="C680" s="435"/>
      <c r="D680" s="435"/>
      <c r="AB680" s="540"/>
      <c r="AU680" s="540"/>
      <c r="AV680" s="540"/>
      <c r="AW680" s="540"/>
      <c r="AX680" s="540"/>
      <c r="AY680" s="540"/>
      <c r="AZ680" s="540"/>
      <c r="BA680" s="540"/>
      <c r="BB680" s="540"/>
      <c r="BC680" s="540"/>
      <c r="BD680" s="540"/>
      <c r="BE680" s="540"/>
      <c r="BF680" s="540"/>
      <c r="BG680" s="540"/>
      <c r="BH680" s="540"/>
      <c r="BI680" s="540"/>
      <c r="BJ680" s="540"/>
      <c r="BK680" s="540"/>
      <c r="BL680" s="540"/>
      <c r="BM680" s="540"/>
      <c r="BN680" s="540"/>
      <c r="BO680" s="540"/>
      <c r="BP680" s="540"/>
      <c r="BQ680" s="540"/>
      <c r="BR680" s="540"/>
      <c r="BS680" s="540"/>
      <c r="BT680" s="540"/>
      <c r="BU680" s="540"/>
      <c r="BV680" s="540"/>
      <c r="BW680" s="540"/>
      <c r="BX680" s="540"/>
      <c r="BY680" s="540"/>
      <c r="BZ680" s="540"/>
      <c r="CA680" s="540"/>
      <c r="CB680" s="540"/>
      <c r="CC680" s="540"/>
      <c r="CD680" s="540"/>
      <c r="CE680" s="540"/>
      <c r="CF680" s="540"/>
      <c r="CG680" s="540"/>
      <c r="CH680" s="540"/>
      <c r="CI680" s="540"/>
      <c r="CJ680" s="540"/>
      <c r="CK680" s="540"/>
      <c r="CL680" s="540"/>
      <c r="CM680" s="540"/>
      <c r="CN680" s="540"/>
      <c r="CO680" s="540"/>
      <c r="CP680" s="540"/>
      <c r="CQ680" s="540"/>
      <c r="CR680" s="540"/>
      <c r="CS680" s="540"/>
      <c r="CT680" s="540"/>
      <c r="CU680" s="540"/>
      <c r="CV680" s="540"/>
      <c r="CW680" s="540"/>
      <c r="CX680" s="540"/>
      <c r="CY680" s="540"/>
      <c r="CZ680" s="540"/>
      <c r="DA680" s="540"/>
      <c r="DB680" s="540"/>
      <c r="DC680" s="540"/>
      <c r="DD680" s="540"/>
      <c r="DE680" s="540"/>
    </row>
    <row r="681" spans="1:109" s="116" customFormat="1" x14ac:dyDescent="0.2">
      <c r="A681" s="435"/>
      <c r="B681" s="435"/>
      <c r="C681" s="435"/>
      <c r="D681" s="435"/>
      <c r="AB681" s="540"/>
      <c r="AU681" s="540"/>
      <c r="AV681" s="540"/>
      <c r="AW681" s="540"/>
      <c r="AX681" s="540"/>
      <c r="AY681" s="540"/>
      <c r="AZ681" s="540"/>
      <c r="BA681" s="540"/>
      <c r="BB681" s="540"/>
      <c r="BC681" s="540"/>
      <c r="BD681" s="540"/>
      <c r="BE681" s="540"/>
      <c r="BF681" s="540"/>
      <c r="BG681" s="540"/>
      <c r="BH681" s="540"/>
      <c r="BI681" s="540"/>
      <c r="BJ681" s="540"/>
      <c r="BK681" s="540"/>
      <c r="BL681" s="540"/>
      <c r="BM681" s="540"/>
      <c r="BN681" s="540"/>
      <c r="BO681" s="540"/>
      <c r="BP681" s="540"/>
      <c r="BQ681" s="540"/>
      <c r="BR681" s="540"/>
      <c r="BS681" s="540"/>
      <c r="BT681" s="540"/>
      <c r="BU681" s="540"/>
      <c r="BV681" s="540"/>
      <c r="BW681" s="540"/>
      <c r="BX681" s="540"/>
      <c r="BY681" s="540"/>
      <c r="BZ681" s="540"/>
      <c r="CA681" s="540"/>
      <c r="CB681" s="540"/>
      <c r="CC681" s="540"/>
      <c r="CD681" s="540"/>
      <c r="CE681" s="540"/>
      <c r="CF681" s="540"/>
      <c r="CG681" s="540"/>
      <c r="CH681" s="540"/>
      <c r="CI681" s="540"/>
      <c r="CJ681" s="540"/>
      <c r="CK681" s="540"/>
      <c r="CL681" s="540"/>
      <c r="CM681" s="540"/>
      <c r="CN681" s="540"/>
      <c r="CO681" s="540"/>
      <c r="CP681" s="540"/>
      <c r="CQ681" s="540"/>
      <c r="CR681" s="540"/>
      <c r="CS681" s="540"/>
      <c r="CT681" s="540"/>
      <c r="CU681" s="540"/>
      <c r="CV681" s="540"/>
      <c r="CW681" s="540"/>
      <c r="CX681" s="540"/>
      <c r="CY681" s="540"/>
      <c r="CZ681" s="540"/>
      <c r="DA681" s="540"/>
      <c r="DB681" s="540"/>
      <c r="DC681" s="540"/>
      <c r="DD681" s="540"/>
      <c r="DE681" s="540"/>
    </row>
    <row r="682" spans="1:109" s="116" customFormat="1" x14ac:dyDescent="0.2">
      <c r="A682" s="435"/>
      <c r="B682" s="435"/>
      <c r="C682" s="435"/>
      <c r="D682" s="435"/>
      <c r="AB682" s="540"/>
      <c r="AU682" s="540"/>
      <c r="AV682" s="540"/>
      <c r="AW682" s="540"/>
      <c r="AX682" s="540"/>
      <c r="AY682" s="540"/>
      <c r="AZ682" s="540"/>
      <c r="BA682" s="540"/>
      <c r="BB682" s="540"/>
      <c r="BC682" s="540"/>
      <c r="BD682" s="540"/>
      <c r="BE682" s="540"/>
      <c r="BF682" s="540"/>
      <c r="BG682" s="540"/>
      <c r="BH682" s="540"/>
      <c r="BI682" s="540"/>
      <c r="BJ682" s="540"/>
      <c r="BK682" s="540"/>
      <c r="BL682" s="540"/>
      <c r="BM682" s="540"/>
      <c r="BN682" s="540"/>
      <c r="BO682" s="540"/>
      <c r="BP682" s="540"/>
      <c r="BQ682" s="540"/>
      <c r="BR682" s="540"/>
      <c r="BS682" s="540"/>
      <c r="BT682" s="540"/>
      <c r="BU682" s="540"/>
      <c r="BV682" s="540"/>
      <c r="BW682" s="540"/>
      <c r="BX682" s="540"/>
      <c r="BY682" s="540"/>
      <c r="BZ682" s="540"/>
      <c r="CA682" s="540"/>
      <c r="CB682" s="540"/>
      <c r="CC682" s="540"/>
      <c r="CD682" s="540"/>
      <c r="CE682" s="540"/>
      <c r="CF682" s="540"/>
      <c r="CG682" s="540"/>
      <c r="CH682" s="540"/>
      <c r="CI682" s="540"/>
      <c r="CJ682" s="540"/>
      <c r="CK682" s="540"/>
      <c r="CL682" s="540"/>
      <c r="CM682" s="540"/>
      <c r="CN682" s="540"/>
      <c r="CO682" s="540"/>
      <c r="CP682" s="540"/>
      <c r="CQ682" s="540"/>
      <c r="CR682" s="540"/>
      <c r="CS682" s="540"/>
      <c r="CT682" s="540"/>
      <c r="CU682" s="540"/>
      <c r="CV682" s="540"/>
      <c r="CW682" s="540"/>
      <c r="CX682" s="540"/>
      <c r="CY682" s="540"/>
      <c r="CZ682" s="540"/>
      <c r="DA682" s="540"/>
      <c r="DB682" s="540"/>
      <c r="DC682" s="540"/>
      <c r="DD682" s="540"/>
      <c r="DE682" s="540"/>
    </row>
    <row r="683" spans="1:109" s="116" customFormat="1" x14ac:dyDescent="0.2">
      <c r="A683" s="435"/>
      <c r="B683" s="435"/>
      <c r="C683" s="435"/>
      <c r="D683" s="435"/>
      <c r="AB683" s="540"/>
      <c r="AU683" s="540"/>
      <c r="AV683" s="540"/>
      <c r="AW683" s="540"/>
      <c r="AX683" s="540"/>
      <c r="AY683" s="540"/>
      <c r="AZ683" s="540"/>
      <c r="BA683" s="540"/>
      <c r="BB683" s="540"/>
      <c r="BC683" s="540"/>
      <c r="BD683" s="540"/>
      <c r="BE683" s="540"/>
      <c r="BF683" s="540"/>
      <c r="BG683" s="540"/>
      <c r="BH683" s="540"/>
      <c r="BI683" s="540"/>
      <c r="BJ683" s="540"/>
      <c r="BK683" s="540"/>
      <c r="BL683" s="540"/>
      <c r="BM683" s="540"/>
      <c r="BN683" s="540"/>
      <c r="BO683" s="540"/>
      <c r="BP683" s="540"/>
      <c r="BQ683" s="540"/>
      <c r="BR683" s="540"/>
      <c r="BS683" s="540"/>
      <c r="BT683" s="540"/>
      <c r="BU683" s="540"/>
      <c r="BV683" s="540"/>
      <c r="BW683" s="540"/>
      <c r="BX683" s="540"/>
      <c r="BY683" s="540"/>
      <c r="BZ683" s="540"/>
      <c r="CA683" s="540"/>
      <c r="CB683" s="540"/>
      <c r="CC683" s="540"/>
      <c r="CD683" s="540"/>
      <c r="CE683" s="540"/>
      <c r="CF683" s="540"/>
      <c r="CG683" s="540"/>
      <c r="CH683" s="540"/>
      <c r="CI683" s="540"/>
      <c r="CJ683" s="540"/>
      <c r="CK683" s="540"/>
      <c r="CL683" s="540"/>
      <c r="CM683" s="540"/>
      <c r="CN683" s="540"/>
      <c r="CO683" s="540"/>
      <c r="CP683" s="540"/>
      <c r="CQ683" s="540"/>
      <c r="CR683" s="540"/>
      <c r="CS683" s="540"/>
      <c r="CT683" s="540"/>
      <c r="CU683" s="540"/>
      <c r="CV683" s="540"/>
      <c r="CW683" s="540"/>
      <c r="CX683" s="540"/>
      <c r="CY683" s="540"/>
      <c r="CZ683" s="540"/>
      <c r="DA683" s="540"/>
      <c r="DB683" s="540"/>
      <c r="DC683" s="540"/>
      <c r="DD683" s="540"/>
      <c r="DE683" s="540"/>
    </row>
    <row r="684" spans="1:109" s="116" customFormat="1" x14ac:dyDescent="0.2">
      <c r="A684" s="435"/>
      <c r="B684" s="435"/>
      <c r="C684" s="435"/>
      <c r="D684" s="435"/>
      <c r="AB684" s="540"/>
      <c r="AU684" s="540"/>
      <c r="AV684" s="540"/>
      <c r="AW684" s="540"/>
      <c r="AX684" s="540"/>
      <c r="AY684" s="540"/>
      <c r="AZ684" s="540"/>
      <c r="BA684" s="540"/>
      <c r="BB684" s="540"/>
      <c r="BC684" s="540"/>
      <c r="BD684" s="540"/>
      <c r="BE684" s="540"/>
      <c r="BF684" s="540"/>
      <c r="BG684" s="540"/>
      <c r="BH684" s="540"/>
      <c r="BI684" s="540"/>
      <c r="BJ684" s="540"/>
      <c r="BK684" s="540"/>
      <c r="BL684" s="540"/>
      <c r="BM684" s="540"/>
      <c r="BN684" s="540"/>
      <c r="BO684" s="540"/>
      <c r="BP684" s="540"/>
      <c r="BQ684" s="540"/>
      <c r="BR684" s="540"/>
      <c r="BS684" s="540"/>
      <c r="BT684" s="540"/>
      <c r="BU684" s="540"/>
      <c r="BV684" s="540"/>
      <c r="BW684" s="540"/>
      <c r="BX684" s="540"/>
      <c r="BY684" s="540"/>
      <c r="BZ684" s="540"/>
      <c r="CA684" s="540"/>
      <c r="CB684" s="540"/>
      <c r="CC684" s="540"/>
      <c r="CD684" s="540"/>
      <c r="CE684" s="540"/>
      <c r="CF684" s="540"/>
      <c r="CG684" s="540"/>
      <c r="CH684" s="540"/>
      <c r="CI684" s="540"/>
      <c r="CJ684" s="540"/>
      <c r="CK684" s="540"/>
      <c r="CL684" s="540"/>
      <c r="CM684" s="540"/>
      <c r="CN684" s="540"/>
      <c r="CO684" s="540"/>
      <c r="CP684" s="540"/>
      <c r="CQ684" s="540"/>
      <c r="CR684" s="540"/>
      <c r="CS684" s="540"/>
      <c r="CT684" s="540"/>
      <c r="CU684" s="540"/>
      <c r="CV684" s="540"/>
      <c r="CW684" s="540"/>
      <c r="CX684" s="540"/>
      <c r="CY684" s="540"/>
      <c r="CZ684" s="540"/>
      <c r="DA684" s="540"/>
      <c r="DB684" s="540"/>
      <c r="DC684" s="540"/>
      <c r="DD684" s="540"/>
      <c r="DE684" s="540"/>
    </row>
    <row r="685" spans="1:109" s="116" customFormat="1" x14ac:dyDescent="0.2">
      <c r="A685" s="435"/>
      <c r="B685" s="435"/>
      <c r="C685" s="435"/>
      <c r="D685" s="435"/>
      <c r="AB685" s="540"/>
      <c r="AU685" s="540"/>
      <c r="AV685" s="540"/>
      <c r="AW685" s="540"/>
      <c r="AX685" s="540"/>
      <c r="AY685" s="540"/>
      <c r="AZ685" s="540"/>
      <c r="BA685" s="540"/>
      <c r="BB685" s="540"/>
      <c r="BC685" s="540"/>
      <c r="BD685" s="540"/>
      <c r="BE685" s="540"/>
      <c r="BF685" s="540"/>
      <c r="BG685" s="540"/>
      <c r="BH685" s="540"/>
      <c r="BI685" s="540"/>
      <c r="BJ685" s="540"/>
      <c r="BK685" s="540"/>
      <c r="BL685" s="540"/>
      <c r="BM685" s="540"/>
      <c r="BN685" s="540"/>
      <c r="BO685" s="540"/>
      <c r="BP685" s="540"/>
      <c r="BQ685" s="540"/>
      <c r="BR685" s="540"/>
      <c r="BS685" s="540"/>
      <c r="BT685" s="540"/>
      <c r="BU685" s="540"/>
      <c r="BV685" s="540"/>
      <c r="BW685" s="540"/>
      <c r="BX685" s="540"/>
      <c r="BY685" s="540"/>
      <c r="BZ685" s="540"/>
      <c r="CA685" s="540"/>
      <c r="CB685" s="540"/>
      <c r="CC685" s="540"/>
      <c r="CD685" s="540"/>
      <c r="CE685" s="540"/>
      <c r="CF685" s="540"/>
      <c r="CG685" s="540"/>
      <c r="CH685" s="540"/>
      <c r="CI685" s="540"/>
      <c r="CJ685" s="540"/>
      <c r="CK685" s="540"/>
      <c r="CL685" s="540"/>
      <c r="CM685" s="540"/>
      <c r="CN685" s="540"/>
      <c r="CO685" s="540"/>
      <c r="CP685" s="540"/>
      <c r="CQ685" s="540"/>
      <c r="CR685" s="540"/>
      <c r="CS685" s="540"/>
      <c r="CT685" s="540"/>
      <c r="CU685" s="540"/>
      <c r="CV685" s="540"/>
      <c r="CW685" s="540"/>
      <c r="CX685" s="540"/>
      <c r="CY685" s="540"/>
      <c r="CZ685" s="540"/>
      <c r="DA685" s="540"/>
      <c r="DB685" s="540"/>
      <c r="DC685" s="540"/>
      <c r="DD685" s="540"/>
      <c r="DE685" s="540"/>
    </row>
    <row r="686" spans="1:109" s="116" customFormat="1" x14ac:dyDescent="0.2">
      <c r="A686" s="435"/>
      <c r="B686" s="435"/>
      <c r="C686" s="435"/>
      <c r="D686" s="435"/>
      <c r="AB686" s="540"/>
      <c r="AU686" s="540"/>
      <c r="AV686" s="540"/>
      <c r="AW686" s="540"/>
      <c r="AX686" s="540"/>
      <c r="AY686" s="540"/>
      <c r="AZ686" s="540"/>
      <c r="BA686" s="540"/>
      <c r="BB686" s="540"/>
      <c r="BC686" s="540"/>
      <c r="BD686" s="540"/>
      <c r="BE686" s="540"/>
      <c r="BF686" s="540"/>
      <c r="BG686" s="540"/>
      <c r="BH686" s="540"/>
      <c r="BI686" s="540"/>
      <c r="BJ686" s="540"/>
      <c r="BK686" s="540"/>
      <c r="BL686" s="540"/>
      <c r="BM686" s="540"/>
      <c r="BN686" s="540"/>
      <c r="BO686" s="540"/>
      <c r="BP686" s="540"/>
      <c r="BQ686" s="540"/>
      <c r="BR686" s="540"/>
      <c r="BS686" s="540"/>
      <c r="BT686" s="540"/>
      <c r="BU686" s="540"/>
      <c r="BV686" s="540"/>
      <c r="BW686" s="540"/>
      <c r="BX686" s="540"/>
      <c r="BY686" s="540"/>
      <c r="BZ686" s="540"/>
      <c r="CA686" s="540"/>
      <c r="CB686" s="540"/>
      <c r="CC686" s="540"/>
      <c r="CD686" s="540"/>
      <c r="CE686" s="540"/>
      <c r="CF686" s="540"/>
      <c r="CG686" s="540"/>
      <c r="CH686" s="540"/>
      <c r="CI686" s="540"/>
      <c r="CJ686" s="540"/>
      <c r="CK686" s="540"/>
      <c r="CL686" s="540"/>
      <c r="CM686" s="540"/>
      <c r="CN686" s="540"/>
      <c r="CO686" s="540"/>
      <c r="CP686" s="540"/>
      <c r="CQ686" s="540"/>
      <c r="CR686" s="540"/>
      <c r="CS686" s="540"/>
      <c r="CT686" s="540"/>
      <c r="CU686" s="540"/>
      <c r="CV686" s="540"/>
      <c r="CW686" s="540"/>
      <c r="CX686" s="540"/>
      <c r="CY686" s="540"/>
      <c r="CZ686" s="540"/>
      <c r="DA686" s="540"/>
      <c r="DB686" s="540"/>
      <c r="DC686" s="540"/>
      <c r="DD686" s="540"/>
      <c r="DE686" s="540"/>
    </row>
    <row r="687" spans="1:109" s="116" customFormat="1" x14ac:dyDescent="0.2">
      <c r="A687" s="435"/>
      <c r="B687" s="435"/>
      <c r="C687" s="435"/>
      <c r="D687" s="435"/>
      <c r="AB687" s="540"/>
      <c r="AU687" s="540"/>
      <c r="AV687" s="540"/>
      <c r="AW687" s="540"/>
      <c r="AX687" s="540"/>
      <c r="AY687" s="540"/>
      <c r="AZ687" s="540"/>
      <c r="BA687" s="540"/>
      <c r="BB687" s="540"/>
      <c r="BC687" s="540"/>
      <c r="BD687" s="540"/>
      <c r="BE687" s="540"/>
      <c r="BF687" s="540"/>
      <c r="BG687" s="540"/>
      <c r="BH687" s="540"/>
      <c r="BI687" s="540"/>
      <c r="BJ687" s="540"/>
      <c r="BK687" s="540"/>
      <c r="BL687" s="540"/>
      <c r="BM687" s="540"/>
      <c r="BN687" s="540"/>
      <c r="BO687" s="540"/>
      <c r="BP687" s="540"/>
      <c r="BQ687" s="540"/>
      <c r="BR687" s="540"/>
      <c r="BS687" s="540"/>
      <c r="BT687" s="540"/>
      <c r="BU687" s="540"/>
      <c r="BV687" s="540"/>
      <c r="BW687" s="540"/>
      <c r="BX687" s="540"/>
      <c r="BY687" s="540"/>
      <c r="BZ687" s="540"/>
      <c r="CA687" s="540"/>
      <c r="CB687" s="540"/>
      <c r="CC687" s="540"/>
      <c r="CD687" s="540"/>
      <c r="CE687" s="540"/>
      <c r="CF687" s="540"/>
      <c r="CG687" s="540"/>
      <c r="CH687" s="540"/>
      <c r="CI687" s="540"/>
      <c r="CJ687" s="540"/>
      <c r="CK687" s="540"/>
      <c r="CL687" s="540"/>
      <c r="CM687" s="540"/>
      <c r="CN687" s="540"/>
      <c r="CO687" s="540"/>
      <c r="CP687" s="540"/>
      <c r="CQ687" s="540"/>
      <c r="CR687" s="540"/>
      <c r="CS687" s="540"/>
      <c r="CT687" s="540"/>
      <c r="CU687" s="540"/>
      <c r="CV687" s="540"/>
      <c r="CW687" s="540"/>
      <c r="CX687" s="540"/>
      <c r="CY687" s="540"/>
      <c r="CZ687" s="540"/>
      <c r="DA687" s="540"/>
      <c r="DB687" s="540"/>
      <c r="DC687" s="540"/>
      <c r="DD687" s="540"/>
      <c r="DE687" s="540"/>
    </row>
    <row r="688" spans="1:109" s="116" customFormat="1" x14ac:dyDescent="0.2">
      <c r="A688" s="435"/>
      <c r="B688" s="435"/>
      <c r="C688" s="435"/>
      <c r="D688" s="435"/>
      <c r="AB688" s="540"/>
      <c r="AU688" s="540"/>
      <c r="AV688" s="540"/>
      <c r="AW688" s="540"/>
      <c r="AX688" s="540"/>
      <c r="AY688" s="540"/>
      <c r="AZ688" s="540"/>
      <c r="BA688" s="540"/>
      <c r="BB688" s="540"/>
      <c r="BC688" s="540"/>
      <c r="BD688" s="540"/>
      <c r="BE688" s="540"/>
      <c r="BF688" s="540"/>
      <c r="BG688" s="540"/>
      <c r="BH688" s="540"/>
      <c r="BI688" s="540"/>
      <c r="BJ688" s="540"/>
      <c r="BK688" s="540"/>
      <c r="BL688" s="540"/>
      <c r="BM688" s="540"/>
      <c r="BN688" s="540"/>
      <c r="BO688" s="540"/>
      <c r="BP688" s="540"/>
      <c r="BQ688" s="540"/>
      <c r="BR688" s="540"/>
      <c r="BS688" s="540"/>
      <c r="BT688" s="540"/>
      <c r="BU688" s="540"/>
      <c r="BV688" s="540"/>
      <c r="BW688" s="540"/>
      <c r="BX688" s="540"/>
      <c r="BY688" s="540"/>
      <c r="BZ688" s="540"/>
      <c r="CA688" s="540"/>
      <c r="CB688" s="540"/>
      <c r="CC688" s="540"/>
      <c r="CD688" s="540"/>
      <c r="CE688" s="540"/>
      <c r="CF688" s="540"/>
      <c r="CG688" s="540"/>
      <c r="CH688" s="540"/>
      <c r="CI688" s="540"/>
      <c r="CJ688" s="540"/>
      <c r="CK688" s="540"/>
      <c r="CL688" s="540"/>
      <c r="CM688" s="540"/>
      <c r="CN688" s="540"/>
      <c r="CO688" s="540"/>
      <c r="CP688" s="540"/>
      <c r="CQ688" s="540"/>
      <c r="CR688" s="540"/>
      <c r="CS688" s="540"/>
      <c r="CT688" s="540"/>
      <c r="CU688" s="540"/>
      <c r="CV688" s="540"/>
      <c r="CW688" s="540"/>
      <c r="CX688" s="540"/>
      <c r="CY688" s="540"/>
      <c r="CZ688" s="540"/>
      <c r="DA688" s="540"/>
      <c r="DB688" s="540"/>
      <c r="DC688" s="540"/>
      <c r="DD688" s="540"/>
      <c r="DE688" s="540"/>
    </row>
    <row r="689" spans="1:109" s="116" customFormat="1" x14ac:dyDescent="0.2">
      <c r="A689" s="435"/>
      <c r="B689" s="435"/>
      <c r="C689" s="435"/>
      <c r="D689" s="435"/>
      <c r="AB689" s="540"/>
      <c r="AU689" s="540"/>
      <c r="AV689" s="540"/>
      <c r="AW689" s="540"/>
      <c r="AX689" s="540"/>
      <c r="AY689" s="540"/>
      <c r="AZ689" s="540"/>
      <c r="BA689" s="540"/>
      <c r="BB689" s="540"/>
      <c r="BC689" s="540"/>
      <c r="BD689" s="540"/>
      <c r="BE689" s="540"/>
      <c r="BF689" s="540"/>
      <c r="BG689" s="540"/>
      <c r="BH689" s="540"/>
      <c r="BI689" s="540"/>
      <c r="BJ689" s="540"/>
      <c r="BK689" s="540"/>
      <c r="BL689" s="540"/>
      <c r="BM689" s="540"/>
      <c r="BN689" s="540"/>
      <c r="BO689" s="540"/>
      <c r="BP689" s="540"/>
      <c r="BQ689" s="540"/>
      <c r="BR689" s="540"/>
      <c r="BS689" s="540"/>
      <c r="BT689" s="540"/>
      <c r="BU689" s="540"/>
      <c r="BV689" s="540"/>
      <c r="BW689" s="540"/>
      <c r="BX689" s="540"/>
      <c r="BY689" s="540"/>
      <c r="BZ689" s="540"/>
      <c r="CA689" s="540"/>
      <c r="CB689" s="540"/>
      <c r="CC689" s="540"/>
      <c r="CD689" s="540"/>
      <c r="CE689" s="540"/>
      <c r="CF689" s="540"/>
      <c r="CG689" s="540"/>
      <c r="CH689" s="540"/>
      <c r="CI689" s="540"/>
      <c r="CJ689" s="540"/>
      <c r="CK689" s="540"/>
      <c r="CL689" s="540"/>
      <c r="CM689" s="540"/>
      <c r="CN689" s="540"/>
      <c r="CO689" s="540"/>
      <c r="CP689" s="540"/>
      <c r="CQ689" s="540"/>
      <c r="CR689" s="540"/>
      <c r="CS689" s="540"/>
      <c r="CT689" s="540"/>
      <c r="CU689" s="540"/>
      <c r="CV689" s="540"/>
      <c r="CW689" s="540"/>
      <c r="CX689" s="540"/>
      <c r="CY689" s="540"/>
      <c r="CZ689" s="540"/>
      <c r="DA689" s="540"/>
      <c r="DB689" s="540"/>
      <c r="DC689" s="540"/>
      <c r="DD689" s="540"/>
      <c r="DE689" s="540"/>
    </row>
    <row r="690" spans="1:109" s="116" customFormat="1" x14ac:dyDescent="0.2">
      <c r="A690" s="435"/>
      <c r="B690" s="435"/>
      <c r="C690" s="435"/>
      <c r="D690" s="435"/>
      <c r="AB690" s="540"/>
      <c r="AU690" s="540"/>
      <c r="AV690" s="540"/>
      <c r="AW690" s="540"/>
      <c r="AX690" s="540"/>
      <c r="AY690" s="540"/>
      <c r="AZ690" s="540"/>
      <c r="BA690" s="540"/>
      <c r="BB690" s="540"/>
      <c r="BC690" s="540"/>
      <c r="BD690" s="540"/>
      <c r="BE690" s="540"/>
      <c r="BF690" s="540"/>
      <c r="BG690" s="540"/>
      <c r="BH690" s="540"/>
      <c r="BI690" s="540"/>
      <c r="BJ690" s="540"/>
      <c r="BK690" s="540"/>
      <c r="BL690" s="540"/>
      <c r="BM690" s="540"/>
      <c r="BN690" s="540"/>
      <c r="BO690" s="540"/>
      <c r="BP690" s="540"/>
      <c r="BQ690" s="540"/>
      <c r="BR690" s="540"/>
      <c r="BS690" s="540"/>
      <c r="BT690" s="540"/>
      <c r="BU690" s="540"/>
      <c r="BV690" s="540"/>
      <c r="BW690" s="540"/>
      <c r="BX690" s="540"/>
      <c r="BY690" s="540"/>
      <c r="BZ690" s="540"/>
      <c r="CA690" s="540"/>
      <c r="CB690" s="540"/>
      <c r="CC690" s="540"/>
      <c r="CD690" s="540"/>
      <c r="CE690" s="540"/>
      <c r="CF690" s="540"/>
      <c r="CG690" s="540"/>
      <c r="CH690" s="540"/>
      <c r="CI690" s="540"/>
      <c r="CJ690" s="540"/>
      <c r="CK690" s="540"/>
      <c r="CL690" s="540"/>
      <c r="CM690" s="540"/>
      <c r="CN690" s="540"/>
      <c r="CO690" s="540"/>
      <c r="CP690" s="540"/>
      <c r="CQ690" s="540"/>
      <c r="CR690" s="540"/>
      <c r="CS690" s="540"/>
      <c r="CT690" s="540"/>
      <c r="CU690" s="540"/>
      <c r="CV690" s="540"/>
      <c r="CW690" s="540"/>
      <c r="CX690" s="540"/>
      <c r="CY690" s="540"/>
      <c r="CZ690" s="540"/>
      <c r="DA690" s="540"/>
      <c r="DB690" s="540"/>
      <c r="DC690" s="540"/>
      <c r="DD690" s="540"/>
      <c r="DE690" s="540"/>
    </row>
    <row r="691" spans="1:109" s="116" customFormat="1" x14ac:dyDescent="0.2">
      <c r="A691" s="435"/>
      <c r="B691" s="435"/>
      <c r="C691" s="435"/>
      <c r="D691" s="435"/>
      <c r="AB691" s="540"/>
      <c r="AU691" s="540"/>
      <c r="AV691" s="540"/>
      <c r="AW691" s="540"/>
      <c r="AX691" s="540"/>
      <c r="AY691" s="540"/>
      <c r="AZ691" s="540"/>
      <c r="BA691" s="540"/>
      <c r="BB691" s="540"/>
      <c r="BC691" s="540"/>
      <c r="BD691" s="540"/>
      <c r="BE691" s="540"/>
      <c r="BF691" s="540"/>
      <c r="BG691" s="540"/>
      <c r="BH691" s="540"/>
      <c r="BI691" s="540"/>
      <c r="BJ691" s="540"/>
      <c r="BK691" s="540"/>
      <c r="BL691" s="540"/>
      <c r="BM691" s="540"/>
      <c r="BN691" s="540"/>
      <c r="BO691" s="540"/>
      <c r="BP691" s="540"/>
      <c r="BQ691" s="540"/>
      <c r="BR691" s="540"/>
      <c r="BS691" s="540"/>
      <c r="BT691" s="540"/>
      <c r="BU691" s="540"/>
      <c r="BV691" s="540"/>
      <c r="BW691" s="540"/>
      <c r="BX691" s="540"/>
      <c r="BY691" s="540"/>
      <c r="BZ691" s="540"/>
      <c r="CA691" s="540"/>
      <c r="CB691" s="540"/>
      <c r="CC691" s="540"/>
      <c r="CD691" s="540"/>
      <c r="CE691" s="540"/>
      <c r="CF691" s="540"/>
      <c r="CG691" s="540"/>
      <c r="CH691" s="540"/>
      <c r="CI691" s="540"/>
      <c r="CJ691" s="540"/>
      <c r="CK691" s="540"/>
      <c r="CL691" s="540"/>
      <c r="CM691" s="540"/>
      <c r="CN691" s="540"/>
      <c r="CO691" s="540"/>
      <c r="CP691" s="540"/>
      <c r="CQ691" s="540"/>
      <c r="CR691" s="540"/>
      <c r="CS691" s="540"/>
      <c r="CT691" s="540"/>
      <c r="CU691" s="540"/>
      <c r="CV691" s="540"/>
      <c r="CW691" s="540"/>
      <c r="CX691" s="540"/>
      <c r="CY691" s="540"/>
      <c r="CZ691" s="540"/>
      <c r="DA691" s="540"/>
      <c r="DB691" s="540"/>
      <c r="DC691" s="540"/>
      <c r="DD691" s="540"/>
      <c r="DE691" s="540"/>
    </row>
    <row r="692" spans="1:109" s="116" customFormat="1" x14ac:dyDescent="0.2">
      <c r="A692" s="435"/>
      <c r="B692" s="435"/>
      <c r="C692" s="435"/>
      <c r="D692" s="435"/>
      <c r="AB692" s="540"/>
      <c r="AU692" s="540"/>
      <c r="AV692" s="540"/>
      <c r="AW692" s="540"/>
      <c r="AX692" s="540"/>
      <c r="AY692" s="540"/>
      <c r="AZ692" s="540"/>
      <c r="BA692" s="540"/>
      <c r="BB692" s="540"/>
      <c r="BC692" s="540"/>
      <c r="BD692" s="540"/>
      <c r="BE692" s="540"/>
      <c r="BF692" s="540"/>
      <c r="BG692" s="540"/>
      <c r="BH692" s="540"/>
      <c r="BI692" s="540"/>
      <c r="BJ692" s="540"/>
      <c r="BK692" s="540"/>
      <c r="BL692" s="540"/>
      <c r="BM692" s="540"/>
      <c r="BN692" s="540"/>
      <c r="BO692" s="540"/>
      <c r="BP692" s="540"/>
      <c r="BQ692" s="540"/>
      <c r="BR692" s="540"/>
      <c r="BS692" s="540"/>
      <c r="BT692" s="540"/>
      <c r="BU692" s="540"/>
      <c r="BV692" s="540"/>
      <c r="BW692" s="540"/>
      <c r="BX692" s="540"/>
      <c r="BY692" s="540"/>
      <c r="BZ692" s="540"/>
      <c r="CA692" s="540"/>
      <c r="CB692" s="540"/>
      <c r="CC692" s="540"/>
      <c r="CD692" s="540"/>
      <c r="CE692" s="540"/>
      <c r="CF692" s="540"/>
      <c r="CG692" s="540"/>
      <c r="CH692" s="540"/>
      <c r="CI692" s="540"/>
      <c r="CJ692" s="540"/>
      <c r="CK692" s="540"/>
      <c r="CL692" s="540"/>
      <c r="CM692" s="540"/>
      <c r="CN692" s="540"/>
      <c r="CO692" s="540"/>
      <c r="CP692" s="540"/>
      <c r="CQ692" s="540"/>
      <c r="CR692" s="540"/>
      <c r="CS692" s="540"/>
      <c r="CT692" s="540"/>
      <c r="CU692" s="540"/>
      <c r="CV692" s="540"/>
      <c r="CW692" s="540"/>
      <c r="CX692" s="540"/>
      <c r="CY692" s="540"/>
      <c r="CZ692" s="540"/>
      <c r="DA692" s="540"/>
      <c r="DB692" s="540"/>
      <c r="DC692" s="540"/>
      <c r="DD692" s="540"/>
      <c r="DE692" s="540"/>
    </row>
    <row r="693" spans="1:109" s="116" customFormat="1" x14ac:dyDescent="0.2">
      <c r="A693" s="435"/>
      <c r="B693" s="435"/>
      <c r="C693" s="435"/>
      <c r="D693" s="435"/>
      <c r="AB693" s="540"/>
      <c r="AU693" s="540"/>
      <c r="AV693" s="540"/>
      <c r="AW693" s="540"/>
      <c r="AX693" s="540"/>
      <c r="AY693" s="540"/>
      <c r="AZ693" s="540"/>
      <c r="BA693" s="540"/>
      <c r="BB693" s="540"/>
      <c r="BC693" s="540"/>
      <c r="BD693" s="540"/>
      <c r="BE693" s="540"/>
      <c r="BF693" s="540"/>
      <c r="BG693" s="540"/>
      <c r="BH693" s="540"/>
      <c r="BI693" s="540"/>
      <c r="BJ693" s="540"/>
      <c r="BK693" s="540"/>
      <c r="BL693" s="540"/>
      <c r="BM693" s="540"/>
      <c r="BN693" s="540"/>
      <c r="BO693" s="540"/>
      <c r="BP693" s="540"/>
      <c r="BQ693" s="540"/>
      <c r="BR693" s="540"/>
      <c r="BS693" s="540"/>
      <c r="BT693" s="540"/>
      <c r="BU693" s="540"/>
      <c r="BV693" s="540"/>
      <c r="BW693" s="540"/>
      <c r="BX693" s="540"/>
      <c r="BY693" s="540"/>
      <c r="BZ693" s="540"/>
      <c r="CA693" s="540"/>
      <c r="CB693" s="540"/>
      <c r="CC693" s="540"/>
      <c r="CD693" s="540"/>
      <c r="CE693" s="540"/>
      <c r="CF693" s="540"/>
      <c r="CG693" s="540"/>
      <c r="CH693" s="540"/>
      <c r="CI693" s="540"/>
      <c r="CJ693" s="540"/>
      <c r="CK693" s="540"/>
      <c r="CL693" s="540"/>
      <c r="CM693" s="540"/>
      <c r="CN693" s="540"/>
      <c r="CO693" s="540"/>
      <c r="CP693" s="540"/>
      <c r="CQ693" s="540"/>
      <c r="CR693" s="540"/>
      <c r="CS693" s="540"/>
      <c r="CT693" s="540"/>
      <c r="CU693" s="540"/>
      <c r="CV693" s="540"/>
      <c r="CW693" s="540"/>
      <c r="CX693" s="540"/>
      <c r="CY693" s="540"/>
      <c r="CZ693" s="540"/>
      <c r="DA693" s="540"/>
      <c r="DB693" s="540"/>
      <c r="DC693" s="540"/>
      <c r="DD693" s="540"/>
      <c r="DE693" s="540"/>
    </row>
    <row r="694" spans="1:109" s="116" customFormat="1" x14ac:dyDescent="0.2">
      <c r="A694" s="435"/>
      <c r="B694" s="435"/>
      <c r="C694" s="435"/>
      <c r="D694" s="435"/>
      <c r="AB694" s="540"/>
      <c r="AU694" s="540"/>
      <c r="AV694" s="540"/>
      <c r="AW694" s="540"/>
      <c r="AX694" s="540"/>
      <c r="AY694" s="540"/>
      <c r="AZ694" s="540"/>
      <c r="BA694" s="540"/>
      <c r="BB694" s="540"/>
      <c r="BC694" s="540"/>
      <c r="BD694" s="540"/>
      <c r="BE694" s="540"/>
      <c r="BF694" s="540"/>
      <c r="BG694" s="540"/>
      <c r="BH694" s="540"/>
      <c r="BI694" s="540"/>
      <c r="BJ694" s="540"/>
      <c r="BK694" s="540"/>
      <c r="BL694" s="540"/>
      <c r="BM694" s="540"/>
      <c r="BN694" s="540"/>
      <c r="BO694" s="540"/>
      <c r="BP694" s="540"/>
      <c r="BQ694" s="540"/>
      <c r="BR694" s="540"/>
      <c r="BS694" s="540"/>
      <c r="BT694" s="540"/>
      <c r="BU694" s="540"/>
      <c r="BV694" s="540"/>
      <c r="BW694" s="540"/>
      <c r="BX694" s="540"/>
      <c r="BY694" s="540"/>
      <c r="BZ694" s="540"/>
      <c r="CA694" s="540"/>
      <c r="CB694" s="540"/>
      <c r="CC694" s="540"/>
      <c r="CD694" s="540"/>
      <c r="CE694" s="540"/>
      <c r="CF694" s="540"/>
      <c r="CG694" s="540"/>
      <c r="CH694" s="540"/>
      <c r="CI694" s="540"/>
      <c r="CJ694" s="540"/>
      <c r="CK694" s="540"/>
      <c r="CL694" s="540"/>
      <c r="CM694" s="540"/>
      <c r="CN694" s="540"/>
      <c r="CO694" s="540"/>
      <c r="CP694" s="540"/>
      <c r="CQ694" s="540"/>
      <c r="CR694" s="540"/>
      <c r="CS694" s="540"/>
      <c r="CT694" s="540"/>
      <c r="CU694" s="540"/>
      <c r="CV694" s="540"/>
      <c r="CW694" s="540"/>
      <c r="CX694" s="540"/>
      <c r="CY694" s="540"/>
      <c r="CZ694" s="540"/>
      <c r="DA694" s="540"/>
      <c r="DB694" s="540"/>
      <c r="DC694" s="540"/>
      <c r="DD694" s="540"/>
      <c r="DE694" s="540"/>
    </row>
    <row r="695" spans="1:109" s="116" customFormat="1" x14ac:dyDescent="0.2">
      <c r="A695" s="435"/>
      <c r="B695" s="435"/>
      <c r="C695" s="435"/>
      <c r="D695" s="435"/>
      <c r="AB695" s="540"/>
      <c r="AU695" s="540"/>
      <c r="AV695" s="540"/>
      <c r="AW695" s="540"/>
      <c r="AX695" s="540"/>
      <c r="AY695" s="540"/>
      <c r="AZ695" s="540"/>
      <c r="BA695" s="540"/>
      <c r="BB695" s="540"/>
      <c r="BC695" s="540"/>
      <c r="BD695" s="540"/>
      <c r="BE695" s="540"/>
      <c r="BF695" s="540"/>
      <c r="BG695" s="540"/>
      <c r="BH695" s="540"/>
      <c r="BI695" s="540"/>
      <c r="BJ695" s="540"/>
      <c r="BK695" s="540"/>
      <c r="BL695" s="540"/>
      <c r="BM695" s="540"/>
      <c r="BN695" s="540"/>
      <c r="BO695" s="540"/>
      <c r="BP695" s="540"/>
      <c r="BQ695" s="540"/>
      <c r="BR695" s="540"/>
      <c r="BS695" s="540"/>
      <c r="BT695" s="540"/>
      <c r="BU695" s="540"/>
      <c r="BV695" s="540"/>
      <c r="BW695" s="540"/>
      <c r="BX695" s="540"/>
      <c r="BY695" s="540"/>
      <c r="BZ695" s="540"/>
      <c r="CA695" s="540"/>
      <c r="CB695" s="540"/>
      <c r="CC695" s="540"/>
      <c r="CD695" s="540"/>
      <c r="CE695" s="540"/>
      <c r="CF695" s="540"/>
      <c r="CG695" s="540"/>
      <c r="CH695" s="540"/>
      <c r="CI695" s="540"/>
      <c r="CJ695" s="540"/>
      <c r="CK695" s="540"/>
      <c r="CL695" s="540"/>
      <c r="CM695" s="540"/>
      <c r="CN695" s="540"/>
      <c r="CO695" s="540"/>
      <c r="CP695" s="540"/>
      <c r="CQ695" s="540"/>
      <c r="CR695" s="540"/>
      <c r="CS695" s="540"/>
      <c r="CT695" s="540"/>
      <c r="CU695" s="540"/>
      <c r="CV695" s="540"/>
      <c r="CW695" s="540"/>
      <c r="CX695" s="540"/>
      <c r="CY695" s="540"/>
      <c r="CZ695" s="540"/>
      <c r="DA695" s="540"/>
      <c r="DB695" s="540"/>
      <c r="DC695" s="540"/>
      <c r="DD695" s="540"/>
      <c r="DE695" s="540"/>
    </row>
    <row r="696" spans="1:109" s="116" customFormat="1" x14ac:dyDescent="0.2">
      <c r="A696" s="435"/>
      <c r="B696" s="435"/>
      <c r="C696" s="435"/>
      <c r="D696" s="435"/>
      <c r="AB696" s="540"/>
      <c r="AU696" s="540"/>
      <c r="AV696" s="540"/>
      <c r="AW696" s="540"/>
      <c r="AX696" s="540"/>
      <c r="AY696" s="540"/>
      <c r="AZ696" s="540"/>
      <c r="BA696" s="540"/>
      <c r="BB696" s="540"/>
      <c r="BC696" s="540"/>
      <c r="BD696" s="540"/>
      <c r="BE696" s="540"/>
      <c r="BF696" s="540"/>
      <c r="BG696" s="540"/>
      <c r="BH696" s="540"/>
      <c r="BI696" s="540"/>
      <c r="BJ696" s="540"/>
      <c r="BK696" s="540"/>
      <c r="BL696" s="540"/>
      <c r="BM696" s="540"/>
      <c r="BN696" s="540"/>
      <c r="BO696" s="540"/>
      <c r="BP696" s="540"/>
      <c r="BQ696" s="540"/>
      <c r="BR696" s="540"/>
      <c r="BS696" s="540"/>
      <c r="BT696" s="540"/>
      <c r="BU696" s="540"/>
      <c r="BV696" s="540"/>
      <c r="BW696" s="540"/>
      <c r="BX696" s="540"/>
      <c r="BY696" s="540"/>
      <c r="BZ696" s="540"/>
      <c r="CA696" s="540"/>
      <c r="CB696" s="540"/>
      <c r="CC696" s="540"/>
      <c r="CD696" s="540"/>
      <c r="CE696" s="540"/>
      <c r="CF696" s="540"/>
      <c r="CG696" s="540"/>
      <c r="CH696" s="540"/>
      <c r="CI696" s="540"/>
      <c r="CJ696" s="540"/>
      <c r="CK696" s="540"/>
      <c r="CL696" s="540"/>
      <c r="CM696" s="540"/>
      <c r="CN696" s="540"/>
      <c r="CO696" s="540"/>
      <c r="CP696" s="540"/>
      <c r="CQ696" s="540"/>
      <c r="CR696" s="540"/>
      <c r="CS696" s="540"/>
      <c r="CT696" s="540"/>
      <c r="CU696" s="540"/>
      <c r="CV696" s="540"/>
      <c r="CW696" s="540"/>
      <c r="CX696" s="540"/>
      <c r="CY696" s="540"/>
      <c r="CZ696" s="540"/>
      <c r="DA696" s="540"/>
      <c r="DB696" s="540"/>
      <c r="DC696" s="540"/>
      <c r="DD696" s="540"/>
      <c r="DE696" s="540"/>
    </row>
    <row r="697" spans="1:109" s="116" customFormat="1" x14ac:dyDescent="0.2">
      <c r="A697" s="435"/>
      <c r="B697" s="435"/>
      <c r="C697" s="435"/>
      <c r="D697" s="435"/>
      <c r="AB697" s="540"/>
      <c r="AU697" s="540"/>
      <c r="AV697" s="540"/>
      <c r="AW697" s="540"/>
      <c r="AX697" s="540"/>
      <c r="AY697" s="540"/>
      <c r="AZ697" s="540"/>
      <c r="BA697" s="540"/>
      <c r="BB697" s="540"/>
      <c r="BC697" s="540"/>
      <c r="BD697" s="540"/>
      <c r="BE697" s="540"/>
      <c r="BF697" s="540"/>
      <c r="BG697" s="540"/>
      <c r="BH697" s="540"/>
      <c r="BI697" s="540"/>
      <c r="BJ697" s="540"/>
      <c r="BK697" s="540"/>
      <c r="BL697" s="540"/>
      <c r="BM697" s="540"/>
      <c r="BN697" s="540"/>
      <c r="BO697" s="540"/>
      <c r="BP697" s="540"/>
      <c r="BQ697" s="540"/>
      <c r="BR697" s="540"/>
      <c r="BS697" s="540"/>
      <c r="BT697" s="540"/>
      <c r="BU697" s="540"/>
      <c r="BV697" s="540"/>
      <c r="BW697" s="540"/>
      <c r="BX697" s="540"/>
      <c r="BY697" s="540"/>
      <c r="BZ697" s="540"/>
      <c r="CA697" s="540"/>
      <c r="CB697" s="540"/>
      <c r="CC697" s="540"/>
      <c r="CD697" s="540"/>
      <c r="CE697" s="540"/>
      <c r="CF697" s="540"/>
      <c r="CG697" s="540"/>
      <c r="CH697" s="540"/>
      <c r="CI697" s="540"/>
      <c r="CJ697" s="540"/>
      <c r="CK697" s="540"/>
      <c r="CL697" s="540"/>
      <c r="CM697" s="540"/>
      <c r="CN697" s="540"/>
      <c r="CO697" s="540"/>
      <c r="CP697" s="540"/>
      <c r="CQ697" s="540"/>
      <c r="CR697" s="540"/>
      <c r="CS697" s="540"/>
      <c r="CT697" s="540"/>
      <c r="CU697" s="540"/>
      <c r="CV697" s="540"/>
      <c r="CW697" s="540"/>
      <c r="CX697" s="540"/>
      <c r="CY697" s="540"/>
      <c r="CZ697" s="540"/>
      <c r="DA697" s="540"/>
      <c r="DB697" s="540"/>
      <c r="DC697" s="540"/>
      <c r="DD697" s="540"/>
      <c r="DE697" s="540"/>
    </row>
    <row r="698" spans="1:109" s="116" customFormat="1" x14ac:dyDescent="0.2">
      <c r="A698" s="435"/>
      <c r="B698" s="435"/>
      <c r="C698" s="435"/>
      <c r="D698" s="435"/>
      <c r="AB698" s="540"/>
      <c r="AU698" s="540"/>
      <c r="AV698" s="540"/>
      <c r="AW698" s="540"/>
      <c r="AX698" s="540"/>
      <c r="AY698" s="540"/>
      <c r="AZ698" s="540"/>
      <c r="BA698" s="540"/>
      <c r="BB698" s="540"/>
      <c r="BC698" s="540"/>
      <c r="BD698" s="540"/>
      <c r="BE698" s="540"/>
      <c r="BF698" s="540"/>
      <c r="BG698" s="540"/>
      <c r="BH698" s="540"/>
      <c r="BI698" s="540"/>
      <c r="BJ698" s="540"/>
      <c r="BK698" s="540"/>
      <c r="BL698" s="540"/>
      <c r="BM698" s="540"/>
      <c r="BN698" s="540"/>
      <c r="BO698" s="540"/>
      <c r="BP698" s="540"/>
      <c r="BQ698" s="540"/>
      <c r="BR698" s="540"/>
      <c r="BS698" s="540"/>
      <c r="BT698" s="540"/>
      <c r="BU698" s="540"/>
      <c r="BV698" s="540"/>
      <c r="BW698" s="540"/>
      <c r="BX698" s="540"/>
      <c r="BY698" s="540"/>
      <c r="BZ698" s="540"/>
      <c r="CA698" s="540"/>
      <c r="CB698" s="540"/>
      <c r="CC698" s="540"/>
      <c r="CD698" s="540"/>
      <c r="CE698" s="540"/>
      <c r="CF698" s="540"/>
      <c r="CG698" s="540"/>
      <c r="CH698" s="540"/>
      <c r="CI698" s="540"/>
      <c r="CJ698" s="540"/>
      <c r="CK698" s="540"/>
      <c r="CL698" s="540"/>
      <c r="CM698" s="540"/>
      <c r="CN698" s="540"/>
      <c r="CO698" s="540"/>
      <c r="CP698" s="540"/>
      <c r="CQ698" s="540"/>
      <c r="CR698" s="540"/>
      <c r="CS698" s="540"/>
      <c r="CT698" s="540"/>
      <c r="CU698" s="540"/>
      <c r="CV698" s="540"/>
      <c r="CW698" s="540"/>
      <c r="CX698" s="540"/>
      <c r="CY698" s="540"/>
      <c r="CZ698" s="540"/>
      <c r="DA698" s="540"/>
      <c r="DB698" s="540"/>
      <c r="DC698" s="540"/>
      <c r="DD698" s="540"/>
      <c r="DE698" s="540"/>
    </row>
    <row r="699" spans="1:109" s="116" customFormat="1" x14ac:dyDescent="0.2">
      <c r="A699" s="435"/>
      <c r="B699" s="435"/>
      <c r="C699" s="435"/>
      <c r="D699" s="435"/>
      <c r="AB699" s="540"/>
      <c r="AU699" s="540"/>
      <c r="AV699" s="540"/>
      <c r="AW699" s="540"/>
      <c r="AX699" s="540"/>
      <c r="AY699" s="540"/>
      <c r="AZ699" s="540"/>
      <c r="BA699" s="540"/>
      <c r="BB699" s="540"/>
      <c r="BC699" s="540"/>
      <c r="BD699" s="540"/>
      <c r="BE699" s="540"/>
      <c r="BF699" s="540"/>
      <c r="BG699" s="540"/>
      <c r="BH699" s="540"/>
      <c r="BI699" s="540"/>
      <c r="BJ699" s="540"/>
      <c r="BK699" s="540"/>
      <c r="BL699" s="540"/>
      <c r="BM699" s="540"/>
      <c r="BN699" s="540"/>
      <c r="BO699" s="540"/>
      <c r="BP699" s="540"/>
      <c r="BQ699" s="540"/>
      <c r="BR699" s="540"/>
      <c r="BS699" s="540"/>
      <c r="BT699" s="540"/>
      <c r="BU699" s="540"/>
      <c r="BV699" s="540"/>
      <c r="BW699" s="540"/>
      <c r="BX699" s="540"/>
      <c r="BY699" s="540"/>
      <c r="BZ699" s="540"/>
      <c r="CA699" s="540"/>
      <c r="CB699" s="540"/>
      <c r="CC699" s="540"/>
      <c r="CD699" s="540"/>
      <c r="CE699" s="540"/>
      <c r="CF699" s="540"/>
      <c r="CG699" s="540"/>
      <c r="CH699" s="540"/>
      <c r="CI699" s="540"/>
      <c r="CJ699" s="540"/>
      <c r="CK699" s="540"/>
      <c r="CL699" s="540"/>
      <c r="CM699" s="540"/>
      <c r="CN699" s="540"/>
      <c r="CO699" s="540"/>
      <c r="CP699" s="540"/>
      <c r="CQ699" s="540"/>
      <c r="CR699" s="540"/>
      <c r="CS699" s="540"/>
      <c r="CT699" s="540"/>
      <c r="CU699" s="540"/>
      <c r="CV699" s="540"/>
      <c r="CW699" s="540"/>
      <c r="CX699" s="540"/>
      <c r="CY699" s="540"/>
      <c r="CZ699" s="540"/>
      <c r="DA699" s="540"/>
      <c r="DB699" s="540"/>
      <c r="DC699" s="540"/>
      <c r="DD699" s="540"/>
      <c r="DE699" s="540"/>
    </row>
    <row r="700" spans="1:109" s="116" customFormat="1" x14ac:dyDescent="0.2">
      <c r="A700" s="435"/>
      <c r="B700" s="435"/>
      <c r="C700" s="435"/>
      <c r="D700" s="435"/>
      <c r="AB700" s="540"/>
      <c r="AU700" s="540"/>
      <c r="AV700" s="540"/>
      <c r="AW700" s="540"/>
      <c r="AX700" s="540"/>
      <c r="AY700" s="540"/>
      <c r="AZ700" s="540"/>
      <c r="BA700" s="540"/>
      <c r="BB700" s="540"/>
      <c r="BC700" s="540"/>
      <c r="BD700" s="540"/>
      <c r="BE700" s="540"/>
      <c r="BF700" s="540"/>
      <c r="BG700" s="540"/>
      <c r="BH700" s="540"/>
      <c r="BI700" s="540"/>
      <c r="BJ700" s="540"/>
      <c r="BK700" s="540"/>
      <c r="BL700" s="540"/>
      <c r="BM700" s="540"/>
      <c r="BN700" s="540"/>
      <c r="BO700" s="540"/>
      <c r="BP700" s="540"/>
      <c r="BQ700" s="540"/>
      <c r="BR700" s="540"/>
      <c r="BS700" s="540"/>
      <c r="BT700" s="540"/>
      <c r="BU700" s="540"/>
      <c r="BV700" s="540"/>
      <c r="BW700" s="540"/>
      <c r="BX700" s="540"/>
      <c r="BY700" s="540"/>
      <c r="BZ700" s="540"/>
      <c r="CA700" s="540"/>
      <c r="CB700" s="540"/>
      <c r="CC700" s="540"/>
      <c r="CD700" s="540"/>
      <c r="CE700" s="540"/>
      <c r="CF700" s="540"/>
      <c r="CG700" s="540"/>
      <c r="CH700" s="540"/>
      <c r="CI700" s="540"/>
      <c r="CJ700" s="540"/>
      <c r="CK700" s="540"/>
      <c r="CL700" s="540"/>
      <c r="CM700" s="540"/>
      <c r="CN700" s="540"/>
      <c r="CO700" s="540"/>
      <c r="CP700" s="540"/>
      <c r="CQ700" s="540"/>
      <c r="CR700" s="540"/>
      <c r="CS700" s="540"/>
      <c r="CT700" s="540"/>
      <c r="CU700" s="540"/>
      <c r="CV700" s="540"/>
      <c r="CW700" s="540"/>
      <c r="CX700" s="540"/>
      <c r="CY700" s="540"/>
      <c r="CZ700" s="540"/>
      <c r="DA700" s="540"/>
      <c r="DB700" s="540"/>
      <c r="DC700" s="540"/>
      <c r="DD700" s="540"/>
      <c r="DE700" s="540"/>
    </row>
    <row r="701" spans="1:109" s="116" customFormat="1" x14ac:dyDescent="0.2">
      <c r="A701" s="435"/>
      <c r="B701" s="435"/>
      <c r="C701" s="435"/>
      <c r="D701" s="435"/>
      <c r="AB701" s="540"/>
      <c r="AU701" s="540"/>
      <c r="AV701" s="540"/>
      <c r="AW701" s="540"/>
      <c r="AX701" s="540"/>
      <c r="AY701" s="540"/>
      <c r="AZ701" s="540"/>
      <c r="BA701" s="540"/>
      <c r="BB701" s="540"/>
      <c r="BC701" s="540"/>
      <c r="BD701" s="540"/>
      <c r="BE701" s="540"/>
      <c r="BF701" s="540"/>
      <c r="BG701" s="540"/>
      <c r="BH701" s="540"/>
      <c r="BI701" s="540"/>
      <c r="BJ701" s="540"/>
      <c r="BK701" s="540"/>
      <c r="BL701" s="540"/>
      <c r="BM701" s="540"/>
      <c r="BN701" s="540"/>
      <c r="BO701" s="540"/>
      <c r="BP701" s="540"/>
      <c r="BQ701" s="540"/>
      <c r="BR701" s="540"/>
      <c r="BS701" s="540"/>
      <c r="BT701" s="540"/>
      <c r="BU701" s="540"/>
      <c r="BV701" s="540"/>
      <c r="BW701" s="540"/>
      <c r="BX701" s="540"/>
      <c r="BY701" s="540"/>
      <c r="BZ701" s="540"/>
      <c r="CA701" s="540"/>
      <c r="CB701" s="540"/>
      <c r="CC701" s="540"/>
      <c r="CD701" s="540"/>
      <c r="CE701" s="540"/>
      <c r="CF701" s="540"/>
      <c r="CG701" s="540"/>
      <c r="CH701" s="540"/>
      <c r="CI701" s="540"/>
      <c r="CJ701" s="540"/>
      <c r="CK701" s="540"/>
      <c r="CL701" s="540"/>
      <c r="CM701" s="540"/>
      <c r="CN701" s="540"/>
      <c r="CO701" s="540"/>
      <c r="CP701" s="540"/>
      <c r="CQ701" s="540"/>
      <c r="CR701" s="540"/>
      <c r="CS701" s="540"/>
      <c r="CT701" s="540"/>
      <c r="CU701" s="540"/>
      <c r="CV701" s="540"/>
      <c r="CW701" s="540"/>
      <c r="CX701" s="540"/>
      <c r="CY701" s="540"/>
      <c r="CZ701" s="540"/>
      <c r="DA701" s="540"/>
      <c r="DB701" s="540"/>
      <c r="DC701" s="540"/>
      <c r="DD701" s="540"/>
      <c r="DE701" s="540"/>
    </row>
    <row r="702" spans="1:109" s="116" customFormat="1" x14ac:dyDescent="0.2">
      <c r="A702" s="435"/>
      <c r="B702" s="435"/>
      <c r="C702" s="435"/>
      <c r="D702" s="435"/>
      <c r="AB702" s="540"/>
      <c r="AU702" s="540"/>
      <c r="AV702" s="540"/>
      <c r="AW702" s="540"/>
      <c r="AX702" s="540"/>
      <c r="AY702" s="540"/>
      <c r="AZ702" s="540"/>
      <c r="BA702" s="540"/>
      <c r="BB702" s="540"/>
      <c r="BC702" s="540"/>
      <c r="BD702" s="540"/>
      <c r="BE702" s="540"/>
      <c r="BF702" s="540"/>
      <c r="BG702" s="540"/>
      <c r="BH702" s="540"/>
      <c r="BI702" s="540"/>
      <c r="BJ702" s="540"/>
      <c r="BK702" s="540"/>
      <c r="BL702" s="540"/>
      <c r="BM702" s="540"/>
      <c r="BN702" s="540"/>
      <c r="BO702" s="540"/>
      <c r="BP702" s="540"/>
      <c r="BQ702" s="540"/>
      <c r="BR702" s="540"/>
      <c r="BS702" s="540"/>
      <c r="BT702" s="540"/>
      <c r="BU702" s="540"/>
      <c r="BV702" s="540"/>
      <c r="BW702" s="540"/>
      <c r="BX702" s="540"/>
      <c r="BY702" s="540"/>
      <c r="BZ702" s="540"/>
      <c r="CA702" s="540"/>
      <c r="CB702" s="540"/>
      <c r="CC702" s="540"/>
      <c r="CD702" s="540"/>
      <c r="CE702" s="540"/>
      <c r="CF702" s="540"/>
      <c r="CG702" s="540"/>
      <c r="CH702" s="540"/>
      <c r="CI702" s="540"/>
      <c r="CJ702" s="540"/>
      <c r="CK702" s="540"/>
      <c r="CL702" s="540"/>
      <c r="CM702" s="540"/>
      <c r="CN702" s="540"/>
      <c r="CO702" s="540"/>
      <c r="CP702" s="540"/>
      <c r="CQ702" s="540"/>
      <c r="CR702" s="540"/>
      <c r="CS702" s="540"/>
      <c r="CT702" s="540"/>
      <c r="CU702" s="540"/>
      <c r="CV702" s="540"/>
      <c r="CW702" s="540"/>
      <c r="CX702" s="540"/>
      <c r="CY702" s="540"/>
      <c r="CZ702" s="540"/>
      <c r="DA702" s="540"/>
      <c r="DB702" s="540"/>
      <c r="DC702" s="540"/>
      <c r="DD702" s="540"/>
      <c r="DE702" s="540"/>
    </row>
    <row r="703" spans="1:109" s="116" customFormat="1" x14ac:dyDescent="0.2">
      <c r="A703" s="435"/>
      <c r="B703" s="435"/>
      <c r="C703" s="435"/>
      <c r="D703" s="435"/>
      <c r="AB703" s="540"/>
      <c r="AU703" s="540"/>
      <c r="AV703" s="540"/>
      <c r="AW703" s="540"/>
      <c r="AX703" s="540"/>
      <c r="AY703" s="540"/>
      <c r="AZ703" s="540"/>
      <c r="BA703" s="540"/>
      <c r="BB703" s="540"/>
      <c r="BC703" s="540"/>
      <c r="BD703" s="540"/>
      <c r="BE703" s="540"/>
      <c r="BF703" s="540"/>
      <c r="BG703" s="540"/>
      <c r="BH703" s="540"/>
      <c r="BI703" s="540"/>
      <c r="BJ703" s="540"/>
      <c r="BK703" s="540"/>
      <c r="BL703" s="540"/>
      <c r="BM703" s="540"/>
      <c r="BN703" s="540"/>
      <c r="BO703" s="540"/>
      <c r="BP703" s="540"/>
      <c r="BQ703" s="540"/>
      <c r="BR703" s="540"/>
      <c r="BS703" s="540"/>
      <c r="BT703" s="540"/>
      <c r="BU703" s="540"/>
      <c r="BV703" s="540"/>
      <c r="BW703" s="540"/>
      <c r="BX703" s="540"/>
      <c r="BY703" s="540"/>
      <c r="BZ703" s="540"/>
      <c r="CA703" s="540"/>
      <c r="CB703" s="540"/>
      <c r="CC703" s="540"/>
      <c r="CD703" s="540"/>
      <c r="CE703" s="540"/>
      <c r="CF703" s="540"/>
      <c r="CG703" s="540"/>
      <c r="CH703" s="540"/>
      <c r="CI703" s="540"/>
      <c r="CJ703" s="540"/>
      <c r="CK703" s="540"/>
      <c r="CL703" s="540"/>
      <c r="CM703" s="540"/>
      <c r="CN703" s="540"/>
      <c r="CO703" s="540"/>
      <c r="CP703" s="540"/>
      <c r="CQ703" s="540"/>
      <c r="CR703" s="540"/>
      <c r="CS703" s="540"/>
      <c r="CT703" s="540"/>
      <c r="CU703" s="540"/>
      <c r="CV703" s="540"/>
      <c r="CW703" s="540"/>
      <c r="CX703" s="540"/>
      <c r="CY703" s="540"/>
      <c r="CZ703" s="540"/>
      <c r="DA703" s="540"/>
      <c r="DB703" s="540"/>
      <c r="DC703" s="540"/>
      <c r="DD703" s="540"/>
      <c r="DE703" s="540"/>
    </row>
    <row r="704" spans="1:109" s="116" customFormat="1" x14ac:dyDescent="0.2">
      <c r="A704" s="435"/>
      <c r="B704" s="435"/>
      <c r="C704" s="435"/>
      <c r="D704" s="435"/>
      <c r="AB704" s="540"/>
      <c r="AU704" s="540"/>
      <c r="AV704" s="540"/>
      <c r="AW704" s="540"/>
      <c r="AX704" s="540"/>
      <c r="AY704" s="540"/>
      <c r="AZ704" s="540"/>
      <c r="BA704" s="540"/>
      <c r="BB704" s="540"/>
      <c r="BC704" s="540"/>
      <c r="BD704" s="540"/>
      <c r="BE704" s="540"/>
      <c r="BF704" s="540"/>
      <c r="BG704" s="540"/>
      <c r="BH704" s="540"/>
      <c r="BI704" s="540"/>
      <c r="BJ704" s="540"/>
      <c r="BK704" s="540"/>
      <c r="BL704" s="540"/>
      <c r="BM704" s="540"/>
      <c r="BN704" s="540"/>
      <c r="BO704" s="540"/>
      <c r="BP704" s="540"/>
      <c r="BQ704" s="540"/>
      <c r="BR704" s="540"/>
      <c r="BS704" s="540"/>
      <c r="BT704" s="540"/>
      <c r="BU704" s="540"/>
      <c r="BV704" s="540"/>
      <c r="BW704" s="540"/>
      <c r="BX704" s="540"/>
      <c r="BY704" s="540"/>
      <c r="BZ704" s="540"/>
      <c r="CA704" s="540"/>
      <c r="CB704" s="540"/>
      <c r="CC704" s="540"/>
      <c r="CD704" s="540"/>
      <c r="CE704" s="540"/>
      <c r="CF704" s="540"/>
      <c r="CG704" s="540"/>
      <c r="CH704" s="540"/>
      <c r="CI704" s="540"/>
      <c r="CJ704" s="540"/>
      <c r="CK704" s="540"/>
      <c r="CL704" s="540"/>
      <c r="CM704" s="540"/>
      <c r="CN704" s="540"/>
      <c r="CO704" s="540"/>
      <c r="CP704" s="540"/>
      <c r="CQ704" s="540"/>
      <c r="CR704" s="540"/>
      <c r="CS704" s="540"/>
      <c r="CT704" s="540"/>
      <c r="CU704" s="540"/>
      <c r="CV704" s="540"/>
      <c r="CW704" s="540"/>
      <c r="CX704" s="540"/>
      <c r="CY704" s="540"/>
      <c r="CZ704" s="540"/>
      <c r="DA704" s="540"/>
      <c r="DB704" s="540"/>
      <c r="DC704" s="540"/>
      <c r="DD704" s="540"/>
      <c r="DE704" s="540"/>
    </row>
    <row r="705" spans="1:109" s="116" customFormat="1" x14ac:dyDescent="0.2">
      <c r="A705" s="435"/>
      <c r="B705" s="435"/>
      <c r="C705" s="435"/>
      <c r="D705" s="435"/>
      <c r="AB705" s="540"/>
      <c r="AU705" s="540"/>
      <c r="AV705" s="540"/>
      <c r="AW705" s="540"/>
      <c r="AX705" s="540"/>
      <c r="AY705" s="540"/>
      <c r="AZ705" s="540"/>
      <c r="BA705" s="540"/>
      <c r="BB705" s="540"/>
      <c r="BC705" s="540"/>
      <c r="BD705" s="540"/>
      <c r="BE705" s="540"/>
      <c r="BF705" s="540"/>
      <c r="BG705" s="540"/>
      <c r="BH705" s="540"/>
      <c r="BI705" s="540"/>
      <c r="BJ705" s="540"/>
      <c r="BK705" s="540"/>
      <c r="BL705" s="540"/>
      <c r="BM705" s="540"/>
      <c r="BN705" s="540"/>
      <c r="BO705" s="540"/>
      <c r="BP705" s="540"/>
      <c r="BQ705" s="540"/>
      <c r="BR705" s="540"/>
      <c r="BS705" s="540"/>
      <c r="BT705" s="540"/>
      <c r="BU705" s="540"/>
      <c r="BV705" s="540"/>
      <c r="BW705" s="540"/>
      <c r="BX705" s="540"/>
      <c r="BY705" s="540"/>
      <c r="BZ705" s="540"/>
      <c r="CA705" s="540"/>
      <c r="CB705" s="540"/>
      <c r="CC705" s="540"/>
      <c r="CD705" s="540"/>
      <c r="CE705" s="540"/>
      <c r="CF705" s="540"/>
      <c r="CG705" s="540"/>
      <c r="CH705" s="540"/>
      <c r="CI705" s="540"/>
      <c r="CJ705" s="540"/>
      <c r="CK705" s="540"/>
      <c r="CL705" s="540"/>
      <c r="CM705" s="540"/>
      <c r="CN705" s="540"/>
      <c r="CO705" s="540"/>
      <c r="CP705" s="540"/>
      <c r="CQ705" s="540"/>
      <c r="CR705" s="540"/>
      <c r="CS705" s="540"/>
      <c r="CT705" s="540"/>
      <c r="CU705" s="540"/>
      <c r="CV705" s="540"/>
      <c r="CW705" s="540"/>
      <c r="CX705" s="540"/>
      <c r="CY705" s="540"/>
      <c r="CZ705" s="540"/>
      <c r="DA705" s="540"/>
      <c r="DB705" s="540"/>
      <c r="DC705" s="540"/>
      <c r="DD705" s="540"/>
      <c r="DE705" s="540"/>
    </row>
    <row r="706" spans="1:109" s="116" customFormat="1" x14ac:dyDescent="0.2">
      <c r="A706" s="435"/>
      <c r="B706" s="435"/>
      <c r="C706" s="435"/>
      <c r="D706" s="435"/>
      <c r="AB706" s="540"/>
      <c r="AU706" s="540"/>
      <c r="AV706" s="540"/>
      <c r="AW706" s="540"/>
      <c r="AX706" s="540"/>
      <c r="AY706" s="540"/>
      <c r="AZ706" s="540"/>
      <c r="BA706" s="540"/>
      <c r="BB706" s="540"/>
      <c r="BC706" s="540"/>
      <c r="BD706" s="540"/>
      <c r="BE706" s="540"/>
      <c r="BF706" s="540"/>
      <c r="BG706" s="540"/>
      <c r="BH706" s="540"/>
      <c r="BI706" s="540"/>
      <c r="BJ706" s="540"/>
      <c r="BK706" s="540"/>
      <c r="BL706" s="540"/>
      <c r="BM706" s="540"/>
      <c r="BN706" s="540"/>
      <c r="BO706" s="540"/>
      <c r="BP706" s="540"/>
      <c r="BQ706" s="540"/>
      <c r="BR706" s="540"/>
      <c r="BS706" s="540"/>
      <c r="BT706" s="540"/>
      <c r="BU706" s="540"/>
      <c r="BV706" s="540"/>
      <c r="BW706" s="540"/>
      <c r="BX706" s="540"/>
      <c r="BY706" s="540"/>
      <c r="BZ706" s="540"/>
      <c r="CA706" s="540"/>
      <c r="CB706" s="540"/>
      <c r="CC706" s="540"/>
      <c r="CD706" s="540"/>
      <c r="CE706" s="540"/>
      <c r="CF706" s="540"/>
      <c r="CG706" s="540"/>
      <c r="CH706" s="540"/>
      <c r="CI706" s="540"/>
      <c r="CJ706" s="540"/>
      <c r="CK706" s="540"/>
      <c r="CL706" s="540"/>
      <c r="CM706" s="540"/>
      <c r="CN706" s="540"/>
      <c r="CO706" s="540"/>
      <c r="CP706" s="540"/>
      <c r="CQ706" s="540"/>
      <c r="CR706" s="540"/>
      <c r="CS706" s="540"/>
      <c r="CT706" s="540"/>
      <c r="CU706" s="540"/>
      <c r="CV706" s="540"/>
      <c r="CW706" s="540"/>
      <c r="CX706" s="540"/>
      <c r="CY706" s="540"/>
      <c r="CZ706" s="540"/>
      <c r="DA706" s="540"/>
      <c r="DB706" s="540"/>
      <c r="DC706" s="540"/>
      <c r="DD706" s="540"/>
      <c r="DE706" s="540"/>
    </row>
    <row r="707" spans="1:109" s="116" customFormat="1" x14ac:dyDescent="0.2">
      <c r="A707" s="435"/>
      <c r="B707" s="435"/>
      <c r="C707" s="435"/>
      <c r="D707" s="435"/>
      <c r="AB707" s="540"/>
      <c r="AU707" s="540"/>
      <c r="AV707" s="540"/>
      <c r="AW707" s="540"/>
      <c r="AX707" s="540"/>
      <c r="AY707" s="540"/>
      <c r="AZ707" s="540"/>
      <c r="BA707" s="540"/>
      <c r="BB707" s="540"/>
      <c r="BC707" s="540"/>
      <c r="BD707" s="540"/>
      <c r="BE707" s="540"/>
      <c r="BF707" s="540"/>
      <c r="BG707" s="540"/>
      <c r="BH707" s="540"/>
      <c r="BI707" s="540"/>
      <c r="BJ707" s="540"/>
      <c r="BK707" s="540"/>
      <c r="BL707" s="540"/>
      <c r="BM707" s="540"/>
      <c r="BN707" s="540"/>
      <c r="BO707" s="540"/>
      <c r="BP707" s="540"/>
      <c r="BQ707" s="540"/>
      <c r="BR707" s="540"/>
      <c r="BS707" s="540"/>
      <c r="BT707" s="540"/>
      <c r="BU707" s="540"/>
      <c r="BV707" s="540"/>
      <c r="BW707" s="540"/>
      <c r="BX707" s="540"/>
      <c r="BY707" s="540"/>
      <c r="BZ707" s="540"/>
      <c r="CA707" s="540"/>
      <c r="CB707" s="540"/>
      <c r="CC707" s="540"/>
      <c r="CD707" s="540"/>
      <c r="CE707" s="540"/>
      <c r="CF707" s="540"/>
      <c r="CG707" s="540"/>
      <c r="CH707" s="540"/>
      <c r="CI707" s="540"/>
      <c r="CJ707" s="540"/>
      <c r="CK707" s="540"/>
      <c r="CL707" s="540"/>
      <c r="CM707" s="540"/>
      <c r="CN707" s="540"/>
      <c r="CO707" s="540"/>
      <c r="CP707" s="540"/>
      <c r="CQ707" s="540"/>
      <c r="CR707" s="540"/>
      <c r="CS707" s="540"/>
      <c r="CT707" s="540"/>
      <c r="CU707" s="540"/>
      <c r="CV707" s="540"/>
      <c r="CW707" s="540"/>
      <c r="CX707" s="540"/>
      <c r="CY707" s="540"/>
      <c r="CZ707" s="540"/>
      <c r="DA707" s="540"/>
      <c r="DB707" s="540"/>
      <c r="DC707" s="540"/>
      <c r="DD707" s="540"/>
      <c r="DE707" s="540"/>
    </row>
    <row r="708" spans="1:109" s="116" customFormat="1" x14ac:dyDescent="0.2">
      <c r="A708" s="435"/>
      <c r="B708" s="435"/>
      <c r="C708" s="435"/>
      <c r="D708" s="435"/>
      <c r="AB708" s="540"/>
      <c r="AU708" s="540"/>
      <c r="AV708" s="540"/>
      <c r="AW708" s="540"/>
      <c r="AX708" s="540"/>
      <c r="AY708" s="540"/>
      <c r="AZ708" s="540"/>
      <c r="BA708" s="540"/>
      <c r="BB708" s="540"/>
      <c r="BC708" s="540"/>
      <c r="BD708" s="540"/>
      <c r="BE708" s="540"/>
      <c r="BF708" s="540"/>
      <c r="BG708" s="540"/>
      <c r="BH708" s="540"/>
      <c r="BI708" s="540"/>
      <c r="BJ708" s="540"/>
      <c r="BK708" s="540"/>
      <c r="BL708" s="540"/>
      <c r="BM708" s="540"/>
      <c r="BN708" s="540"/>
      <c r="BO708" s="540"/>
      <c r="BP708" s="540"/>
      <c r="BQ708" s="540"/>
      <c r="BR708" s="540"/>
      <c r="BS708" s="540"/>
      <c r="BT708" s="540"/>
      <c r="BU708" s="540"/>
      <c r="BV708" s="540"/>
      <c r="BW708" s="540"/>
      <c r="BX708" s="540"/>
      <c r="BY708" s="540"/>
      <c r="BZ708" s="540"/>
      <c r="CA708" s="540"/>
      <c r="CB708" s="540"/>
      <c r="CC708" s="540"/>
      <c r="CD708" s="540"/>
      <c r="CE708" s="540"/>
      <c r="CF708" s="540"/>
      <c r="CG708" s="540"/>
      <c r="CH708" s="540"/>
      <c r="CI708" s="540"/>
      <c r="CJ708" s="540"/>
      <c r="CK708" s="540"/>
      <c r="CL708" s="540"/>
      <c r="CM708" s="540"/>
      <c r="CN708" s="540"/>
      <c r="CO708" s="540"/>
      <c r="CP708" s="540"/>
      <c r="CQ708" s="540"/>
      <c r="CR708" s="540"/>
      <c r="CS708" s="540"/>
      <c r="CT708" s="540"/>
      <c r="CU708" s="540"/>
      <c r="CV708" s="540"/>
      <c r="CW708" s="540"/>
      <c r="CX708" s="540"/>
      <c r="CY708" s="540"/>
      <c r="CZ708" s="540"/>
      <c r="DA708" s="540"/>
      <c r="DB708" s="540"/>
      <c r="DC708" s="540"/>
      <c r="DD708" s="540"/>
      <c r="DE708" s="540"/>
    </row>
    <row r="709" spans="1:109" s="116" customFormat="1" x14ac:dyDescent="0.2">
      <c r="A709" s="435"/>
      <c r="B709" s="435"/>
      <c r="C709" s="435"/>
      <c r="D709" s="435"/>
      <c r="AB709" s="540"/>
      <c r="AU709" s="540"/>
      <c r="AV709" s="540"/>
      <c r="AW709" s="540"/>
      <c r="AX709" s="540"/>
      <c r="AY709" s="540"/>
      <c r="AZ709" s="540"/>
      <c r="BA709" s="540"/>
      <c r="BB709" s="540"/>
      <c r="BC709" s="540"/>
      <c r="BD709" s="540"/>
      <c r="BE709" s="540"/>
      <c r="BF709" s="540"/>
      <c r="BG709" s="540"/>
      <c r="BH709" s="540"/>
      <c r="BI709" s="540"/>
      <c r="BJ709" s="540"/>
      <c r="BK709" s="540"/>
      <c r="BL709" s="540"/>
      <c r="BM709" s="540"/>
      <c r="BN709" s="540"/>
      <c r="BO709" s="540"/>
      <c r="BP709" s="540"/>
      <c r="BQ709" s="540"/>
      <c r="BR709" s="540"/>
      <c r="BS709" s="540"/>
      <c r="BT709" s="540"/>
      <c r="BU709" s="540"/>
      <c r="BV709" s="540"/>
      <c r="BW709" s="540"/>
      <c r="BX709" s="540"/>
      <c r="BY709" s="540"/>
      <c r="BZ709" s="540"/>
      <c r="CA709" s="540"/>
      <c r="CB709" s="540"/>
      <c r="CC709" s="540"/>
      <c r="CD709" s="540"/>
      <c r="CE709" s="540"/>
      <c r="CF709" s="540"/>
      <c r="CG709" s="540"/>
      <c r="CH709" s="540"/>
      <c r="CI709" s="540"/>
      <c r="CJ709" s="540"/>
      <c r="CK709" s="540"/>
      <c r="CL709" s="540"/>
      <c r="CM709" s="540"/>
      <c r="CN709" s="540"/>
      <c r="CO709" s="540"/>
      <c r="CP709" s="540"/>
      <c r="CQ709" s="540"/>
      <c r="CR709" s="540"/>
      <c r="CS709" s="540"/>
      <c r="CT709" s="540"/>
      <c r="CU709" s="540"/>
      <c r="CV709" s="540"/>
      <c r="CW709" s="540"/>
      <c r="CX709" s="540"/>
      <c r="CY709" s="540"/>
      <c r="CZ709" s="540"/>
      <c r="DA709" s="540"/>
      <c r="DB709" s="540"/>
      <c r="DC709" s="540"/>
      <c r="DD709" s="540"/>
      <c r="DE709" s="540"/>
    </row>
    <row r="710" spans="1:109" s="116" customFormat="1" x14ac:dyDescent="0.2">
      <c r="A710" s="435"/>
      <c r="B710" s="435"/>
      <c r="C710" s="435"/>
      <c r="D710" s="435"/>
      <c r="AB710" s="540"/>
      <c r="AU710" s="540"/>
      <c r="AV710" s="540"/>
      <c r="AW710" s="540"/>
      <c r="AX710" s="540"/>
      <c r="AY710" s="540"/>
      <c r="AZ710" s="540"/>
      <c r="BA710" s="540"/>
      <c r="BB710" s="540"/>
      <c r="BC710" s="540"/>
      <c r="BD710" s="540"/>
      <c r="BE710" s="540"/>
      <c r="BF710" s="540"/>
      <c r="BG710" s="540"/>
      <c r="BH710" s="540"/>
      <c r="BI710" s="540"/>
      <c r="BJ710" s="540"/>
      <c r="BK710" s="540"/>
      <c r="BL710" s="540"/>
      <c r="BM710" s="540"/>
      <c r="BN710" s="540"/>
      <c r="BO710" s="540"/>
      <c r="BP710" s="540"/>
      <c r="BQ710" s="540"/>
      <c r="BR710" s="540"/>
      <c r="BS710" s="540"/>
      <c r="BT710" s="540"/>
      <c r="BU710" s="540"/>
      <c r="BV710" s="540"/>
      <c r="BW710" s="540"/>
      <c r="BX710" s="540"/>
      <c r="BY710" s="540"/>
      <c r="BZ710" s="540"/>
      <c r="CA710" s="540"/>
      <c r="CB710" s="540"/>
      <c r="CC710" s="540"/>
      <c r="CD710" s="540"/>
      <c r="CE710" s="540"/>
      <c r="CF710" s="540"/>
      <c r="CG710" s="540"/>
      <c r="CH710" s="540"/>
      <c r="CI710" s="540"/>
      <c r="CJ710" s="540"/>
      <c r="CK710" s="540"/>
      <c r="CL710" s="540"/>
      <c r="CM710" s="540"/>
      <c r="CN710" s="540"/>
      <c r="CO710" s="540"/>
      <c r="CP710" s="540"/>
      <c r="CQ710" s="540"/>
      <c r="CR710" s="540"/>
      <c r="CS710" s="540"/>
      <c r="CT710" s="540"/>
      <c r="CU710" s="540"/>
      <c r="CV710" s="540"/>
      <c r="CW710" s="540"/>
      <c r="CX710" s="540"/>
      <c r="CY710" s="540"/>
      <c r="CZ710" s="540"/>
      <c r="DA710" s="540"/>
      <c r="DB710" s="540"/>
      <c r="DC710" s="540"/>
      <c r="DD710" s="540"/>
      <c r="DE710" s="540"/>
    </row>
    <row r="711" spans="1:109" s="116" customFormat="1" x14ac:dyDescent="0.2">
      <c r="A711" s="435"/>
      <c r="B711" s="435"/>
      <c r="C711" s="435"/>
      <c r="D711" s="435"/>
      <c r="AB711" s="540"/>
      <c r="AU711" s="540"/>
      <c r="AV711" s="540"/>
      <c r="AW711" s="540"/>
      <c r="AX711" s="540"/>
      <c r="AY711" s="540"/>
      <c r="AZ711" s="540"/>
      <c r="BA711" s="540"/>
      <c r="BB711" s="540"/>
      <c r="BC711" s="540"/>
      <c r="BD711" s="540"/>
      <c r="BE711" s="540"/>
      <c r="BF711" s="540"/>
      <c r="BG711" s="540"/>
      <c r="BH711" s="540"/>
      <c r="BI711" s="540"/>
      <c r="BJ711" s="540"/>
      <c r="BK711" s="540"/>
      <c r="BL711" s="540"/>
      <c r="BM711" s="540"/>
      <c r="BN711" s="540"/>
      <c r="BO711" s="540"/>
      <c r="BP711" s="540"/>
      <c r="BQ711" s="540"/>
      <c r="BR711" s="540"/>
      <c r="BS711" s="540"/>
      <c r="BT711" s="540"/>
      <c r="BU711" s="540"/>
      <c r="BV711" s="540"/>
      <c r="BW711" s="540"/>
      <c r="BX711" s="540"/>
      <c r="BY711" s="540"/>
      <c r="BZ711" s="540"/>
      <c r="CA711" s="540"/>
      <c r="CB711" s="540"/>
      <c r="CC711" s="540"/>
      <c r="CD711" s="540"/>
      <c r="CE711" s="540"/>
      <c r="CF711" s="540"/>
      <c r="CG711" s="540"/>
      <c r="CH711" s="540"/>
      <c r="CI711" s="540"/>
      <c r="CJ711" s="540"/>
      <c r="CK711" s="540"/>
      <c r="CL711" s="540"/>
      <c r="CM711" s="540"/>
      <c r="CN711" s="540"/>
      <c r="CO711" s="540"/>
      <c r="CP711" s="540"/>
      <c r="CQ711" s="540"/>
      <c r="CR711" s="540"/>
      <c r="CS711" s="540"/>
      <c r="CT711" s="540"/>
      <c r="CU711" s="540"/>
      <c r="CV711" s="540"/>
      <c r="CW711" s="540"/>
      <c r="CX711" s="540"/>
      <c r="CY711" s="540"/>
      <c r="CZ711" s="540"/>
      <c r="DA711" s="540"/>
      <c r="DB711" s="540"/>
      <c r="DC711" s="540"/>
      <c r="DD711" s="540"/>
      <c r="DE711" s="540"/>
    </row>
    <row r="712" spans="1:109" s="116" customFormat="1" x14ac:dyDescent="0.2">
      <c r="A712" s="435"/>
      <c r="B712" s="435"/>
      <c r="C712" s="435"/>
      <c r="D712" s="435"/>
      <c r="AB712" s="540"/>
      <c r="AU712" s="540"/>
      <c r="AV712" s="540"/>
      <c r="AW712" s="540"/>
      <c r="AX712" s="540"/>
      <c r="AY712" s="540"/>
      <c r="AZ712" s="540"/>
      <c r="BA712" s="540"/>
      <c r="BB712" s="540"/>
      <c r="BC712" s="540"/>
      <c r="BD712" s="540"/>
      <c r="BE712" s="540"/>
      <c r="BF712" s="540"/>
      <c r="BG712" s="540"/>
      <c r="BH712" s="540"/>
      <c r="BI712" s="540"/>
      <c r="BJ712" s="540"/>
      <c r="BK712" s="540"/>
      <c r="BL712" s="540"/>
      <c r="BM712" s="540"/>
      <c r="BN712" s="540"/>
      <c r="BO712" s="540"/>
      <c r="BP712" s="540"/>
      <c r="BQ712" s="540"/>
      <c r="BR712" s="540"/>
      <c r="BS712" s="540"/>
      <c r="BT712" s="540"/>
      <c r="BU712" s="540"/>
      <c r="BV712" s="540"/>
      <c r="BW712" s="540"/>
      <c r="BX712" s="540"/>
      <c r="BY712" s="540"/>
      <c r="BZ712" s="540"/>
      <c r="CA712" s="540"/>
      <c r="CB712" s="540"/>
      <c r="CC712" s="540"/>
      <c r="CD712" s="540"/>
      <c r="CE712" s="540"/>
      <c r="CF712" s="540"/>
      <c r="CG712" s="540"/>
      <c r="CH712" s="540"/>
      <c r="CI712" s="540"/>
      <c r="CJ712" s="540"/>
      <c r="CK712" s="540"/>
      <c r="CL712" s="540"/>
      <c r="CM712" s="540"/>
      <c r="CN712" s="540"/>
      <c r="CO712" s="540"/>
      <c r="CP712" s="540"/>
      <c r="CQ712" s="540"/>
      <c r="CR712" s="540"/>
      <c r="CS712" s="540"/>
      <c r="CT712" s="540"/>
      <c r="CU712" s="540"/>
      <c r="CV712" s="540"/>
      <c r="CW712" s="540"/>
      <c r="CX712" s="540"/>
      <c r="CY712" s="540"/>
      <c r="CZ712" s="540"/>
      <c r="DA712" s="540"/>
      <c r="DB712" s="540"/>
      <c r="DC712" s="540"/>
      <c r="DD712" s="540"/>
      <c r="DE712" s="540"/>
    </row>
    <row r="713" spans="1:109" s="116" customFormat="1" x14ac:dyDescent="0.2">
      <c r="A713" s="435"/>
      <c r="B713" s="435"/>
      <c r="C713" s="435"/>
      <c r="D713" s="435"/>
      <c r="AB713" s="540"/>
      <c r="AU713" s="540"/>
      <c r="AV713" s="540"/>
      <c r="AW713" s="540"/>
      <c r="AX713" s="540"/>
      <c r="AY713" s="540"/>
      <c r="AZ713" s="540"/>
      <c r="BA713" s="540"/>
      <c r="BB713" s="540"/>
      <c r="BC713" s="540"/>
      <c r="BD713" s="540"/>
      <c r="BE713" s="540"/>
      <c r="BF713" s="540"/>
      <c r="BG713" s="540"/>
      <c r="BH713" s="540"/>
      <c r="BI713" s="540"/>
      <c r="BJ713" s="540"/>
      <c r="BK713" s="540"/>
      <c r="BL713" s="540"/>
      <c r="BM713" s="540"/>
      <c r="BN713" s="540"/>
      <c r="BO713" s="540"/>
      <c r="BP713" s="540"/>
      <c r="BQ713" s="540"/>
      <c r="BR713" s="540"/>
      <c r="BS713" s="540"/>
      <c r="BT713" s="540"/>
      <c r="BU713" s="540"/>
      <c r="BV713" s="540"/>
      <c r="BW713" s="540"/>
      <c r="BX713" s="540"/>
      <c r="BY713" s="540"/>
      <c r="BZ713" s="540"/>
      <c r="CA713" s="540"/>
      <c r="CB713" s="540"/>
      <c r="CC713" s="540"/>
      <c r="CD713" s="540"/>
      <c r="CE713" s="540"/>
      <c r="CF713" s="540"/>
      <c r="CG713" s="540"/>
      <c r="CH713" s="540"/>
      <c r="CI713" s="540"/>
      <c r="CJ713" s="540"/>
      <c r="CK713" s="540"/>
      <c r="CL713" s="540"/>
      <c r="CM713" s="540"/>
      <c r="CN713" s="540"/>
      <c r="CO713" s="540"/>
      <c r="CP713" s="540"/>
      <c r="CQ713" s="540"/>
      <c r="CR713" s="540"/>
      <c r="CS713" s="540"/>
      <c r="CT713" s="540"/>
      <c r="CU713" s="540"/>
      <c r="CV713" s="540"/>
      <c r="CW713" s="540"/>
      <c r="CX713" s="540"/>
      <c r="CY713" s="540"/>
      <c r="CZ713" s="540"/>
      <c r="DA713" s="540"/>
      <c r="DB713" s="540"/>
      <c r="DC713" s="540"/>
      <c r="DD713" s="540"/>
      <c r="DE713" s="540"/>
    </row>
    <row r="714" spans="1:109" s="116" customFormat="1" x14ac:dyDescent="0.2">
      <c r="A714" s="435"/>
      <c r="B714" s="435"/>
      <c r="C714" s="435"/>
      <c r="D714" s="435"/>
      <c r="AB714" s="540"/>
      <c r="AU714" s="540"/>
      <c r="AV714" s="540"/>
      <c r="AW714" s="540"/>
      <c r="AX714" s="540"/>
      <c r="AY714" s="540"/>
      <c r="AZ714" s="540"/>
      <c r="BA714" s="540"/>
      <c r="BB714" s="540"/>
      <c r="BC714" s="540"/>
      <c r="BD714" s="540"/>
      <c r="BE714" s="540"/>
      <c r="BF714" s="540"/>
      <c r="BG714" s="540"/>
      <c r="BH714" s="540"/>
      <c r="BI714" s="540"/>
      <c r="BJ714" s="540"/>
      <c r="BK714" s="540"/>
      <c r="BL714" s="540"/>
      <c r="BM714" s="540"/>
      <c r="BN714" s="540"/>
      <c r="BO714" s="540"/>
      <c r="BP714" s="540"/>
      <c r="BQ714" s="540"/>
      <c r="BR714" s="540"/>
      <c r="BS714" s="540"/>
      <c r="BT714" s="540"/>
      <c r="BU714" s="540"/>
      <c r="BV714" s="540"/>
      <c r="BW714" s="540"/>
      <c r="BX714" s="540"/>
      <c r="BY714" s="540"/>
      <c r="BZ714" s="540"/>
      <c r="CA714" s="540"/>
      <c r="CB714" s="540"/>
      <c r="CC714" s="540"/>
      <c r="CD714" s="540"/>
      <c r="CE714" s="540"/>
      <c r="CF714" s="540"/>
      <c r="CG714" s="540"/>
      <c r="CH714" s="540"/>
      <c r="CI714" s="540"/>
      <c r="CJ714" s="540"/>
      <c r="CK714" s="540"/>
      <c r="CL714" s="540"/>
      <c r="CM714" s="540"/>
      <c r="CN714" s="540"/>
      <c r="CO714" s="540"/>
      <c r="CP714" s="540"/>
      <c r="CQ714" s="540"/>
      <c r="CR714" s="540"/>
      <c r="CS714" s="540"/>
      <c r="CT714" s="540"/>
      <c r="CU714" s="540"/>
      <c r="CV714" s="540"/>
      <c r="CW714" s="540"/>
      <c r="CX714" s="540"/>
      <c r="CY714" s="540"/>
      <c r="CZ714" s="540"/>
      <c r="DA714" s="540"/>
      <c r="DB714" s="540"/>
      <c r="DC714" s="540"/>
      <c r="DD714" s="540"/>
      <c r="DE714" s="540"/>
    </row>
    <row r="715" spans="1:109" s="116" customFormat="1" x14ac:dyDescent="0.2">
      <c r="A715" s="435"/>
      <c r="B715" s="435"/>
      <c r="C715" s="435"/>
      <c r="D715" s="435"/>
      <c r="AB715" s="540"/>
      <c r="AU715" s="540"/>
      <c r="AV715" s="540"/>
      <c r="AW715" s="540"/>
      <c r="AX715" s="540"/>
      <c r="AY715" s="540"/>
      <c r="AZ715" s="540"/>
      <c r="BA715" s="540"/>
      <c r="BB715" s="540"/>
      <c r="BC715" s="540"/>
      <c r="BD715" s="540"/>
      <c r="BE715" s="540"/>
      <c r="BF715" s="540"/>
      <c r="BG715" s="540"/>
      <c r="BH715" s="540"/>
      <c r="BI715" s="540"/>
      <c r="BJ715" s="540"/>
      <c r="BK715" s="540"/>
      <c r="BL715" s="540"/>
      <c r="BM715" s="540"/>
      <c r="BN715" s="540"/>
      <c r="BO715" s="540"/>
      <c r="BP715" s="540"/>
      <c r="BQ715" s="540"/>
      <c r="BR715" s="540"/>
      <c r="BS715" s="540"/>
      <c r="BT715" s="540"/>
      <c r="BU715" s="540"/>
      <c r="BV715" s="540"/>
      <c r="BW715" s="540"/>
      <c r="BX715" s="540"/>
      <c r="BY715" s="540"/>
      <c r="BZ715" s="540"/>
      <c r="CA715" s="540"/>
      <c r="CB715" s="540"/>
      <c r="CC715" s="540"/>
      <c r="CD715" s="540"/>
      <c r="CE715" s="540"/>
      <c r="CF715" s="540"/>
      <c r="CG715" s="540"/>
      <c r="CH715" s="540"/>
      <c r="CI715" s="540"/>
      <c r="CJ715" s="540"/>
      <c r="CK715" s="540"/>
      <c r="CL715" s="540"/>
      <c r="CM715" s="540"/>
      <c r="CN715" s="540"/>
      <c r="CO715" s="540"/>
      <c r="CP715" s="540"/>
      <c r="CQ715" s="540"/>
      <c r="CR715" s="540"/>
      <c r="CS715" s="540"/>
      <c r="CT715" s="540"/>
      <c r="CU715" s="540"/>
      <c r="CV715" s="540"/>
      <c r="CW715" s="540"/>
      <c r="CX715" s="540"/>
      <c r="CY715" s="540"/>
      <c r="CZ715" s="540"/>
      <c r="DA715" s="540"/>
      <c r="DB715" s="540"/>
      <c r="DC715" s="540"/>
      <c r="DD715" s="540"/>
      <c r="DE715" s="540"/>
    </row>
    <row r="716" spans="1:109" s="116" customFormat="1" x14ac:dyDescent="0.2">
      <c r="A716" s="435"/>
      <c r="B716" s="435"/>
      <c r="C716" s="435"/>
      <c r="D716" s="435"/>
      <c r="AB716" s="540"/>
      <c r="AU716" s="540"/>
      <c r="AV716" s="540"/>
      <c r="AW716" s="540"/>
      <c r="AX716" s="540"/>
      <c r="AY716" s="540"/>
      <c r="AZ716" s="540"/>
      <c r="BA716" s="540"/>
      <c r="BB716" s="540"/>
      <c r="BC716" s="540"/>
      <c r="BD716" s="540"/>
      <c r="BE716" s="540"/>
      <c r="BF716" s="540"/>
      <c r="BG716" s="540"/>
      <c r="BH716" s="540"/>
      <c r="BI716" s="540"/>
      <c r="BJ716" s="540"/>
      <c r="BK716" s="540"/>
      <c r="BL716" s="540"/>
      <c r="BM716" s="540"/>
      <c r="BN716" s="540"/>
      <c r="BO716" s="540"/>
      <c r="BP716" s="540"/>
      <c r="BQ716" s="540"/>
      <c r="BR716" s="540"/>
      <c r="BS716" s="540"/>
      <c r="BT716" s="540"/>
      <c r="BU716" s="540"/>
      <c r="BV716" s="540"/>
      <c r="BW716" s="540"/>
      <c r="BX716" s="540"/>
      <c r="BY716" s="540"/>
      <c r="BZ716" s="540"/>
      <c r="CA716" s="540"/>
      <c r="CB716" s="540"/>
      <c r="CC716" s="540"/>
      <c r="CD716" s="540"/>
      <c r="CE716" s="540"/>
      <c r="CF716" s="540"/>
      <c r="CG716" s="540"/>
      <c r="CH716" s="540"/>
      <c r="CI716" s="540"/>
      <c r="CJ716" s="540"/>
      <c r="CK716" s="540"/>
      <c r="CL716" s="540"/>
      <c r="CM716" s="540"/>
      <c r="CN716" s="540"/>
      <c r="CO716" s="540"/>
      <c r="CP716" s="540"/>
      <c r="CQ716" s="540"/>
      <c r="CR716" s="540"/>
      <c r="CS716" s="540"/>
      <c r="CT716" s="540"/>
      <c r="CU716" s="540"/>
      <c r="CV716" s="540"/>
      <c r="CW716" s="540"/>
      <c r="CX716" s="540"/>
      <c r="CY716" s="540"/>
      <c r="CZ716" s="540"/>
      <c r="DA716" s="540"/>
      <c r="DB716" s="540"/>
      <c r="DC716" s="540"/>
      <c r="DD716" s="540"/>
      <c r="DE716" s="540"/>
    </row>
    <row r="717" spans="1:109" s="116" customFormat="1" x14ac:dyDescent="0.2">
      <c r="A717" s="435"/>
      <c r="B717" s="435"/>
      <c r="C717" s="435"/>
      <c r="D717" s="435"/>
      <c r="AB717" s="540"/>
      <c r="AU717" s="540"/>
      <c r="AV717" s="540"/>
      <c r="AW717" s="540"/>
      <c r="AX717" s="540"/>
      <c r="AY717" s="540"/>
      <c r="AZ717" s="540"/>
      <c r="BA717" s="540"/>
      <c r="BB717" s="540"/>
      <c r="BC717" s="540"/>
      <c r="BD717" s="540"/>
      <c r="BE717" s="540"/>
      <c r="BF717" s="540"/>
      <c r="BG717" s="540"/>
      <c r="BH717" s="540"/>
      <c r="BI717" s="540"/>
      <c r="BJ717" s="540"/>
      <c r="BK717" s="540"/>
      <c r="BL717" s="540"/>
      <c r="BM717" s="540"/>
      <c r="BN717" s="540"/>
      <c r="BO717" s="540"/>
      <c r="BP717" s="540"/>
      <c r="BQ717" s="540"/>
      <c r="BR717" s="540"/>
      <c r="BS717" s="540"/>
      <c r="BT717" s="540"/>
      <c r="BU717" s="540"/>
      <c r="BV717" s="540"/>
      <c r="BW717" s="540"/>
      <c r="BX717" s="540"/>
      <c r="BY717" s="540"/>
      <c r="BZ717" s="540"/>
      <c r="CA717" s="540"/>
      <c r="CB717" s="540"/>
      <c r="CC717" s="540"/>
      <c r="CD717" s="540"/>
      <c r="CE717" s="540"/>
      <c r="CF717" s="540"/>
      <c r="CG717" s="540"/>
      <c r="CH717" s="540"/>
      <c r="CI717" s="540"/>
      <c r="CJ717" s="540"/>
      <c r="CK717" s="540"/>
      <c r="CL717" s="540"/>
      <c r="CM717" s="540"/>
      <c r="CN717" s="540"/>
      <c r="CO717" s="540"/>
      <c r="CP717" s="540"/>
      <c r="CQ717" s="540"/>
      <c r="CR717" s="540"/>
      <c r="CS717" s="540"/>
      <c r="CT717" s="540"/>
      <c r="CU717" s="540"/>
      <c r="CV717" s="540"/>
      <c r="CW717" s="540"/>
      <c r="CX717" s="540"/>
      <c r="CY717" s="540"/>
      <c r="CZ717" s="540"/>
      <c r="DA717" s="540"/>
      <c r="DB717" s="540"/>
      <c r="DC717" s="540"/>
      <c r="DD717" s="540"/>
      <c r="DE717" s="540"/>
    </row>
    <row r="718" spans="1:109" s="116" customFormat="1" x14ac:dyDescent="0.2">
      <c r="A718" s="435"/>
      <c r="B718" s="435"/>
      <c r="C718" s="435"/>
      <c r="D718" s="435"/>
      <c r="AB718" s="540"/>
      <c r="AU718" s="540"/>
      <c r="AV718" s="540"/>
      <c r="AW718" s="540"/>
      <c r="AX718" s="540"/>
      <c r="AY718" s="540"/>
      <c r="AZ718" s="540"/>
      <c r="BA718" s="540"/>
      <c r="BB718" s="540"/>
      <c r="BC718" s="540"/>
      <c r="BD718" s="540"/>
      <c r="BE718" s="540"/>
      <c r="BF718" s="540"/>
      <c r="BG718" s="540"/>
      <c r="BH718" s="540"/>
      <c r="BI718" s="540"/>
      <c r="BJ718" s="540"/>
      <c r="BK718" s="540"/>
      <c r="BL718" s="540"/>
      <c r="BM718" s="540"/>
      <c r="BN718" s="540"/>
      <c r="BO718" s="540"/>
      <c r="BP718" s="540"/>
      <c r="BQ718" s="540"/>
      <c r="BR718" s="540"/>
      <c r="BS718" s="540"/>
      <c r="BT718" s="540"/>
      <c r="BU718" s="540"/>
      <c r="BV718" s="540"/>
      <c r="BW718" s="540"/>
      <c r="BX718" s="540"/>
      <c r="BY718" s="540"/>
      <c r="BZ718" s="540"/>
      <c r="CA718" s="540"/>
      <c r="CB718" s="540"/>
      <c r="CC718" s="540"/>
      <c r="CD718" s="540"/>
      <c r="CE718" s="540"/>
      <c r="CF718" s="540"/>
      <c r="CG718" s="540"/>
      <c r="CH718" s="540"/>
      <c r="CI718" s="540"/>
      <c r="CJ718" s="540"/>
      <c r="CK718" s="540"/>
      <c r="CL718" s="540"/>
      <c r="CM718" s="540"/>
      <c r="CN718" s="540"/>
      <c r="CO718" s="540"/>
      <c r="CP718" s="540"/>
      <c r="CQ718" s="540"/>
      <c r="CR718" s="540"/>
      <c r="CS718" s="540"/>
      <c r="CT718" s="540"/>
      <c r="CU718" s="540"/>
      <c r="CV718" s="540"/>
      <c r="CW718" s="540"/>
      <c r="CX718" s="540"/>
      <c r="CY718" s="540"/>
      <c r="CZ718" s="540"/>
      <c r="DA718" s="540"/>
      <c r="DB718" s="540"/>
      <c r="DC718" s="540"/>
      <c r="DD718" s="540"/>
      <c r="DE718" s="540"/>
    </row>
    <row r="719" spans="1:109" s="116" customFormat="1" x14ac:dyDescent="0.2">
      <c r="A719" s="435"/>
      <c r="B719" s="435"/>
      <c r="C719" s="435"/>
      <c r="D719" s="435"/>
      <c r="AB719" s="540"/>
      <c r="AU719" s="540"/>
      <c r="AV719" s="540"/>
      <c r="AW719" s="540"/>
      <c r="AX719" s="540"/>
      <c r="AY719" s="540"/>
      <c r="AZ719" s="540"/>
      <c r="BA719" s="540"/>
      <c r="BB719" s="540"/>
      <c r="BC719" s="540"/>
      <c r="BD719" s="540"/>
      <c r="BE719" s="540"/>
      <c r="BF719" s="540"/>
      <c r="BG719" s="540"/>
      <c r="BH719" s="540"/>
      <c r="BI719" s="540"/>
      <c r="BJ719" s="540"/>
      <c r="BK719" s="540"/>
      <c r="BL719" s="540"/>
      <c r="BM719" s="540"/>
      <c r="BN719" s="540"/>
      <c r="BO719" s="540"/>
      <c r="BP719" s="540"/>
      <c r="BQ719" s="540"/>
      <c r="BR719" s="540"/>
      <c r="BS719" s="540"/>
      <c r="BT719" s="540"/>
      <c r="BU719" s="540"/>
      <c r="BV719" s="540"/>
      <c r="BW719" s="540"/>
      <c r="BX719" s="540"/>
      <c r="BY719" s="540"/>
      <c r="BZ719" s="540"/>
      <c r="CA719" s="540"/>
      <c r="CB719" s="540"/>
      <c r="CC719" s="540"/>
      <c r="CD719" s="540"/>
      <c r="CE719" s="540"/>
      <c r="CF719" s="540"/>
      <c r="CG719" s="540"/>
      <c r="CH719" s="540"/>
      <c r="CI719" s="540"/>
      <c r="CJ719" s="540"/>
      <c r="CK719" s="540"/>
      <c r="CL719" s="540"/>
      <c r="CM719" s="540"/>
      <c r="CN719" s="540"/>
      <c r="CO719" s="540"/>
      <c r="CP719" s="540"/>
      <c r="CQ719" s="540"/>
      <c r="CR719" s="540"/>
      <c r="CS719" s="540"/>
      <c r="CT719" s="540"/>
      <c r="CU719" s="540"/>
      <c r="CV719" s="540"/>
      <c r="CW719" s="540"/>
      <c r="CX719" s="540"/>
      <c r="CY719" s="540"/>
      <c r="CZ719" s="540"/>
      <c r="DA719" s="540"/>
      <c r="DB719" s="540"/>
      <c r="DC719" s="540"/>
      <c r="DD719" s="540"/>
      <c r="DE719" s="540"/>
    </row>
    <row r="720" spans="1:109" s="116" customFormat="1" x14ac:dyDescent="0.2">
      <c r="A720" s="435"/>
      <c r="B720" s="435"/>
      <c r="C720" s="435"/>
      <c r="D720" s="435"/>
      <c r="AB720" s="540"/>
      <c r="AU720" s="540"/>
      <c r="AV720" s="540"/>
      <c r="AW720" s="540"/>
      <c r="AX720" s="540"/>
      <c r="AY720" s="540"/>
      <c r="AZ720" s="540"/>
      <c r="BA720" s="540"/>
      <c r="BB720" s="540"/>
      <c r="BC720" s="540"/>
      <c r="BD720" s="540"/>
      <c r="BE720" s="540"/>
      <c r="BF720" s="540"/>
      <c r="BG720" s="540"/>
      <c r="BH720" s="540"/>
      <c r="BI720" s="540"/>
      <c r="BJ720" s="540"/>
      <c r="BK720" s="540"/>
      <c r="BL720" s="540"/>
      <c r="BM720" s="540"/>
      <c r="BN720" s="540"/>
      <c r="BO720" s="540"/>
      <c r="BP720" s="540"/>
      <c r="BQ720" s="540"/>
      <c r="BR720" s="540"/>
      <c r="BS720" s="540"/>
      <c r="BT720" s="540"/>
      <c r="BU720" s="540"/>
      <c r="BV720" s="540"/>
      <c r="BW720" s="540"/>
      <c r="BX720" s="540"/>
      <c r="BY720" s="540"/>
      <c r="BZ720" s="540"/>
      <c r="CA720" s="540"/>
      <c r="CB720" s="540"/>
      <c r="CC720" s="540"/>
      <c r="CD720" s="540"/>
      <c r="CE720" s="540"/>
      <c r="CF720" s="540"/>
      <c r="CG720" s="540"/>
      <c r="CH720" s="540"/>
      <c r="CI720" s="540"/>
      <c r="CJ720" s="540"/>
      <c r="CK720" s="540"/>
      <c r="CL720" s="540"/>
      <c r="CM720" s="540"/>
      <c r="CN720" s="540"/>
      <c r="CO720" s="540"/>
      <c r="CP720" s="540"/>
      <c r="CQ720" s="540"/>
      <c r="CR720" s="540"/>
      <c r="CS720" s="540"/>
      <c r="CT720" s="540"/>
      <c r="CU720" s="540"/>
      <c r="CV720" s="540"/>
      <c r="CW720" s="540"/>
      <c r="CX720" s="540"/>
      <c r="CY720" s="540"/>
      <c r="CZ720" s="540"/>
      <c r="DA720" s="540"/>
      <c r="DB720" s="540"/>
      <c r="DC720" s="540"/>
      <c r="DD720" s="540"/>
      <c r="DE720" s="540"/>
    </row>
    <row r="721" spans="1:109" s="116" customFormat="1" x14ac:dyDescent="0.2">
      <c r="A721" s="435"/>
      <c r="B721" s="435"/>
      <c r="C721" s="435"/>
      <c r="D721" s="435"/>
      <c r="AB721" s="540"/>
      <c r="AU721" s="540"/>
      <c r="AV721" s="540"/>
      <c r="AW721" s="540"/>
      <c r="AX721" s="540"/>
      <c r="AY721" s="540"/>
      <c r="AZ721" s="540"/>
      <c r="BA721" s="540"/>
      <c r="BB721" s="540"/>
      <c r="BC721" s="540"/>
      <c r="BD721" s="540"/>
      <c r="BE721" s="540"/>
      <c r="BF721" s="540"/>
      <c r="BG721" s="540"/>
      <c r="BH721" s="540"/>
      <c r="BI721" s="540"/>
      <c r="BJ721" s="540"/>
      <c r="BK721" s="540"/>
      <c r="BL721" s="540"/>
      <c r="BM721" s="540"/>
      <c r="BN721" s="540"/>
      <c r="BO721" s="540"/>
      <c r="BP721" s="540"/>
      <c r="BQ721" s="540"/>
      <c r="BR721" s="540"/>
      <c r="BS721" s="540"/>
      <c r="BT721" s="540"/>
      <c r="BU721" s="540"/>
      <c r="BV721" s="540"/>
      <c r="BW721" s="540"/>
      <c r="BX721" s="540"/>
      <c r="BY721" s="540"/>
      <c r="BZ721" s="540"/>
      <c r="CA721" s="540"/>
      <c r="CB721" s="540"/>
      <c r="CC721" s="540"/>
      <c r="CD721" s="540"/>
      <c r="CE721" s="540"/>
      <c r="CF721" s="540"/>
      <c r="CG721" s="540"/>
      <c r="CH721" s="540"/>
      <c r="CI721" s="540"/>
      <c r="CJ721" s="540"/>
      <c r="CK721" s="540"/>
      <c r="CL721" s="540"/>
      <c r="CM721" s="540"/>
      <c r="CN721" s="540"/>
      <c r="CO721" s="540"/>
      <c r="CP721" s="540"/>
      <c r="CQ721" s="540"/>
      <c r="CR721" s="540"/>
      <c r="CS721" s="540"/>
      <c r="CT721" s="540"/>
      <c r="CU721" s="540"/>
      <c r="CV721" s="540"/>
      <c r="CW721" s="540"/>
      <c r="CX721" s="540"/>
      <c r="CY721" s="540"/>
      <c r="CZ721" s="540"/>
      <c r="DA721" s="540"/>
      <c r="DB721" s="540"/>
      <c r="DC721" s="540"/>
      <c r="DD721" s="540"/>
      <c r="DE721" s="540"/>
    </row>
    <row r="722" spans="1:109" s="116" customFormat="1" x14ac:dyDescent="0.2">
      <c r="A722" s="435"/>
      <c r="B722" s="435"/>
      <c r="C722" s="435"/>
      <c r="D722" s="435"/>
      <c r="AB722" s="540"/>
      <c r="AU722" s="540"/>
      <c r="AV722" s="540"/>
      <c r="AW722" s="540"/>
      <c r="AX722" s="540"/>
      <c r="AY722" s="540"/>
      <c r="AZ722" s="540"/>
      <c r="BA722" s="540"/>
      <c r="BB722" s="540"/>
      <c r="BC722" s="540"/>
      <c r="BD722" s="540"/>
      <c r="BE722" s="540"/>
      <c r="BF722" s="540"/>
      <c r="BG722" s="540"/>
      <c r="BH722" s="540"/>
      <c r="BI722" s="540"/>
      <c r="BJ722" s="540"/>
      <c r="BK722" s="540"/>
      <c r="BL722" s="540"/>
      <c r="BM722" s="540"/>
      <c r="BN722" s="540"/>
      <c r="BO722" s="540"/>
      <c r="BP722" s="540"/>
      <c r="BQ722" s="540"/>
      <c r="BR722" s="540"/>
      <c r="BS722" s="540"/>
      <c r="BT722" s="540"/>
      <c r="BU722" s="540"/>
      <c r="BV722" s="540"/>
      <c r="BW722" s="540"/>
      <c r="BX722" s="540"/>
      <c r="BY722" s="540"/>
      <c r="BZ722" s="540"/>
      <c r="CA722" s="540"/>
      <c r="CB722" s="540"/>
      <c r="CC722" s="540"/>
      <c r="CD722" s="540"/>
      <c r="CE722" s="540"/>
      <c r="CF722" s="540"/>
      <c r="CG722" s="540"/>
      <c r="CH722" s="540"/>
      <c r="CI722" s="540"/>
      <c r="CJ722" s="540"/>
      <c r="CK722" s="540"/>
      <c r="CL722" s="540"/>
      <c r="CM722" s="540"/>
      <c r="CN722" s="540"/>
      <c r="CO722" s="540"/>
      <c r="CP722" s="540"/>
      <c r="CQ722" s="540"/>
      <c r="CR722" s="540"/>
      <c r="CS722" s="540"/>
      <c r="CT722" s="540"/>
      <c r="CU722" s="540"/>
      <c r="CV722" s="540"/>
      <c r="CW722" s="540"/>
      <c r="CX722" s="540"/>
      <c r="CY722" s="540"/>
      <c r="CZ722" s="540"/>
      <c r="DA722" s="540"/>
      <c r="DB722" s="540"/>
      <c r="DC722" s="540"/>
      <c r="DD722" s="540"/>
      <c r="DE722" s="540"/>
    </row>
    <row r="723" spans="1:109" s="116" customFormat="1" x14ac:dyDescent="0.2">
      <c r="A723" s="435"/>
      <c r="B723" s="435"/>
      <c r="C723" s="435"/>
      <c r="D723" s="435"/>
      <c r="AB723" s="540"/>
      <c r="AU723" s="540"/>
      <c r="AV723" s="540"/>
      <c r="AW723" s="540"/>
      <c r="AX723" s="540"/>
      <c r="AY723" s="540"/>
      <c r="AZ723" s="540"/>
      <c r="BA723" s="540"/>
      <c r="BB723" s="540"/>
      <c r="BC723" s="540"/>
      <c r="BD723" s="540"/>
      <c r="BE723" s="540"/>
      <c r="BF723" s="540"/>
      <c r="BG723" s="540"/>
      <c r="BH723" s="540"/>
      <c r="BI723" s="540"/>
      <c r="BJ723" s="540"/>
      <c r="BK723" s="540"/>
      <c r="BL723" s="540"/>
      <c r="BM723" s="540"/>
      <c r="BN723" s="540"/>
      <c r="BO723" s="540"/>
      <c r="BP723" s="540"/>
      <c r="BQ723" s="540"/>
      <c r="BR723" s="540"/>
      <c r="BS723" s="540"/>
      <c r="BT723" s="540"/>
      <c r="BU723" s="540"/>
      <c r="BV723" s="540"/>
      <c r="BW723" s="540"/>
      <c r="BX723" s="540"/>
      <c r="BY723" s="540"/>
      <c r="BZ723" s="540"/>
      <c r="CA723" s="540"/>
      <c r="CB723" s="540"/>
      <c r="CC723" s="540"/>
      <c r="CD723" s="540"/>
      <c r="CE723" s="540"/>
      <c r="CF723" s="540"/>
      <c r="CG723" s="540"/>
      <c r="CH723" s="540"/>
      <c r="CI723" s="540"/>
      <c r="CJ723" s="540"/>
      <c r="CK723" s="540"/>
      <c r="CL723" s="540"/>
      <c r="CM723" s="540"/>
      <c r="CN723" s="540"/>
      <c r="CO723" s="540"/>
      <c r="CP723" s="540"/>
      <c r="CQ723" s="540"/>
      <c r="CR723" s="540"/>
      <c r="CS723" s="540"/>
      <c r="CT723" s="540"/>
      <c r="CU723" s="540"/>
      <c r="CV723" s="540"/>
      <c r="CW723" s="540"/>
      <c r="CX723" s="540"/>
      <c r="CY723" s="540"/>
      <c r="CZ723" s="540"/>
      <c r="DA723" s="540"/>
      <c r="DB723" s="540"/>
      <c r="DC723" s="540"/>
      <c r="DD723" s="540"/>
      <c r="DE723" s="540"/>
    </row>
    <row r="724" spans="1:109" s="116" customFormat="1" x14ac:dyDescent="0.2">
      <c r="A724" s="435"/>
      <c r="B724" s="435"/>
      <c r="C724" s="435"/>
      <c r="D724" s="435"/>
      <c r="AB724" s="540"/>
      <c r="AU724" s="540"/>
      <c r="AV724" s="540"/>
      <c r="AW724" s="540"/>
      <c r="AX724" s="540"/>
      <c r="AY724" s="540"/>
      <c r="AZ724" s="540"/>
      <c r="BA724" s="540"/>
      <c r="BB724" s="540"/>
      <c r="BC724" s="540"/>
      <c r="BD724" s="540"/>
      <c r="BE724" s="540"/>
      <c r="BF724" s="540"/>
      <c r="BG724" s="540"/>
      <c r="BH724" s="540"/>
      <c r="BI724" s="540"/>
      <c r="BJ724" s="540"/>
      <c r="BK724" s="540"/>
      <c r="BL724" s="540"/>
      <c r="BM724" s="540"/>
      <c r="BN724" s="540"/>
      <c r="BO724" s="540"/>
      <c r="BP724" s="540"/>
      <c r="BQ724" s="540"/>
      <c r="BR724" s="540"/>
      <c r="BS724" s="540"/>
      <c r="BT724" s="540"/>
      <c r="BU724" s="540"/>
      <c r="BV724" s="540"/>
      <c r="BW724" s="540"/>
      <c r="BX724" s="540"/>
      <c r="BY724" s="540"/>
      <c r="BZ724" s="540"/>
      <c r="CA724" s="540"/>
      <c r="CB724" s="540"/>
      <c r="CC724" s="540"/>
      <c r="CD724" s="540"/>
      <c r="CE724" s="540"/>
      <c r="CF724" s="540"/>
      <c r="CG724" s="540"/>
      <c r="CH724" s="540"/>
      <c r="CI724" s="540"/>
      <c r="CJ724" s="540"/>
      <c r="CK724" s="540"/>
      <c r="CL724" s="540"/>
      <c r="CM724" s="540"/>
      <c r="CN724" s="540"/>
      <c r="CO724" s="540"/>
      <c r="CP724" s="540"/>
      <c r="CQ724" s="540"/>
      <c r="CR724" s="540"/>
      <c r="CS724" s="540"/>
      <c r="CT724" s="540"/>
      <c r="CU724" s="540"/>
      <c r="CV724" s="540"/>
      <c r="CW724" s="540"/>
      <c r="CX724" s="540"/>
      <c r="CY724" s="540"/>
      <c r="CZ724" s="540"/>
      <c r="DA724" s="540"/>
      <c r="DB724" s="540"/>
      <c r="DC724" s="540"/>
      <c r="DD724" s="540"/>
      <c r="DE724" s="540"/>
    </row>
    <row r="725" spans="1:109" s="116" customFormat="1" x14ac:dyDescent="0.2">
      <c r="A725" s="435"/>
      <c r="B725" s="435"/>
      <c r="C725" s="435"/>
      <c r="D725" s="435"/>
      <c r="AB725" s="540"/>
      <c r="AU725" s="540"/>
      <c r="AV725" s="540"/>
      <c r="AW725" s="540"/>
      <c r="AX725" s="540"/>
      <c r="AY725" s="540"/>
      <c r="AZ725" s="540"/>
      <c r="BA725" s="540"/>
      <c r="BB725" s="540"/>
      <c r="BC725" s="540"/>
      <c r="BD725" s="540"/>
      <c r="BE725" s="540"/>
      <c r="BF725" s="540"/>
      <c r="BG725" s="540"/>
      <c r="BH725" s="540"/>
      <c r="BI725" s="540"/>
      <c r="BJ725" s="540"/>
      <c r="BK725" s="540"/>
      <c r="BL725" s="540"/>
      <c r="BM725" s="540"/>
      <c r="BN725" s="540"/>
      <c r="BO725" s="540"/>
      <c r="BP725" s="540"/>
      <c r="BQ725" s="540"/>
      <c r="BR725" s="540"/>
      <c r="BS725" s="540"/>
      <c r="BT725" s="540"/>
      <c r="BU725" s="540"/>
      <c r="BV725" s="540"/>
      <c r="BW725" s="540"/>
      <c r="BX725" s="540"/>
      <c r="BY725" s="540"/>
      <c r="BZ725" s="540"/>
      <c r="CA725" s="540"/>
      <c r="CB725" s="540"/>
      <c r="CC725" s="540"/>
      <c r="CD725" s="540"/>
      <c r="CE725" s="540"/>
      <c r="CF725" s="540"/>
      <c r="CG725" s="540"/>
      <c r="CH725" s="540"/>
      <c r="CI725" s="540"/>
      <c r="CJ725" s="540"/>
      <c r="CK725" s="540"/>
      <c r="CL725" s="540"/>
      <c r="CM725" s="540"/>
      <c r="CN725" s="540"/>
      <c r="CO725" s="540"/>
      <c r="CP725" s="540"/>
      <c r="CQ725" s="540"/>
      <c r="CR725" s="540"/>
      <c r="CS725" s="540"/>
      <c r="CT725" s="540"/>
      <c r="CU725" s="540"/>
      <c r="CV725" s="540"/>
      <c r="CW725" s="540"/>
      <c r="CX725" s="540"/>
      <c r="CY725" s="540"/>
      <c r="CZ725" s="540"/>
      <c r="DA725" s="540"/>
      <c r="DB725" s="540"/>
      <c r="DC725" s="540"/>
      <c r="DD725" s="540"/>
      <c r="DE725" s="540"/>
    </row>
    <row r="726" spans="1:109" s="116" customFormat="1" x14ac:dyDescent="0.2">
      <c r="A726" s="435"/>
      <c r="B726" s="435"/>
      <c r="C726" s="435"/>
      <c r="D726" s="435"/>
      <c r="AB726" s="540"/>
      <c r="AU726" s="540"/>
      <c r="AV726" s="540"/>
      <c r="AW726" s="540"/>
      <c r="AX726" s="540"/>
      <c r="AY726" s="540"/>
      <c r="AZ726" s="540"/>
      <c r="BA726" s="540"/>
      <c r="BB726" s="540"/>
      <c r="BC726" s="540"/>
      <c r="BD726" s="540"/>
      <c r="BE726" s="540"/>
      <c r="BF726" s="540"/>
      <c r="BG726" s="540"/>
      <c r="BH726" s="540"/>
      <c r="BI726" s="540"/>
      <c r="BJ726" s="540"/>
      <c r="BK726" s="540"/>
      <c r="BL726" s="540"/>
      <c r="BM726" s="540"/>
      <c r="BN726" s="540"/>
      <c r="BO726" s="540"/>
      <c r="BP726" s="540"/>
      <c r="BQ726" s="540"/>
      <c r="BR726" s="540"/>
      <c r="BS726" s="540"/>
      <c r="BT726" s="540"/>
      <c r="BU726" s="540"/>
      <c r="BV726" s="540"/>
      <c r="BW726" s="540"/>
      <c r="BX726" s="540"/>
      <c r="BY726" s="540"/>
      <c r="BZ726" s="540"/>
      <c r="CA726" s="540"/>
      <c r="CB726" s="540"/>
      <c r="CC726" s="540"/>
      <c r="CD726" s="540"/>
      <c r="CE726" s="540"/>
      <c r="CF726" s="540"/>
      <c r="CG726" s="540"/>
      <c r="CH726" s="540"/>
      <c r="CI726" s="540"/>
      <c r="CJ726" s="540"/>
      <c r="CK726" s="540"/>
      <c r="CL726" s="540"/>
      <c r="CM726" s="540"/>
      <c r="CN726" s="540"/>
      <c r="CO726" s="540"/>
      <c r="CP726" s="540"/>
      <c r="CQ726" s="540"/>
      <c r="CR726" s="540"/>
      <c r="CS726" s="540"/>
      <c r="CT726" s="540"/>
      <c r="CU726" s="540"/>
      <c r="CV726" s="540"/>
      <c r="CW726" s="540"/>
      <c r="CX726" s="540"/>
      <c r="CY726" s="540"/>
      <c r="CZ726" s="540"/>
      <c r="DA726" s="540"/>
      <c r="DB726" s="540"/>
      <c r="DC726" s="540"/>
      <c r="DD726" s="540"/>
      <c r="DE726" s="540"/>
    </row>
    <row r="727" spans="1:109" s="116" customFormat="1" x14ac:dyDescent="0.2">
      <c r="A727" s="435"/>
      <c r="B727" s="435"/>
      <c r="C727" s="435"/>
      <c r="D727" s="435"/>
      <c r="AB727" s="540"/>
      <c r="AU727" s="540"/>
      <c r="AV727" s="540"/>
      <c r="AW727" s="540"/>
      <c r="AX727" s="540"/>
      <c r="AY727" s="540"/>
      <c r="AZ727" s="540"/>
      <c r="BA727" s="540"/>
      <c r="BB727" s="540"/>
      <c r="BC727" s="540"/>
      <c r="BD727" s="540"/>
      <c r="BE727" s="540"/>
      <c r="BF727" s="540"/>
      <c r="BG727" s="540"/>
      <c r="BH727" s="540"/>
      <c r="BI727" s="540"/>
      <c r="BJ727" s="540"/>
      <c r="BK727" s="540"/>
      <c r="BL727" s="540"/>
      <c r="BM727" s="540"/>
      <c r="BN727" s="540"/>
      <c r="BO727" s="540"/>
      <c r="BP727" s="540"/>
      <c r="BQ727" s="540"/>
      <c r="BR727" s="540"/>
      <c r="BS727" s="540"/>
      <c r="BT727" s="540"/>
      <c r="BU727" s="540"/>
      <c r="BV727" s="540"/>
      <c r="BW727" s="540"/>
      <c r="BX727" s="540"/>
      <c r="BY727" s="540"/>
      <c r="BZ727" s="540"/>
      <c r="CA727" s="540"/>
      <c r="CB727" s="540"/>
      <c r="CC727" s="540"/>
      <c r="CD727" s="540"/>
      <c r="CE727" s="540"/>
      <c r="CF727" s="540"/>
      <c r="CG727" s="540"/>
      <c r="CH727" s="540"/>
      <c r="CI727" s="540"/>
      <c r="CJ727" s="540"/>
      <c r="CK727" s="540"/>
      <c r="CL727" s="540"/>
      <c r="CM727" s="540"/>
      <c r="CN727" s="540"/>
      <c r="CO727" s="540"/>
      <c r="CP727" s="540"/>
      <c r="CQ727" s="540"/>
      <c r="CR727" s="540"/>
      <c r="CS727" s="540"/>
      <c r="CT727" s="540"/>
      <c r="CU727" s="540"/>
      <c r="CV727" s="540"/>
      <c r="CW727" s="540"/>
      <c r="CX727" s="540"/>
      <c r="CY727" s="540"/>
      <c r="CZ727" s="540"/>
      <c r="DA727" s="540"/>
      <c r="DB727" s="540"/>
      <c r="DC727" s="540"/>
      <c r="DD727" s="540"/>
      <c r="DE727" s="540"/>
    </row>
    <row r="728" spans="1:109" s="116" customFormat="1" x14ac:dyDescent="0.2">
      <c r="A728" s="435"/>
      <c r="B728" s="435"/>
      <c r="C728" s="435"/>
      <c r="D728" s="435"/>
      <c r="AB728" s="540"/>
      <c r="AU728" s="540"/>
      <c r="AV728" s="540"/>
      <c r="AW728" s="540"/>
      <c r="AX728" s="540"/>
      <c r="AY728" s="540"/>
      <c r="AZ728" s="540"/>
      <c r="BA728" s="540"/>
      <c r="BB728" s="540"/>
      <c r="BC728" s="540"/>
      <c r="BD728" s="540"/>
      <c r="BE728" s="540"/>
      <c r="BF728" s="540"/>
      <c r="BG728" s="540"/>
      <c r="BH728" s="540"/>
      <c r="BI728" s="540"/>
      <c r="BJ728" s="540"/>
      <c r="BK728" s="540"/>
      <c r="BL728" s="540"/>
      <c r="BM728" s="540"/>
      <c r="BN728" s="540"/>
      <c r="BO728" s="540"/>
      <c r="BP728" s="540"/>
      <c r="BQ728" s="540"/>
      <c r="BR728" s="540"/>
      <c r="BS728" s="540"/>
      <c r="BT728" s="540"/>
      <c r="BU728" s="540"/>
      <c r="BV728" s="540"/>
      <c r="BW728" s="540"/>
      <c r="BX728" s="540"/>
      <c r="BY728" s="540"/>
      <c r="BZ728" s="540"/>
      <c r="CA728" s="540"/>
      <c r="CB728" s="540"/>
      <c r="CC728" s="540"/>
      <c r="CD728" s="540"/>
      <c r="CE728" s="540"/>
      <c r="CF728" s="540"/>
      <c r="CG728" s="540"/>
      <c r="CH728" s="540"/>
      <c r="CI728" s="540"/>
      <c r="CJ728" s="540"/>
      <c r="CK728" s="540"/>
      <c r="CL728" s="540"/>
      <c r="CM728" s="540"/>
      <c r="CN728" s="540"/>
      <c r="CO728" s="540"/>
      <c r="CP728" s="540"/>
      <c r="CQ728" s="540"/>
      <c r="CR728" s="540"/>
      <c r="CS728" s="540"/>
      <c r="CT728" s="540"/>
      <c r="CU728" s="540"/>
      <c r="CV728" s="540"/>
      <c r="CW728" s="540"/>
      <c r="CX728" s="540"/>
      <c r="CY728" s="540"/>
      <c r="CZ728" s="540"/>
      <c r="DA728" s="540"/>
      <c r="DB728" s="540"/>
      <c r="DC728" s="540"/>
      <c r="DD728" s="540"/>
      <c r="DE728" s="540"/>
    </row>
    <row r="729" spans="1:109" s="116" customFormat="1" x14ac:dyDescent="0.2">
      <c r="A729" s="435"/>
      <c r="B729" s="435"/>
      <c r="C729" s="435"/>
      <c r="D729" s="435"/>
      <c r="AB729" s="540"/>
      <c r="AU729" s="540"/>
      <c r="AV729" s="540"/>
      <c r="AW729" s="540"/>
      <c r="AX729" s="540"/>
      <c r="AY729" s="540"/>
      <c r="AZ729" s="540"/>
      <c r="BA729" s="540"/>
      <c r="BB729" s="540"/>
      <c r="BC729" s="540"/>
      <c r="BD729" s="540"/>
      <c r="BE729" s="540"/>
      <c r="BF729" s="540"/>
      <c r="BG729" s="540"/>
      <c r="BH729" s="540"/>
      <c r="BI729" s="540"/>
      <c r="BJ729" s="540"/>
      <c r="BK729" s="540"/>
      <c r="BL729" s="540"/>
      <c r="BM729" s="540"/>
      <c r="BN729" s="540"/>
      <c r="BO729" s="540"/>
      <c r="BP729" s="540"/>
      <c r="BQ729" s="540"/>
      <c r="BR729" s="540"/>
      <c r="BS729" s="540"/>
      <c r="BT729" s="540"/>
      <c r="BU729" s="540"/>
      <c r="BV729" s="540"/>
      <c r="BW729" s="540"/>
      <c r="BX729" s="540"/>
      <c r="BY729" s="540"/>
      <c r="BZ729" s="540"/>
      <c r="CA729" s="540"/>
      <c r="CB729" s="540"/>
      <c r="CC729" s="540"/>
      <c r="CD729" s="540"/>
      <c r="CE729" s="540"/>
      <c r="CF729" s="540"/>
      <c r="CG729" s="540"/>
      <c r="CH729" s="540"/>
      <c r="CI729" s="540"/>
      <c r="CJ729" s="540"/>
      <c r="CK729" s="540"/>
      <c r="CL729" s="540"/>
      <c r="CM729" s="540"/>
      <c r="CN729" s="540"/>
      <c r="CO729" s="540"/>
      <c r="CP729" s="540"/>
      <c r="CQ729" s="540"/>
      <c r="CR729" s="540"/>
      <c r="CS729" s="540"/>
      <c r="CT729" s="540"/>
      <c r="CU729" s="540"/>
      <c r="CV729" s="540"/>
      <c r="CW729" s="540"/>
      <c r="CX729" s="540"/>
      <c r="CY729" s="540"/>
      <c r="CZ729" s="540"/>
      <c r="DA729" s="540"/>
      <c r="DB729" s="540"/>
      <c r="DC729" s="540"/>
      <c r="DD729" s="540"/>
      <c r="DE729" s="540"/>
    </row>
    <row r="730" spans="1:109" s="116" customFormat="1" x14ac:dyDescent="0.2">
      <c r="A730" s="435"/>
      <c r="B730" s="435"/>
      <c r="C730" s="435"/>
      <c r="D730" s="435"/>
      <c r="AB730" s="540"/>
      <c r="AU730" s="540"/>
      <c r="AV730" s="540"/>
      <c r="AW730" s="540"/>
      <c r="AX730" s="540"/>
      <c r="AY730" s="540"/>
      <c r="AZ730" s="540"/>
      <c r="BA730" s="540"/>
      <c r="BB730" s="540"/>
      <c r="BC730" s="540"/>
      <c r="BD730" s="540"/>
      <c r="BE730" s="540"/>
      <c r="BF730" s="540"/>
      <c r="BG730" s="540"/>
      <c r="BH730" s="540"/>
      <c r="BI730" s="540"/>
      <c r="BJ730" s="540"/>
      <c r="BK730" s="540"/>
      <c r="BL730" s="540"/>
      <c r="BM730" s="540"/>
      <c r="BN730" s="540"/>
      <c r="BO730" s="540"/>
      <c r="BP730" s="540"/>
      <c r="BQ730" s="540"/>
      <c r="BR730" s="540"/>
      <c r="BS730" s="540"/>
      <c r="BT730" s="540"/>
      <c r="BU730" s="540"/>
      <c r="BV730" s="540"/>
      <c r="BW730" s="540"/>
      <c r="BX730" s="540"/>
      <c r="BY730" s="540"/>
      <c r="BZ730" s="540"/>
      <c r="CA730" s="540"/>
      <c r="CB730" s="540"/>
      <c r="CC730" s="540"/>
      <c r="CD730" s="540"/>
      <c r="CE730" s="540"/>
      <c r="CF730" s="540"/>
      <c r="CG730" s="540"/>
      <c r="CH730" s="540"/>
      <c r="CI730" s="540"/>
      <c r="CJ730" s="540"/>
      <c r="CK730" s="540"/>
      <c r="CL730" s="540"/>
      <c r="CM730" s="540"/>
      <c r="CN730" s="540"/>
      <c r="CO730" s="540"/>
      <c r="CP730" s="540"/>
      <c r="CQ730" s="540"/>
      <c r="CR730" s="540"/>
      <c r="CS730" s="540"/>
      <c r="CT730" s="540"/>
      <c r="CU730" s="540"/>
      <c r="CV730" s="540"/>
      <c r="CW730" s="540"/>
      <c r="CX730" s="540"/>
      <c r="CY730" s="540"/>
      <c r="CZ730" s="540"/>
      <c r="DA730" s="540"/>
      <c r="DB730" s="540"/>
      <c r="DC730" s="540"/>
      <c r="DD730" s="540"/>
      <c r="DE730" s="540"/>
    </row>
    <row r="731" spans="1:109" s="116" customFormat="1" x14ac:dyDescent="0.2">
      <c r="A731" s="435"/>
      <c r="B731" s="435"/>
      <c r="C731" s="435"/>
      <c r="D731" s="435"/>
      <c r="AB731" s="540"/>
      <c r="AU731" s="540"/>
      <c r="AV731" s="540"/>
      <c r="AW731" s="540"/>
      <c r="AX731" s="540"/>
      <c r="AY731" s="540"/>
      <c r="AZ731" s="540"/>
      <c r="BA731" s="540"/>
      <c r="BB731" s="540"/>
      <c r="BC731" s="540"/>
      <c r="BD731" s="540"/>
      <c r="BE731" s="540"/>
      <c r="BF731" s="540"/>
      <c r="BG731" s="540"/>
      <c r="BH731" s="540"/>
      <c r="BI731" s="540"/>
      <c r="BJ731" s="540"/>
      <c r="BK731" s="540"/>
      <c r="BL731" s="540"/>
      <c r="BM731" s="540"/>
      <c r="BN731" s="540"/>
      <c r="BO731" s="540"/>
      <c r="BP731" s="540"/>
      <c r="BQ731" s="540"/>
      <c r="BR731" s="540"/>
      <c r="BS731" s="540"/>
      <c r="BT731" s="540"/>
      <c r="BU731" s="540"/>
      <c r="BV731" s="540"/>
      <c r="BW731" s="540"/>
      <c r="BX731" s="540"/>
      <c r="BY731" s="540"/>
      <c r="BZ731" s="540"/>
      <c r="CA731" s="540"/>
      <c r="CB731" s="540"/>
      <c r="CC731" s="540"/>
      <c r="CD731" s="540"/>
      <c r="CE731" s="540"/>
      <c r="CF731" s="540"/>
      <c r="CG731" s="540"/>
      <c r="CH731" s="540"/>
      <c r="CI731" s="540"/>
      <c r="CJ731" s="540"/>
      <c r="CK731" s="540"/>
      <c r="CL731" s="540"/>
      <c r="CM731" s="540"/>
      <c r="CN731" s="540"/>
      <c r="CO731" s="540"/>
      <c r="CP731" s="540"/>
      <c r="CQ731" s="540"/>
      <c r="CR731" s="540"/>
      <c r="CS731" s="540"/>
      <c r="CT731" s="540"/>
      <c r="CU731" s="540"/>
      <c r="CV731" s="540"/>
      <c r="CW731" s="540"/>
      <c r="CX731" s="540"/>
      <c r="CY731" s="540"/>
      <c r="CZ731" s="540"/>
      <c r="DA731" s="540"/>
      <c r="DB731" s="540"/>
      <c r="DC731" s="540"/>
      <c r="DD731" s="540"/>
      <c r="DE731" s="540"/>
    </row>
    <row r="732" spans="1:109" s="116" customFormat="1" x14ac:dyDescent="0.2">
      <c r="A732" s="435"/>
      <c r="B732" s="435"/>
      <c r="C732" s="435"/>
      <c r="D732" s="435"/>
      <c r="AB732" s="540"/>
      <c r="AU732" s="540"/>
      <c r="AV732" s="540"/>
      <c r="AW732" s="540"/>
      <c r="AX732" s="540"/>
      <c r="AY732" s="540"/>
      <c r="AZ732" s="540"/>
      <c r="BA732" s="540"/>
      <c r="BB732" s="540"/>
      <c r="BC732" s="540"/>
      <c r="BD732" s="540"/>
      <c r="BE732" s="540"/>
      <c r="BF732" s="540"/>
      <c r="BG732" s="540"/>
      <c r="BH732" s="540"/>
      <c r="BI732" s="540"/>
      <c r="BJ732" s="540"/>
      <c r="BK732" s="540"/>
      <c r="BL732" s="540"/>
      <c r="BM732" s="540"/>
      <c r="BN732" s="540"/>
      <c r="BO732" s="540"/>
      <c r="BP732" s="540"/>
      <c r="BQ732" s="540"/>
      <c r="BR732" s="540"/>
      <c r="BS732" s="540"/>
      <c r="BT732" s="540"/>
      <c r="BU732" s="540"/>
      <c r="BV732" s="540"/>
      <c r="BW732" s="540"/>
      <c r="BX732" s="540"/>
      <c r="BY732" s="540"/>
      <c r="BZ732" s="540"/>
      <c r="CA732" s="540"/>
      <c r="CB732" s="540"/>
      <c r="CC732" s="540"/>
      <c r="CD732" s="540"/>
      <c r="CE732" s="540"/>
      <c r="CF732" s="540"/>
      <c r="CG732" s="540"/>
      <c r="CH732" s="540"/>
      <c r="CI732" s="540"/>
      <c r="CJ732" s="540"/>
      <c r="CK732" s="540"/>
      <c r="CL732" s="540"/>
      <c r="CM732" s="540"/>
      <c r="CN732" s="540"/>
      <c r="CO732" s="540"/>
      <c r="CP732" s="540"/>
      <c r="CQ732" s="540"/>
      <c r="CR732" s="540"/>
      <c r="CS732" s="540"/>
      <c r="CT732" s="540"/>
      <c r="CU732" s="540"/>
      <c r="CV732" s="540"/>
      <c r="CW732" s="540"/>
      <c r="CX732" s="540"/>
      <c r="CY732" s="540"/>
      <c r="CZ732" s="540"/>
      <c r="DA732" s="540"/>
      <c r="DB732" s="540"/>
      <c r="DC732" s="540"/>
      <c r="DD732" s="540"/>
      <c r="DE732" s="540"/>
    </row>
    <row r="733" spans="1:109" s="116" customFormat="1" x14ac:dyDescent="0.2">
      <c r="A733" s="435"/>
      <c r="B733" s="435"/>
      <c r="C733" s="435"/>
      <c r="D733" s="435"/>
      <c r="AB733" s="540"/>
      <c r="AU733" s="540"/>
      <c r="AV733" s="540"/>
      <c r="AW733" s="540"/>
      <c r="AX733" s="540"/>
      <c r="AY733" s="540"/>
      <c r="AZ733" s="540"/>
      <c r="BA733" s="540"/>
      <c r="BB733" s="540"/>
      <c r="BC733" s="540"/>
      <c r="BD733" s="540"/>
      <c r="BE733" s="540"/>
      <c r="BF733" s="540"/>
      <c r="BG733" s="540"/>
      <c r="BH733" s="540"/>
      <c r="BI733" s="540"/>
      <c r="BJ733" s="540"/>
      <c r="BK733" s="540"/>
      <c r="BL733" s="540"/>
      <c r="BM733" s="540"/>
      <c r="BN733" s="540"/>
      <c r="BO733" s="540"/>
      <c r="BP733" s="540"/>
      <c r="BQ733" s="540"/>
      <c r="BR733" s="540"/>
      <c r="BS733" s="540"/>
      <c r="BT733" s="540"/>
      <c r="BU733" s="540"/>
      <c r="BV733" s="540"/>
      <c r="BW733" s="540"/>
      <c r="BX733" s="540"/>
      <c r="BY733" s="540"/>
      <c r="BZ733" s="540"/>
      <c r="CA733" s="540"/>
      <c r="CB733" s="540"/>
      <c r="CC733" s="540"/>
      <c r="CD733" s="540"/>
      <c r="CE733" s="540"/>
      <c r="CF733" s="540"/>
      <c r="CG733" s="540"/>
      <c r="CH733" s="540"/>
      <c r="CI733" s="540"/>
      <c r="CJ733" s="540"/>
      <c r="CK733" s="540"/>
      <c r="CL733" s="540"/>
      <c r="CM733" s="540"/>
      <c r="CN733" s="540"/>
      <c r="CO733" s="540"/>
      <c r="CP733" s="540"/>
      <c r="CQ733" s="540"/>
      <c r="CR733" s="540"/>
      <c r="CS733" s="540"/>
      <c r="CT733" s="540"/>
      <c r="CU733" s="540"/>
      <c r="CV733" s="540"/>
      <c r="CW733" s="540"/>
      <c r="CX733" s="540"/>
      <c r="CY733" s="540"/>
      <c r="CZ733" s="540"/>
      <c r="DA733" s="540"/>
      <c r="DB733" s="540"/>
      <c r="DC733" s="540"/>
      <c r="DD733" s="540"/>
      <c r="DE733" s="540"/>
    </row>
    <row r="734" spans="1:109" s="116" customFormat="1" x14ac:dyDescent="0.2">
      <c r="A734" s="435"/>
      <c r="B734" s="435"/>
      <c r="C734" s="435"/>
      <c r="D734" s="435"/>
      <c r="AB734" s="540"/>
      <c r="AU734" s="540"/>
      <c r="AV734" s="540"/>
      <c r="AW734" s="540"/>
      <c r="AX734" s="540"/>
      <c r="AY734" s="540"/>
      <c r="AZ734" s="540"/>
      <c r="BA734" s="540"/>
      <c r="BB734" s="540"/>
      <c r="BC734" s="540"/>
      <c r="BD734" s="540"/>
      <c r="BE734" s="540"/>
      <c r="BF734" s="540"/>
      <c r="BG734" s="540"/>
      <c r="BH734" s="540"/>
      <c r="BI734" s="540"/>
      <c r="BJ734" s="540"/>
      <c r="BK734" s="540"/>
      <c r="BL734" s="540"/>
      <c r="BM734" s="540"/>
      <c r="BN734" s="540"/>
      <c r="BO734" s="540"/>
      <c r="BP734" s="540"/>
      <c r="BQ734" s="540"/>
      <c r="BR734" s="540"/>
      <c r="BS734" s="540"/>
      <c r="BT734" s="540"/>
      <c r="BU734" s="540"/>
      <c r="BV734" s="540"/>
      <c r="BW734" s="540"/>
      <c r="BX734" s="540"/>
      <c r="BY734" s="540"/>
      <c r="BZ734" s="540"/>
      <c r="CA734" s="540"/>
      <c r="CB734" s="540"/>
      <c r="CC734" s="540"/>
      <c r="CD734" s="540"/>
      <c r="CE734" s="540"/>
      <c r="CF734" s="540"/>
      <c r="CG734" s="540"/>
      <c r="CH734" s="540"/>
      <c r="CI734" s="540"/>
      <c r="CJ734" s="540"/>
      <c r="CK734" s="540"/>
      <c r="CL734" s="540"/>
      <c r="CM734" s="540"/>
      <c r="CN734" s="540"/>
      <c r="CO734" s="540"/>
      <c r="CP734" s="540"/>
      <c r="CQ734" s="540"/>
      <c r="CR734" s="540"/>
      <c r="CS734" s="540"/>
      <c r="CT734" s="540"/>
      <c r="CU734" s="540"/>
      <c r="CV734" s="540"/>
      <c r="CW734" s="540"/>
      <c r="CX734" s="540"/>
      <c r="CY734" s="540"/>
      <c r="CZ734" s="540"/>
      <c r="DA734" s="540"/>
      <c r="DB734" s="540"/>
      <c r="DC734" s="540"/>
      <c r="DD734" s="540"/>
      <c r="DE734" s="540"/>
    </row>
    <row r="735" spans="1:109" s="116" customFormat="1" x14ac:dyDescent="0.2">
      <c r="A735" s="435"/>
      <c r="B735" s="435"/>
      <c r="C735" s="435"/>
      <c r="D735" s="435"/>
      <c r="AB735" s="540"/>
      <c r="AU735" s="540"/>
      <c r="AV735" s="540"/>
      <c r="AW735" s="540"/>
      <c r="AX735" s="540"/>
      <c r="AY735" s="540"/>
      <c r="AZ735" s="540"/>
      <c r="BA735" s="540"/>
      <c r="BB735" s="540"/>
      <c r="BC735" s="540"/>
      <c r="BD735" s="540"/>
      <c r="BE735" s="540"/>
      <c r="BF735" s="540"/>
      <c r="BG735" s="540"/>
      <c r="BH735" s="540"/>
      <c r="BI735" s="540"/>
      <c r="BJ735" s="540"/>
      <c r="BK735" s="540"/>
      <c r="BL735" s="540"/>
      <c r="BM735" s="540"/>
      <c r="BN735" s="540"/>
      <c r="BO735" s="540"/>
      <c r="BP735" s="540"/>
      <c r="BQ735" s="540"/>
      <c r="BR735" s="540"/>
      <c r="BS735" s="540"/>
      <c r="BT735" s="540"/>
      <c r="BU735" s="540"/>
      <c r="BV735" s="540"/>
      <c r="BW735" s="540"/>
      <c r="BX735" s="540"/>
      <c r="BY735" s="540"/>
      <c r="BZ735" s="540"/>
      <c r="CA735" s="540"/>
      <c r="CB735" s="540"/>
      <c r="CC735" s="540"/>
      <c r="CD735" s="540"/>
      <c r="CE735" s="540"/>
      <c r="CF735" s="540"/>
      <c r="CG735" s="540"/>
      <c r="CH735" s="540"/>
      <c r="CI735" s="540"/>
      <c r="CJ735" s="540"/>
      <c r="CK735" s="540"/>
      <c r="CL735" s="540"/>
      <c r="CM735" s="540"/>
      <c r="CN735" s="540"/>
      <c r="CO735" s="540"/>
      <c r="CP735" s="540"/>
      <c r="CQ735" s="540"/>
      <c r="CR735" s="540"/>
      <c r="CS735" s="540"/>
      <c r="CT735" s="540"/>
      <c r="CU735" s="540"/>
      <c r="CV735" s="540"/>
      <c r="CW735" s="540"/>
      <c r="CX735" s="540"/>
      <c r="CY735" s="540"/>
      <c r="CZ735" s="540"/>
      <c r="DA735" s="540"/>
      <c r="DB735" s="540"/>
      <c r="DC735" s="540"/>
      <c r="DD735" s="540"/>
      <c r="DE735" s="540"/>
    </row>
    <row r="736" spans="1:109" s="116" customFormat="1" x14ac:dyDescent="0.2">
      <c r="A736" s="435"/>
      <c r="B736" s="435"/>
      <c r="C736" s="435"/>
      <c r="D736" s="435"/>
      <c r="AB736" s="540"/>
      <c r="AU736" s="540"/>
      <c r="AV736" s="540"/>
      <c r="AW736" s="540"/>
      <c r="AX736" s="540"/>
      <c r="AY736" s="540"/>
      <c r="AZ736" s="540"/>
      <c r="BA736" s="540"/>
      <c r="BB736" s="540"/>
      <c r="BC736" s="540"/>
      <c r="BD736" s="540"/>
      <c r="BE736" s="540"/>
      <c r="BF736" s="540"/>
      <c r="BG736" s="540"/>
      <c r="BH736" s="540"/>
      <c r="BI736" s="540"/>
      <c r="BJ736" s="540"/>
      <c r="BK736" s="540"/>
      <c r="BL736" s="540"/>
      <c r="BM736" s="540"/>
      <c r="BN736" s="540"/>
      <c r="BO736" s="540"/>
      <c r="BP736" s="540"/>
      <c r="BQ736" s="540"/>
      <c r="BR736" s="540"/>
      <c r="BS736" s="540"/>
      <c r="BT736" s="540"/>
      <c r="BU736" s="540"/>
      <c r="BV736" s="540"/>
      <c r="BW736" s="540"/>
      <c r="BX736" s="540"/>
      <c r="BY736" s="540"/>
      <c r="BZ736" s="540"/>
      <c r="CA736" s="540"/>
      <c r="CB736" s="540"/>
      <c r="CC736" s="540"/>
      <c r="CD736" s="540"/>
      <c r="CE736" s="540"/>
      <c r="CF736" s="540"/>
      <c r="CG736" s="540"/>
      <c r="CH736" s="540"/>
      <c r="CI736" s="540"/>
      <c r="CJ736" s="540"/>
      <c r="CK736" s="540"/>
      <c r="CL736" s="540"/>
      <c r="CM736" s="540"/>
      <c r="CN736" s="540"/>
      <c r="CO736" s="540"/>
      <c r="CP736" s="540"/>
      <c r="CQ736" s="540"/>
      <c r="CR736" s="540"/>
      <c r="CS736" s="540"/>
      <c r="CT736" s="540"/>
      <c r="CU736" s="540"/>
      <c r="CV736" s="540"/>
      <c r="CW736" s="540"/>
      <c r="CX736" s="540"/>
      <c r="CY736" s="540"/>
      <c r="CZ736" s="540"/>
      <c r="DA736" s="540"/>
      <c r="DB736" s="540"/>
      <c r="DC736" s="540"/>
      <c r="DD736" s="540"/>
      <c r="DE736" s="540"/>
    </row>
    <row r="737" spans="1:109" s="116" customFormat="1" x14ac:dyDescent="0.2">
      <c r="A737" s="435"/>
      <c r="B737" s="435"/>
      <c r="C737" s="435"/>
      <c r="D737" s="435"/>
      <c r="AB737" s="540"/>
      <c r="AU737" s="540"/>
      <c r="AV737" s="540"/>
      <c r="AW737" s="540"/>
      <c r="AX737" s="540"/>
      <c r="AY737" s="540"/>
      <c r="AZ737" s="540"/>
      <c r="BA737" s="540"/>
      <c r="BB737" s="540"/>
      <c r="BC737" s="540"/>
      <c r="BD737" s="540"/>
      <c r="BE737" s="540"/>
      <c r="BF737" s="540"/>
      <c r="BG737" s="540"/>
      <c r="BH737" s="540"/>
      <c r="BI737" s="540"/>
      <c r="BJ737" s="540"/>
      <c r="BK737" s="540"/>
      <c r="BL737" s="540"/>
      <c r="BM737" s="540"/>
      <c r="BN737" s="540"/>
      <c r="BO737" s="540"/>
      <c r="BP737" s="540"/>
      <c r="BQ737" s="540"/>
      <c r="BR737" s="540"/>
      <c r="BS737" s="540"/>
      <c r="BT737" s="540"/>
      <c r="BU737" s="540"/>
      <c r="BV737" s="540"/>
      <c r="BW737" s="540"/>
      <c r="BX737" s="540"/>
      <c r="BY737" s="540"/>
      <c r="BZ737" s="540"/>
      <c r="CA737" s="540"/>
      <c r="CB737" s="540"/>
      <c r="CC737" s="540"/>
      <c r="CD737" s="540"/>
      <c r="CE737" s="540"/>
      <c r="CF737" s="540"/>
      <c r="CG737" s="540"/>
      <c r="CH737" s="540"/>
      <c r="CI737" s="540"/>
      <c r="CJ737" s="540"/>
      <c r="CK737" s="540"/>
      <c r="CL737" s="540"/>
      <c r="CM737" s="540"/>
      <c r="CN737" s="540"/>
      <c r="CO737" s="540"/>
      <c r="CP737" s="540"/>
      <c r="CQ737" s="540"/>
      <c r="CR737" s="540"/>
      <c r="CS737" s="540"/>
      <c r="CT737" s="540"/>
      <c r="CU737" s="540"/>
      <c r="CV737" s="540"/>
      <c r="CW737" s="540"/>
      <c r="CX737" s="540"/>
      <c r="CY737" s="540"/>
      <c r="CZ737" s="540"/>
      <c r="DA737" s="540"/>
      <c r="DB737" s="540"/>
      <c r="DC737" s="540"/>
      <c r="DD737" s="540"/>
      <c r="DE737" s="540"/>
    </row>
    <row r="738" spans="1:109" s="116" customFormat="1" x14ac:dyDescent="0.2">
      <c r="A738" s="435"/>
      <c r="B738" s="435"/>
      <c r="C738" s="435"/>
      <c r="D738" s="435"/>
      <c r="AB738" s="540"/>
      <c r="AU738" s="540"/>
      <c r="AV738" s="540"/>
      <c r="AW738" s="540"/>
      <c r="AX738" s="540"/>
      <c r="AY738" s="540"/>
      <c r="AZ738" s="540"/>
      <c r="BA738" s="540"/>
      <c r="BB738" s="540"/>
      <c r="BC738" s="540"/>
      <c r="BD738" s="540"/>
      <c r="BE738" s="540"/>
      <c r="BF738" s="540"/>
      <c r="BG738" s="540"/>
      <c r="BH738" s="540"/>
      <c r="BI738" s="540"/>
      <c r="BJ738" s="540"/>
      <c r="BK738" s="540"/>
      <c r="BL738" s="540"/>
      <c r="BM738" s="540"/>
      <c r="BN738" s="540"/>
      <c r="BO738" s="540"/>
      <c r="BP738" s="540"/>
      <c r="BQ738" s="540"/>
      <c r="BR738" s="540"/>
      <c r="BS738" s="540"/>
      <c r="BT738" s="540"/>
      <c r="BU738" s="540"/>
      <c r="BV738" s="540"/>
      <c r="BW738" s="540"/>
      <c r="BX738" s="540"/>
      <c r="BY738" s="540"/>
      <c r="BZ738" s="540"/>
      <c r="CA738" s="540"/>
      <c r="CB738" s="540"/>
      <c r="CC738" s="540"/>
      <c r="CD738" s="540"/>
      <c r="CE738" s="540"/>
      <c r="CF738" s="540"/>
      <c r="CG738" s="540"/>
      <c r="CH738" s="540"/>
      <c r="CI738" s="540"/>
      <c r="CJ738" s="540"/>
      <c r="CK738" s="540"/>
      <c r="CL738" s="540"/>
      <c r="CM738" s="540"/>
      <c r="CN738" s="540"/>
      <c r="CO738" s="540"/>
      <c r="CP738" s="540"/>
      <c r="CQ738" s="540"/>
      <c r="CR738" s="540"/>
      <c r="CS738" s="540"/>
      <c r="CT738" s="540"/>
      <c r="CU738" s="540"/>
      <c r="CV738" s="540"/>
      <c r="CW738" s="540"/>
      <c r="CX738" s="540"/>
      <c r="CY738" s="540"/>
      <c r="CZ738" s="540"/>
      <c r="DA738" s="540"/>
      <c r="DB738" s="540"/>
      <c r="DC738" s="540"/>
      <c r="DD738" s="540"/>
      <c r="DE738" s="540"/>
    </row>
    <row r="739" spans="1:109" s="116" customFormat="1" x14ac:dyDescent="0.2">
      <c r="A739" s="435"/>
      <c r="B739" s="435"/>
      <c r="C739" s="435"/>
      <c r="D739" s="435"/>
      <c r="AB739" s="540"/>
      <c r="AU739" s="540"/>
      <c r="AV739" s="540"/>
      <c r="AW739" s="540"/>
      <c r="AX739" s="540"/>
      <c r="AY739" s="540"/>
      <c r="AZ739" s="540"/>
      <c r="BA739" s="540"/>
      <c r="BB739" s="540"/>
      <c r="BC739" s="540"/>
      <c r="BD739" s="540"/>
      <c r="BE739" s="540"/>
      <c r="BF739" s="540"/>
      <c r="BG739" s="540"/>
      <c r="BH739" s="540"/>
      <c r="BI739" s="540"/>
      <c r="BJ739" s="540"/>
      <c r="BK739" s="540"/>
      <c r="BL739" s="540"/>
      <c r="BM739" s="540"/>
      <c r="BN739" s="540"/>
      <c r="BO739" s="540"/>
      <c r="BP739" s="540"/>
      <c r="BQ739" s="540"/>
      <c r="BR739" s="540"/>
      <c r="BS739" s="540"/>
      <c r="BT739" s="540"/>
      <c r="BU739" s="540"/>
      <c r="BV739" s="540"/>
      <c r="BW739" s="540"/>
      <c r="BX739" s="540"/>
      <c r="BY739" s="540"/>
      <c r="BZ739" s="540"/>
      <c r="CA739" s="540"/>
      <c r="CB739" s="540"/>
      <c r="CC739" s="540"/>
      <c r="CD739" s="540"/>
      <c r="CE739" s="540"/>
      <c r="CF739" s="540"/>
      <c r="CG739" s="540"/>
      <c r="CH739" s="540"/>
      <c r="CI739" s="540"/>
      <c r="CJ739" s="540"/>
      <c r="CK739" s="540"/>
      <c r="CL739" s="540"/>
      <c r="CM739" s="540"/>
      <c r="CN739" s="540"/>
      <c r="CO739" s="540"/>
      <c r="CP739" s="540"/>
      <c r="CQ739" s="540"/>
      <c r="CR739" s="540"/>
      <c r="CS739" s="540"/>
      <c r="CT739" s="540"/>
      <c r="CU739" s="540"/>
      <c r="CV739" s="540"/>
      <c r="CW739" s="540"/>
      <c r="CX739" s="540"/>
      <c r="CY739" s="540"/>
      <c r="CZ739" s="540"/>
      <c r="DA739" s="540"/>
      <c r="DB739" s="540"/>
      <c r="DC739" s="540"/>
      <c r="DD739" s="540"/>
      <c r="DE739" s="540"/>
    </row>
    <row r="740" spans="1:109" s="116" customFormat="1" x14ac:dyDescent="0.2">
      <c r="A740" s="435"/>
      <c r="B740" s="435"/>
      <c r="C740" s="435"/>
      <c r="D740" s="435"/>
      <c r="AB740" s="540"/>
      <c r="AU740" s="540"/>
      <c r="AV740" s="540"/>
      <c r="AW740" s="540"/>
      <c r="AX740" s="540"/>
      <c r="AY740" s="540"/>
      <c r="AZ740" s="540"/>
      <c r="BA740" s="540"/>
      <c r="BB740" s="540"/>
      <c r="BC740" s="540"/>
      <c r="BD740" s="540"/>
      <c r="BE740" s="540"/>
      <c r="BF740" s="540"/>
      <c r="BG740" s="540"/>
      <c r="BH740" s="540"/>
      <c r="BI740" s="540"/>
      <c r="BJ740" s="540"/>
      <c r="BK740" s="540"/>
      <c r="BL740" s="540"/>
      <c r="BM740" s="540"/>
      <c r="BN740" s="540"/>
      <c r="BO740" s="540"/>
      <c r="BP740" s="540"/>
      <c r="BQ740" s="540"/>
      <c r="BR740" s="540"/>
      <c r="BS740" s="540"/>
      <c r="BT740" s="540"/>
      <c r="BU740" s="540"/>
      <c r="BV740" s="540"/>
      <c r="BW740" s="540"/>
      <c r="BX740" s="540"/>
      <c r="BY740" s="540"/>
      <c r="BZ740" s="540"/>
      <c r="CA740" s="540"/>
      <c r="CB740" s="540"/>
      <c r="CC740" s="540"/>
      <c r="CD740" s="540"/>
      <c r="CE740" s="540"/>
      <c r="CF740" s="540"/>
      <c r="CG740" s="540"/>
      <c r="CH740" s="540"/>
      <c r="CI740" s="540"/>
      <c r="CJ740" s="540"/>
      <c r="CK740" s="540"/>
      <c r="CL740" s="540"/>
      <c r="CM740" s="540"/>
      <c r="CN740" s="540"/>
      <c r="CO740" s="540"/>
      <c r="CP740" s="540"/>
      <c r="CQ740" s="540"/>
      <c r="CR740" s="540"/>
      <c r="CS740" s="540"/>
      <c r="CT740" s="540"/>
      <c r="CU740" s="540"/>
      <c r="CV740" s="540"/>
      <c r="CW740" s="540"/>
      <c r="CX740" s="540"/>
      <c r="CY740" s="540"/>
      <c r="CZ740" s="540"/>
      <c r="DA740" s="540"/>
      <c r="DB740" s="540"/>
      <c r="DC740" s="540"/>
      <c r="DD740" s="540"/>
      <c r="DE740" s="540"/>
    </row>
    <row r="741" spans="1:109" s="116" customFormat="1" x14ac:dyDescent="0.2">
      <c r="A741" s="435"/>
      <c r="B741" s="435"/>
      <c r="C741" s="435"/>
      <c r="D741" s="435"/>
      <c r="AB741" s="540"/>
      <c r="AU741" s="540"/>
      <c r="AV741" s="540"/>
      <c r="AW741" s="540"/>
      <c r="AX741" s="540"/>
      <c r="AY741" s="540"/>
      <c r="AZ741" s="540"/>
      <c r="BA741" s="540"/>
      <c r="BB741" s="540"/>
      <c r="BC741" s="540"/>
      <c r="BD741" s="540"/>
      <c r="BE741" s="540"/>
      <c r="BF741" s="540"/>
      <c r="BG741" s="540"/>
      <c r="BH741" s="540"/>
      <c r="BI741" s="540"/>
      <c r="BJ741" s="540"/>
      <c r="BK741" s="540"/>
      <c r="BL741" s="540"/>
      <c r="BM741" s="540"/>
      <c r="BN741" s="540"/>
      <c r="BO741" s="540"/>
      <c r="BP741" s="540"/>
      <c r="BQ741" s="540"/>
      <c r="BR741" s="540"/>
      <c r="BS741" s="540"/>
      <c r="BT741" s="540"/>
      <c r="BU741" s="540"/>
      <c r="BV741" s="540"/>
      <c r="BW741" s="540"/>
      <c r="BX741" s="540"/>
      <c r="BY741" s="540"/>
      <c r="BZ741" s="540"/>
      <c r="CA741" s="540"/>
      <c r="CB741" s="540"/>
      <c r="CC741" s="540"/>
      <c r="CD741" s="540"/>
      <c r="CE741" s="540"/>
      <c r="CF741" s="540"/>
      <c r="CG741" s="540"/>
      <c r="CH741" s="540"/>
      <c r="CI741" s="540"/>
      <c r="CJ741" s="540"/>
      <c r="CK741" s="540"/>
      <c r="CL741" s="540"/>
      <c r="CM741" s="540"/>
      <c r="CN741" s="540"/>
      <c r="CO741" s="540"/>
      <c r="CP741" s="540"/>
      <c r="CQ741" s="540"/>
      <c r="CR741" s="540"/>
      <c r="CS741" s="540"/>
      <c r="CT741" s="540"/>
      <c r="CU741" s="540"/>
      <c r="CV741" s="540"/>
      <c r="CW741" s="540"/>
      <c r="CX741" s="540"/>
      <c r="CY741" s="540"/>
      <c r="CZ741" s="540"/>
      <c r="DA741" s="540"/>
      <c r="DB741" s="540"/>
      <c r="DC741" s="540"/>
      <c r="DD741" s="540"/>
      <c r="DE741" s="540"/>
    </row>
    <row r="742" spans="1:109" s="116" customFormat="1" x14ac:dyDescent="0.2">
      <c r="A742" s="435"/>
      <c r="B742" s="435"/>
      <c r="C742" s="435"/>
      <c r="D742" s="435"/>
      <c r="AB742" s="540"/>
      <c r="AU742" s="540"/>
      <c r="AV742" s="540"/>
      <c r="AW742" s="540"/>
      <c r="AX742" s="540"/>
      <c r="AY742" s="540"/>
      <c r="AZ742" s="540"/>
      <c r="BA742" s="540"/>
      <c r="BB742" s="540"/>
      <c r="BC742" s="540"/>
      <c r="BD742" s="540"/>
      <c r="BE742" s="540"/>
      <c r="BF742" s="540"/>
      <c r="BG742" s="540"/>
      <c r="BH742" s="540"/>
      <c r="BI742" s="540"/>
      <c r="BJ742" s="540"/>
      <c r="BK742" s="540"/>
      <c r="BL742" s="540"/>
      <c r="BM742" s="540"/>
      <c r="BN742" s="540"/>
      <c r="BO742" s="540"/>
      <c r="BP742" s="540"/>
      <c r="BQ742" s="540"/>
      <c r="BR742" s="540"/>
      <c r="BS742" s="540"/>
      <c r="BT742" s="540"/>
      <c r="BU742" s="540"/>
      <c r="BV742" s="540"/>
      <c r="BW742" s="540"/>
      <c r="BX742" s="540"/>
      <c r="BY742" s="540"/>
      <c r="BZ742" s="540"/>
      <c r="CA742" s="540"/>
      <c r="CB742" s="540"/>
      <c r="CC742" s="540"/>
      <c r="CD742" s="540"/>
      <c r="CE742" s="540"/>
      <c r="CF742" s="540"/>
      <c r="CG742" s="540"/>
      <c r="CH742" s="540"/>
      <c r="CI742" s="540"/>
      <c r="CJ742" s="540"/>
      <c r="CK742" s="540"/>
      <c r="CL742" s="540"/>
      <c r="CM742" s="540"/>
      <c r="CN742" s="540"/>
      <c r="CO742" s="540"/>
      <c r="CP742" s="540"/>
      <c r="CQ742" s="540"/>
      <c r="CR742" s="540"/>
      <c r="CS742" s="540"/>
      <c r="CT742" s="540"/>
      <c r="CU742" s="540"/>
      <c r="CV742" s="540"/>
      <c r="CW742" s="540"/>
      <c r="CX742" s="540"/>
      <c r="CY742" s="540"/>
      <c r="CZ742" s="540"/>
      <c r="DA742" s="540"/>
      <c r="DB742" s="540"/>
      <c r="DC742" s="540"/>
      <c r="DD742" s="540"/>
      <c r="DE742" s="540"/>
    </row>
    <row r="743" spans="1:109" s="116" customFormat="1" x14ac:dyDescent="0.2">
      <c r="A743" s="435"/>
      <c r="B743" s="435"/>
      <c r="C743" s="435"/>
      <c r="D743" s="435"/>
      <c r="AB743" s="540"/>
      <c r="AU743" s="540"/>
      <c r="AV743" s="540"/>
      <c r="AW743" s="540"/>
      <c r="AX743" s="540"/>
      <c r="AY743" s="540"/>
      <c r="AZ743" s="540"/>
      <c r="BA743" s="540"/>
      <c r="BB743" s="540"/>
      <c r="BC743" s="540"/>
      <c r="BD743" s="540"/>
      <c r="BE743" s="540"/>
      <c r="BF743" s="540"/>
      <c r="BG743" s="540"/>
      <c r="BH743" s="540"/>
      <c r="BI743" s="540"/>
      <c r="BJ743" s="540"/>
      <c r="BK743" s="540"/>
      <c r="BL743" s="540"/>
      <c r="BM743" s="540"/>
      <c r="BN743" s="540"/>
      <c r="BO743" s="540"/>
      <c r="BP743" s="540"/>
      <c r="BQ743" s="540"/>
      <c r="BR743" s="540"/>
      <c r="BS743" s="540"/>
      <c r="BT743" s="540"/>
      <c r="BU743" s="540"/>
      <c r="BV743" s="540"/>
      <c r="BW743" s="540"/>
      <c r="BX743" s="540"/>
      <c r="BY743" s="540"/>
      <c r="BZ743" s="540"/>
      <c r="CA743" s="540"/>
      <c r="CB743" s="540"/>
      <c r="CC743" s="540"/>
      <c r="CD743" s="540"/>
      <c r="CE743" s="540"/>
      <c r="CF743" s="540"/>
      <c r="CG743" s="540"/>
      <c r="CH743" s="540"/>
      <c r="CI743" s="540"/>
      <c r="CJ743" s="540"/>
      <c r="CK743" s="540"/>
      <c r="CL743" s="540"/>
      <c r="CM743" s="540"/>
      <c r="CN743" s="540"/>
      <c r="CO743" s="540"/>
      <c r="CP743" s="540"/>
      <c r="CQ743" s="540"/>
      <c r="CR743" s="540"/>
      <c r="CS743" s="540"/>
      <c r="CT743" s="540"/>
      <c r="CU743" s="540"/>
      <c r="CV743" s="540"/>
      <c r="CW743" s="540"/>
      <c r="CX743" s="540"/>
      <c r="CY743" s="540"/>
      <c r="CZ743" s="540"/>
      <c r="DA743" s="540"/>
      <c r="DB743" s="540"/>
      <c r="DC743" s="540"/>
      <c r="DD743" s="540"/>
      <c r="DE743" s="540"/>
    </row>
    <row r="744" spans="1:109" s="116" customFormat="1" x14ac:dyDescent="0.2">
      <c r="A744" s="435"/>
      <c r="B744" s="435"/>
      <c r="C744" s="435"/>
      <c r="D744" s="435"/>
      <c r="AB744" s="540"/>
      <c r="AU744" s="540"/>
      <c r="AV744" s="540"/>
      <c r="AW744" s="540"/>
      <c r="AX744" s="540"/>
      <c r="AY744" s="540"/>
      <c r="AZ744" s="540"/>
      <c r="BA744" s="540"/>
      <c r="BB744" s="540"/>
      <c r="BC744" s="540"/>
      <c r="BD744" s="540"/>
      <c r="BE744" s="540"/>
      <c r="BF744" s="540"/>
      <c r="BG744" s="540"/>
      <c r="BH744" s="540"/>
      <c r="BI744" s="540"/>
      <c r="BJ744" s="540"/>
      <c r="BK744" s="540"/>
      <c r="BL744" s="540"/>
      <c r="BM744" s="540"/>
      <c r="BN744" s="540"/>
      <c r="BO744" s="540"/>
      <c r="BP744" s="540"/>
      <c r="BQ744" s="540"/>
      <c r="BR744" s="540"/>
      <c r="BS744" s="540"/>
      <c r="BT744" s="540"/>
      <c r="BU744" s="540"/>
      <c r="BV744" s="540"/>
      <c r="BW744" s="540"/>
      <c r="BX744" s="540"/>
      <c r="BY744" s="540"/>
      <c r="BZ744" s="540"/>
      <c r="CA744" s="540"/>
      <c r="CB744" s="540"/>
      <c r="CC744" s="540"/>
      <c r="CD744" s="540"/>
      <c r="CE744" s="540"/>
      <c r="CF744" s="540"/>
      <c r="CG744" s="540"/>
      <c r="CH744" s="540"/>
      <c r="CI744" s="540"/>
      <c r="CJ744" s="540"/>
      <c r="CK744" s="540"/>
      <c r="CL744" s="540"/>
      <c r="CM744" s="540"/>
      <c r="CN744" s="540"/>
      <c r="CO744" s="540"/>
      <c r="CP744" s="540"/>
      <c r="CQ744" s="540"/>
      <c r="CR744" s="540"/>
      <c r="CS744" s="540"/>
      <c r="CT744" s="540"/>
      <c r="CU744" s="540"/>
      <c r="CV744" s="540"/>
      <c r="CW744" s="540"/>
      <c r="CX744" s="540"/>
      <c r="CY744" s="540"/>
      <c r="CZ744" s="540"/>
      <c r="DA744" s="540"/>
      <c r="DB744" s="540"/>
      <c r="DC744" s="540"/>
      <c r="DD744" s="540"/>
      <c r="DE744" s="540"/>
    </row>
    <row r="745" spans="1:109" s="116" customFormat="1" x14ac:dyDescent="0.2">
      <c r="A745" s="435"/>
      <c r="B745" s="435"/>
      <c r="C745" s="435"/>
      <c r="D745" s="435"/>
      <c r="AB745" s="540"/>
      <c r="AU745" s="540"/>
      <c r="AV745" s="540"/>
      <c r="AW745" s="540"/>
      <c r="AX745" s="540"/>
      <c r="AY745" s="540"/>
      <c r="AZ745" s="540"/>
      <c r="BA745" s="540"/>
      <c r="BB745" s="540"/>
      <c r="BC745" s="540"/>
      <c r="BD745" s="540"/>
      <c r="BE745" s="540"/>
      <c r="BF745" s="540"/>
      <c r="BG745" s="540"/>
      <c r="BH745" s="540"/>
      <c r="BI745" s="540"/>
      <c r="BJ745" s="540"/>
      <c r="BK745" s="540"/>
      <c r="BL745" s="540"/>
      <c r="BM745" s="540"/>
      <c r="BN745" s="540"/>
      <c r="BO745" s="540"/>
      <c r="BP745" s="540"/>
      <c r="BQ745" s="540"/>
      <c r="BR745" s="540"/>
      <c r="BS745" s="540"/>
      <c r="BT745" s="540"/>
      <c r="BU745" s="540"/>
      <c r="BV745" s="540"/>
      <c r="BW745" s="540"/>
      <c r="BX745" s="540"/>
      <c r="BY745" s="540"/>
      <c r="BZ745" s="540"/>
      <c r="CA745" s="540"/>
      <c r="CB745" s="540"/>
      <c r="CC745" s="540"/>
      <c r="CD745" s="540"/>
      <c r="CE745" s="540"/>
      <c r="CF745" s="540"/>
      <c r="CG745" s="540"/>
      <c r="CH745" s="540"/>
      <c r="CI745" s="540"/>
      <c r="CJ745" s="540"/>
      <c r="CK745" s="540"/>
      <c r="CL745" s="540"/>
      <c r="CM745" s="540"/>
      <c r="CN745" s="540"/>
      <c r="CO745" s="540"/>
      <c r="CP745" s="540"/>
      <c r="CQ745" s="540"/>
      <c r="CR745" s="540"/>
      <c r="CS745" s="540"/>
      <c r="CT745" s="540"/>
      <c r="CU745" s="540"/>
      <c r="CV745" s="540"/>
      <c r="CW745" s="540"/>
      <c r="CX745" s="540"/>
      <c r="CY745" s="540"/>
      <c r="CZ745" s="540"/>
      <c r="DA745" s="540"/>
      <c r="DB745" s="540"/>
      <c r="DC745" s="540"/>
      <c r="DD745" s="540"/>
      <c r="DE745" s="540"/>
    </row>
    <row r="746" spans="1:109" s="116" customFormat="1" x14ac:dyDescent="0.2">
      <c r="A746" s="435"/>
      <c r="B746" s="435"/>
      <c r="C746" s="435"/>
      <c r="D746" s="435"/>
      <c r="AB746" s="540"/>
      <c r="AU746" s="540"/>
      <c r="AV746" s="540"/>
      <c r="AW746" s="540"/>
      <c r="AX746" s="540"/>
      <c r="AY746" s="540"/>
      <c r="AZ746" s="540"/>
      <c r="BA746" s="540"/>
      <c r="BB746" s="540"/>
      <c r="BC746" s="540"/>
      <c r="BD746" s="540"/>
      <c r="BE746" s="540"/>
      <c r="BF746" s="540"/>
      <c r="BG746" s="540"/>
      <c r="BH746" s="540"/>
      <c r="BI746" s="540"/>
      <c r="BJ746" s="540"/>
      <c r="BK746" s="540"/>
      <c r="BL746" s="540"/>
      <c r="BM746" s="540"/>
      <c r="BN746" s="540"/>
      <c r="BO746" s="540"/>
      <c r="BP746" s="540"/>
      <c r="BQ746" s="540"/>
      <c r="BR746" s="540"/>
      <c r="BS746" s="540"/>
      <c r="BT746" s="540"/>
      <c r="BU746" s="540"/>
      <c r="BV746" s="540"/>
      <c r="BW746" s="540"/>
      <c r="BX746" s="540"/>
      <c r="BY746" s="540"/>
      <c r="BZ746" s="540"/>
      <c r="CA746" s="540"/>
      <c r="CB746" s="540"/>
      <c r="CC746" s="540"/>
      <c r="CD746" s="540"/>
      <c r="CE746" s="540"/>
      <c r="CF746" s="540"/>
      <c r="CG746" s="540"/>
      <c r="CH746" s="540"/>
      <c r="CI746" s="540"/>
      <c r="CJ746" s="540"/>
      <c r="CK746" s="540"/>
      <c r="CL746" s="540"/>
      <c r="CM746" s="540"/>
      <c r="CN746" s="540"/>
      <c r="CO746" s="540"/>
      <c r="CP746" s="540"/>
      <c r="CQ746" s="540"/>
      <c r="CR746" s="540"/>
      <c r="CS746" s="540"/>
      <c r="CT746" s="540"/>
      <c r="CU746" s="540"/>
      <c r="CV746" s="540"/>
      <c r="CW746" s="540"/>
      <c r="CX746" s="540"/>
      <c r="CY746" s="540"/>
      <c r="CZ746" s="540"/>
      <c r="DA746" s="540"/>
      <c r="DB746" s="540"/>
      <c r="DC746" s="540"/>
      <c r="DD746" s="540"/>
      <c r="DE746" s="540"/>
    </row>
    <row r="747" spans="1:109" s="116" customFormat="1" x14ac:dyDescent="0.2">
      <c r="A747" s="435"/>
      <c r="B747" s="435"/>
      <c r="C747" s="435"/>
      <c r="D747" s="435"/>
      <c r="AB747" s="540"/>
      <c r="AU747" s="540"/>
      <c r="AV747" s="540"/>
      <c r="AW747" s="540"/>
      <c r="AX747" s="540"/>
      <c r="AY747" s="540"/>
      <c r="AZ747" s="540"/>
      <c r="BA747" s="540"/>
      <c r="BB747" s="540"/>
      <c r="BC747" s="540"/>
      <c r="BD747" s="540"/>
      <c r="BE747" s="540"/>
      <c r="BF747" s="540"/>
      <c r="BG747" s="540"/>
      <c r="BH747" s="540"/>
      <c r="BI747" s="540"/>
      <c r="BJ747" s="540"/>
      <c r="BK747" s="540"/>
      <c r="BL747" s="540"/>
      <c r="BM747" s="540"/>
      <c r="BN747" s="540"/>
      <c r="BO747" s="540"/>
      <c r="BP747" s="540"/>
      <c r="BQ747" s="540"/>
      <c r="BR747" s="540"/>
      <c r="BS747" s="540"/>
      <c r="BT747" s="540"/>
      <c r="BU747" s="540"/>
      <c r="BV747" s="540"/>
      <c r="BW747" s="540"/>
      <c r="BX747" s="540"/>
      <c r="BY747" s="540"/>
      <c r="BZ747" s="540"/>
      <c r="CA747" s="540"/>
      <c r="CB747" s="540"/>
      <c r="CC747" s="540"/>
      <c r="CD747" s="540"/>
      <c r="CE747" s="540"/>
      <c r="CF747" s="540"/>
      <c r="CG747" s="540"/>
      <c r="CH747" s="540"/>
      <c r="CI747" s="540"/>
      <c r="CJ747" s="540"/>
      <c r="CK747" s="540"/>
      <c r="CL747" s="540"/>
      <c r="CM747" s="540"/>
      <c r="CN747" s="540"/>
      <c r="CO747" s="540"/>
      <c r="CP747" s="540"/>
      <c r="CQ747" s="540"/>
      <c r="CR747" s="540"/>
      <c r="CS747" s="540"/>
      <c r="CT747" s="540"/>
      <c r="CU747" s="540"/>
      <c r="CV747" s="540"/>
      <c r="CW747" s="540"/>
      <c r="CX747" s="540"/>
      <c r="CY747" s="540"/>
      <c r="CZ747" s="540"/>
      <c r="DA747" s="540"/>
      <c r="DB747" s="540"/>
      <c r="DC747" s="540"/>
      <c r="DD747" s="540"/>
      <c r="DE747" s="540"/>
    </row>
    <row r="748" spans="1:109" s="116" customFormat="1" x14ac:dyDescent="0.2">
      <c r="A748" s="435"/>
      <c r="B748" s="435"/>
      <c r="C748" s="435"/>
      <c r="D748" s="435"/>
      <c r="AB748" s="540"/>
      <c r="AU748" s="540"/>
      <c r="AV748" s="540"/>
      <c r="AW748" s="540"/>
      <c r="AX748" s="540"/>
      <c r="AY748" s="540"/>
      <c r="AZ748" s="540"/>
      <c r="BA748" s="540"/>
      <c r="BB748" s="540"/>
      <c r="BC748" s="540"/>
      <c r="BD748" s="540"/>
      <c r="BE748" s="540"/>
      <c r="BF748" s="540"/>
      <c r="BG748" s="540"/>
      <c r="BH748" s="540"/>
      <c r="BI748" s="540"/>
      <c r="BJ748" s="540"/>
      <c r="BK748" s="540"/>
      <c r="BL748" s="540"/>
      <c r="BM748" s="540"/>
      <c r="BN748" s="540"/>
      <c r="BO748" s="540"/>
      <c r="BP748" s="540"/>
      <c r="BQ748" s="540"/>
      <c r="BR748" s="540"/>
      <c r="BS748" s="540"/>
      <c r="BT748" s="540"/>
      <c r="BU748" s="540"/>
      <c r="BV748" s="540"/>
      <c r="BW748" s="540"/>
      <c r="BX748" s="540"/>
      <c r="BY748" s="540"/>
      <c r="BZ748" s="540"/>
      <c r="CA748" s="540"/>
      <c r="CB748" s="540"/>
      <c r="CC748" s="540"/>
      <c r="CD748" s="540"/>
      <c r="CE748" s="540"/>
      <c r="CF748" s="540"/>
      <c r="CG748" s="540"/>
      <c r="CH748" s="540"/>
      <c r="CI748" s="540"/>
      <c r="CJ748" s="540"/>
      <c r="CK748" s="540"/>
      <c r="CL748" s="540"/>
      <c r="CM748" s="540"/>
      <c r="CN748" s="540"/>
      <c r="CO748" s="540"/>
      <c r="CP748" s="540"/>
      <c r="CQ748" s="540"/>
      <c r="CR748" s="540"/>
      <c r="CS748" s="540"/>
      <c r="CT748" s="540"/>
      <c r="CU748" s="540"/>
      <c r="CV748" s="540"/>
      <c r="CW748" s="540"/>
      <c r="CX748" s="540"/>
      <c r="CY748" s="540"/>
      <c r="CZ748" s="540"/>
      <c r="DA748" s="540"/>
      <c r="DB748" s="540"/>
      <c r="DC748" s="540"/>
      <c r="DD748" s="540"/>
      <c r="DE748" s="540"/>
    </row>
    <row r="749" spans="1:109" s="116" customFormat="1" x14ac:dyDescent="0.2">
      <c r="A749" s="435"/>
      <c r="B749" s="435"/>
      <c r="C749" s="435"/>
      <c r="D749" s="435"/>
      <c r="AB749" s="540"/>
      <c r="AU749" s="540"/>
      <c r="AV749" s="540"/>
      <c r="AW749" s="540"/>
      <c r="AX749" s="540"/>
      <c r="AY749" s="540"/>
      <c r="AZ749" s="540"/>
      <c r="BA749" s="540"/>
      <c r="BB749" s="540"/>
      <c r="BC749" s="540"/>
      <c r="BD749" s="540"/>
      <c r="BE749" s="540"/>
      <c r="BF749" s="540"/>
      <c r="BG749" s="540"/>
      <c r="BH749" s="540"/>
      <c r="BI749" s="540"/>
      <c r="BJ749" s="540"/>
      <c r="BK749" s="540"/>
      <c r="BL749" s="540"/>
      <c r="BM749" s="540"/>
      <c r="BN749" s="540"/>
      <c r="BO749" s="540"/>
      <c r="BP749" s="540"/>
      <c r="BQ749" s="540"/>
      <c r="BR749" s="540"/>
      <c r="BS749" s="540"/>
      <c r="BT749" s="540"/>
      <c r="BU749" s="540"/>
      <c r="BV749" s="540"/>
      <c r="BW749" s="540"/>
      <c r="BX749" s="540"/>
      <c r="BY749" s="540"/>
      <c r="BZ749" s="540"/>
      <c r="CA749" s="540"/>
      <c r="CB749" s="540"/>
      <c r="CC749" s="540"/>
      <c r="CD749" s="540"/>
      <c r="CE749" s="540"/>
      <c r="CF749" s="540"/>
      <c r="CG749" s="540"/>
      <c r="CH749" s="540"/>
      <c r="CI749" s="540"/>
      <c r="CJ749" s="540"/>
      <c r="CK749" s="540"/>
      <c r="CL749" s="540"/>
      <c r="CM749" s="540"/>
      <c r="CN749" s="540"/>
      <c r="CO749" s="540"/>
      <c r="CP749" s="540"/>
      <c r="CQ749" s="540"/>
      <c r="CR749" s="540"/>
      <c r="CS749" s="540"/>
      <c r="CT749" s="540"/>
      <c r="CU749" s="540"/>
      <c r="CV749" s="540"/>
      <c r="CW749" s="540"/>
      <c r="CX749" s="540"/>
      <c r="CY749" s="540"/>
      <c r="CZ749" s="540"/>
      <c r="DA749" s="540"/>
      <c r="DB749" s="540"/>
      <c r="DC749" s="540"/>
      <c r="DD749" s="540"/>
      <c r="DE749" s="540"/>
    </row>
    <row r="750" spans="1:109" s="116" customFormat="1" x14ac:dyDescent="0.2">
      <c r="A750" s="435"/>
      <c r="B750" s="435"/>
      <c r="C750" s="435"/>
      <c r="D750" s="435"/>
      <c r="AB750" s="540"/>
      <c r="AU750" s="540"/>
      <c r="AV750" s="540"/>
      <c r="AW750" s="540"/>
      <c r="AX750" s="540"/>
      <c r="AY750" s="540"/>
      <c r="AZ750" s="540"/>
      <c r="BA750" s="540"/>
      <c r="BB750" s="540"/>
      <c r="BC750" s="540"/>
      <c r="BD750" s="540"/>
      <c r="BE750" s="540"/>
      <c r="BF750" s="540"/>
      <c r="BG750" s="540"/>
      <c r="BH750" s="540"/>
      <c r="BI750" s="540"/>
      <c r="BJ750" s="540"/>
      <c r="BK750" s="540"/>
      <c r="BL750" s="540"/>
      <c r="BM750" s="540"/>
      <c r="BN750" s="540"/>
      <c r="BO750" s="540"/>
      <c r="BP750" s="540"/>
      <c r="BQ750" s="540"/>
      <c r="BR750" s="540"/>
      <c r="BS750" s="540"/>
      <c r="BT750" s="540"/>
      <c r="BU750" s="540"/>
      <c r="BV750" s="540"/>
      <c r="BW750" s="540"/>
      <c r="BX750" s="540"/>
      <c r="BY750" s="540"/>
      <c r="BZ750" s="540"/>
      <c r="CA750" s="540"/>
      <c r="CB750" s="540"/>
      <c r="CC750" s="540"/>
      <c r="CD750" s="540"/>
      <c r="CE750" s="540"/>
      <c r="CF750" s="540"/>
      <c r="CG750" s="540"/>
      <c r="CH750" s="540"/>
      <c r="CI750" s="540"/>
      <c r="CJ750" s="540"/>
      <c r="CK750" s="540"/>
      <c r="CL750" s="540"/>
      <c r="CM750" s="540"/>
      <c r="CN750" s="540"/>
      <c r="CO750" s="540"/>
      <c r="CP750" s="540"/>
      <c r="CQ750" s="540"/>
      <c r="CR750" s="540"/>
      <c r="CS750" s="540"/>
      <c r="CT750" s="540"/>
      <c r="CU750" s="540"/>
      <c r="CV750" s="540"/>
      <c r="CW750" s="540"/>
      <c r="CX750" s="540"/>
      <c r="CY750" s="540"/>
      <c r="CZ750" s="540"/>
      <c r="DA750" s="540"/>
      <c r="DB750" s="540"/>
      <c r="DC750" s="540"/>
      <c r="DD750" s="540"/>
      <c r="DE750" s="540"/>
    </row>
    <row r="751" spans="1:109" s="116" customFormat="1" x14ac:dyDescent="0.2">
      <c r="A751" s="435"/>
      <c r="B751" s="435"/>
      <c r="C751" s="435"/>
      <c r="D751" s="435"/>
      <c r="AB751" s="540"/>
      <c r="AU751" s="540"/>
      <c r="AV751" s="540"/>
      <c r="AW751" s="540"/>
      <c r="AX751" s="540"/>
      <c r="AY751" s="540"/>
      <c r="AZ751" s="540"/>
      <c r="BA751" s="540"/>
      <c r="BB751" s="540"/>
      <c r="BC751" s="540"/>
      <c r="BD751" s="540"/>
      <c r="BE751" s="540"/>
      <c r="BF751" s="540"/>
      <c r="BG751" s="540"/>
      <c r="BH751" s="540"/>
      <c r="BI751" s="540"/>
      <c r="BJ751" s="540"/>
      <c r="BK751" s="540"/>
      <c r="BL751" s="540"/>
      <c r="BM751" s="540"/>
      <c r="BN751" s="540"/>
      <c r="BO751" s="540"/>
      <c r="BP751" s="540"/>
      <c r="BQ751" s="540"/>
      <c r="BR751" s="540"/>
      <c r="BS751" s="540"/>
      <c r="BT751" s="540"/>
      <c r="BU751" s="540"/>
      <c r="BV751" s="540"/>
      <c r="BW751" s="540"/>
      <c r="BX751" s="540"/>
      <c r="BY751" s="540"/>
      <c r="BZ751" s="540"/>
      <c r="CA751" s="540"/>
      <c r="CB751" s="540"/>
      <c r="CC751" s="540"/>
      <c r="CD751" s="540"/>
      <c r="CE751" s="540"/>
      <c r="CF751" s="540"/>
      <c r="CG751" s="540"/>
      <c r="CH751" s="540"/>
      <c r="CI751" s="540"/>
      <c r="CJ751" s="540"/>
      <c r="CK751" s="540"/>
      <c r="CL751" s="540"/>
      <c r="CM751" s="540"/>
      <c r="CN751" s="540"/>
      <c r="CO751" s="540"/>
      <c r="CP751" s="540"/>
      <c r="CQ751" s="540"/>
      <c r="CR751" s="540"/>
      <c r="CS751" s="540"/>
      <c r="CT751" s="540"/>
      <c r="CU751" s="540"/>
      <c r="CV751" s="540"/>
      <c r="CW751" s="540"/>
      <c r="CX751" s="540"/>
      <c r="CY751" s="540"/>
      <c r="CZ751" s="540"/>
      <c r="DA751" s="540"/>
      <c r="DB751" s="540"/>
      <c r="DC751" s="540"/>
      <c r="DD751" s="540"/>
      <c r="DE751" s="540"/>
    </row>
    <row r="752" spans="1:109" s="116" customFormat="1" x14ac:dyDescent="0.2">
      <c r="A752" s="435"/>
      <c r="B752" s="435"/>
      <c r="C752" s="435"/>
      <c r="D752" s="435"/>
      <c r="AB752" s="540"/>
      <c r="AU752" s="540"/>
      <c r="AV752" s="540"/>
      <c r="AW752" s="540"/>
      <c r="AX752" s="540"/>
      <c r="AY752" s="540"/>
      <c r="AZ752" s="540"/>
      <c r="BA752" s="540"/>
      <c r="BB752" s="540"/>
      <c r="BC752" s="540"/>
      <c r="BD752" s="540"/>
      <c r="BE752" s="540"/>
      <c r="BF752" s="540"/>
      <c r="BG752" s="540"/>
      <c r="BH752" s="540"/>
      <c r="BI752" s="540"/>
      <c r="BJ752" s="540"/>
      <c r="BK752" s="540"/>
      <c r="BL752" s="540"/>
      <c r="BM752" s="540"/>
      <c r="BN752" s="540"/>
      <c r="BO752" s="540"/>
      <c r="BP752" s="540"/>
      <c r="BQ752" s="540"/>
      <c r="BR752" s="540"/>
      <c r="BS752" s="540"/>
      <c r="BT752" s="540"/>
      <c r="BU752" s="540"/>
      <c r="BV752" s="540"/>
      <c r="BW752" s="540"/>
      <c r="BX752" s="540"/>
      <c r="BY752" s="540"/>
      <c r="BZ752" s="540"/>
      <c r="CA752" s="540"/>
      <c r="CB752" s="540"/>
      <c r="CC752" s="540"/>
      <c r="CD752" s="540"/>
      <c r="CE752" s="540"/>
      <c r="CF752" s="540"/>
      <c r="CG752" s="540"/>
      <c r="CH752" s="540"/>
      <c r="CI752" s="540"/>
      <c r="CJ752" s="540"/>
      <c r="CK752" s="540"/>
      <c r="CL752" s="540"/>
      <c r="CM752" s="540"/>
      <c r="CN752" s="540"/>
      <c r="CO752" s="540"/>
      <c r="CP752" s="540"/>
      <c r="CQ752" s="540"/>
      <c r="CR752" s="540"/>
      <c r="CS752" s="540"/>
      <c r="CT752" s="540"/>
      <c r="CU752" s="540"/>
      <c r="CV752" s="540"/>
      <c r="CW752" s="540"/>
      <c r="CX752" s="540"/>
      <c r="CY752" s="540"/>
      <c r="CZ752" s="540"/>
      <c r="DA752" s="540"/>
      <c r="DB752" s="540"/>
      <c r="DC752" s="540"/>
      <c r="DD752" s="540"/>
      <c r="DE752" s="540"/>
    </row>
    <row r="753" spans="1:109" s="116" customFormat="1" x14ac:dyDescent="0.2">
      <c r="A753" s="435"/>
      <c r="B753" s="435"/>
      <c r="C753" s="435"/>
      <c r="D753" s="435"/>
      <c r="AB753" s="540"/>
      <c r="AU753" s="540"/>
      <c r="AV753" s="540"/>
      <c r="AW753" s="540"/>
      <c r="AX753" s="540"/>
      <c r="AY753" s="540"/>
      <c r="AZ753" s="540"/>
      <c r="BA753" s="540"/>
      <c r="BB753" s="540"/>
      <c r="BC753" s="540"/>
      <c r="BD753" s="540"/>
      <c r="BE753" s="540"/>
      <c r="BF753" s="540"/>
      <c r="BG753" s="540"/>
      <c r="BH753" s="540"/>
      <c r="BI753" s="540"/>
      <c r="BJ753" s="540"/>
      <c r="BK753" s="540"/>
      <c r="BL753" s="540"/>
      <c r="BM753" s="540"/>
      <c r="BN753" s="540"/>
      <c r="BO753" s="540"/>
      <c r="BP753" s="540"/>
      <c r="BQ753" s="540"/>
      <c r="BR753" s="540"/>
      <c r="BS753" s="540"/>
      <c r="BT753" s="540"/>
      <c r="BU753" s="540"/>
      <c r="BV753" s="540"/>
      <c r="BW753" s="540"/>
      <c r="BX753" s="540"/>
      <c r="BY753" s="540"/>
      <c r="BZ753" s="540"/>
      <c r="CA753" s="540"/>
      <c r="CB753" s="540"/>
      <c r="CC753" s="540"/>
      <c r="CD753" s="540"/>
      <c r="CE753" s="540"/>
      <c r="CF753" s="540"/>
      <c r="CG753" s="540"/>
      <c r="CH753" s="540"/>
      <c r="CI753" s="540"/>
      <c r="CJ753" s="540"/>
      <c r="CK753" s="540"/>
      <c r="CL753" s="540"/>
      <c r="CM753" s="540"/>
      <c r="CN753" s="540"/>
      <c r="CO753" s="540"/>
      <c r="CP753" s="540"/>
      <c r="CQ753" s="540"/>
      <c r="CR753" s="540"/>
      <c r="CS753" s="540"/>
      <c r="CT753" s="540"/>
      <c r="CU753" s="540"/>
      <c r="CV753" s="540"/>
      <c r="CW753" s="540"/>
      <c r="CX753" s="540"/>
      <c r="CY753" s="540"/>
      <c r="CZ753" s="540"/>
      <c r="DA753" s="540"/>
      <c r="DB753" s="540"/>
      <c r="DC753" s="540"/>
      <c r="DD753" s="540"/>
      <c r="DE753" s="540"/>
    </row>
    <row r="754" spans="1:109" s="116" customFormat="1" x14ac:dyDescent="0.2">
      <c r="A754" s="435"/>
      <c r="B754" s="435"/>
      <c r="C754" s="435"/>
      <c r="D754" s="435"/>
      <c r="AB754" s="540"/>
      <c r="AU754" s="540"/>
      <c r="AV754" s="540"/>
      <c r="AW754" s="540"/>
      <c r="AX754" s="540"/>
      <c r="AY754" s="540"/>
      <c r="AZ754" s="540"/>
      <c r="BA754" s="540"/>
      <c r="BB754" s="540"/>
      <c r="BC754" s="540"/>
      <c r="BD754" s="540"/>
      <c r="BE754" s="540"/>
      <c r="BF754" s="540"/>
      <c r="BG754" s="540"/>
      <c r="BH754" s="540"/>
      <c r="BI754" s="540"/>
      <c r="BJ754" s="540"/>
      <c r="BK754" s="540"/>
      <c r="BL754" s="540"/>
      <c r="BM754" s="540"/>
      <c r="BN754" s="540"/>
      <c r="BO754" s="540"/>
      <c r="BP754" s="540"/>
      <c r="BQ754" s="540"/>
      <c r="BR754" s="540"/>
      <c r="BS754" s="540"/>
      <c r="BT754" s="540"/>
      <c r="BU754" s="540"/>
      <c r="BV754" s="540"/>
      <c r="BW754" s="540"/>
      <c r="BX754" s="540"/>
      <c r="BY754" s="540"/>
      <c r="BZ754" s="540"/>
      <c r="CA754" s="540"/>
      <c r="CB754" s="540"/>
      <c r="CC754" s="540"/>
      <c r="CD754" s="540"/>
      <c r="CE754" s="540"/>
      <c r="CF754" s="540"/>
      <c r="CG754" s="540"/>
      <c r="CH754" s="540"/>
      <c r="CI754" s="540"/>
      <c r="CJ754" s="540"/>
      <c r="CK754" s="540"/>
      <c r="CL754" s="540"/>
      <c r="CM754" s="540"/>
      <c r="CN754" s="540"/>
      <c r="CO754" s="540"/>
      <c r="CP754" s="540"/>
      <c r="CQ754" s="540"/>
      <c r="CR754" s="540"/>
      <c r="CS754" s="540"/>
      <c r="CT754" s="540"/>
      <c r="CU754" s="540"/>
      <c r="CV754" s="540"/>
      <c r="CW754" s="540"/>
      <c r="CX754" s="540"/>
      <c r="CY754" s="540"/>
      <c r="CZ754" s="540"/>
      <c r="DA754" s="540"/>
      <c r="DB754" s="540"/>
      <c r="DC754" s="540"/>
      <c r="DD754" s="540"/>
      <c r="DE754" s="540"/>
    </row>
    <row r="755" spans="1:109" s="116" customFormat="1" x14ac:dyDescent="0.2">
      <c r="A755" s="435"/>
      <c r="B755" s="435"/>
      <c r="C755" s="435"/>
      <c r="D755" s="435"/>
      <c r="AB755" s="540"/>
      <c r="AU755" s="540"/>
      <c r="AV755" s="540"/>
      <c r="AW755" s="540"/>
      <c r="AX755" s="540"/>
      <c r="AY755" s="540"/>
      <c r="AZ755" s="540"/>
      <c r="BA755" s="540"/>
      <c r="BB755" s="540"/>
      <c r="BC755" s="540"/>
      <c r="BD755" s="540"/>
      <c r="BE755" s="540"/>
      <c r="BF755" s="540"/>
      <c r="BG755" s="540"/>
      <c r="BH755" s="540"/>
      <c r="BI755" s="540"/>
      <c r="BJ755" s="540"/>
      <c r="BK755" s="540"/>
      <c r="BL755" s="540"/>
      <c r="BM755" s="540"/>
      <c r="BN755" s="540"/>
      <c r="BO755" s="540"/>
      <c r="BP755" s="540"/>
      <c r="BQ755" s="540"/>
      <c r="BR755" s="540"/>
      <c r="BS755" s="540"/>
      <c r="BT755" s="540"/>
      <c r="BU755" s="540"/>
      <c r="BV755" s="540"/>
      <c r="BW755" s="540"/>
      <c r="BX755" s="540"/>
      <c r="BY755" s="540"/>
      <c r="BZ755" s="540"/>
      <c r="CA755" s="540"/>
      <c r="CB755" s="540"/>
      <c r="CC755" s="540"/>
      <c r="CD755" s="540"/>
      <c r="CE755" s="540"/>
      <c r="CF755" s="540"/>
      <c r="CG755" s="540"/>
      <c r="CH755" s="540"/>
      <c r="CI755" s="540"/>
      <c r="CJ755" s="540"/>
      <c r="CK755" s="540"/>
      <c r="CL755" s="540"/>
      <c r="CM755" s="540"/>
      <c r="CN755" s="540"/>
      <c r="CO755" s="540"/>
      <c r="CP755" s="540"/>
      <c r="CQ755" s="540"/>
      <c r="CR755" s="540"/>
      <c r="CS755" s="540"/>
      <c r="CT755" s="540"/>
      <c r="CU755" s="540"/>
      <c r="CV755" s="540"/>
      <c r="CW755" s="540"/>
      <c r="CX755" s="540"/>
      <c r="CY755" s="540"/>
      <c r="CZ755" s="540"/>
      <c r="DA755" s="540"/>
      <c r="DB755" s="540"/>
      <c r="DC755" s="540"/>
      <c r="DD755" s="540"/>
      <c r="DE755" s="540"/>
    </row>
    <row r="756" spans="1:109" s="116" customFormat="1" x14ac:dyDescent="0.2">
      <c r="A756" s="435"/>
      <c r="B756" s="435"/>
      <c r="C756" s="435"/>
      <c r="D756" s="435"/>
      <c r="AB756" s="540"/>
      <c r="AU756" s="540"/>
      <c r="AV756" s="540"/>
      <c r="AW756" s="540"/>
      <c r="AX756" s="540"/>
      <c r="AY756" s="540"/>
      <c r="AZ756" s="540"/>
      <c r="BA756" s="540"/>
      <c r="BB756" s="540"/>
      <c r="BC756" s="540"/>
      <c r="BD756" s="540"/>
      <c r="BE756" s="540"/>
      <c r="BF756" s="540"/>
      <c r="BG756" s="540"/>
      <c r="BH756" s="540"/>
      <c r="BI756" s="540"/>
      <c r="BJ756" s="540"/>
      <c r="BK756" s="540"/>
      <c r="BL756" s="540"/>
      <c r="BM756" s="540"/>
      <c r="BN756" s="540"/>
      <c r="BO756" s="540"/>
      <c r="BP756" s="540"/>
      <c r="BQ756" s="540"/>
      <c r="BR756" s="540"/>
      <c r="BS756" s="540"/>
      <c r="BT756" s="540"/>
      <c r="BU756" s="540"/>
      <c r="BV756" s="540"/>
      <c r="BW756" s="540"/>
      <c r="BX756" s="540"/>
      <c r="BY756" s="540"/>
      <c r="BZ756" s="540"/>
      <c r="CA756" s="540"/>
      <c r="CB756" s="540"/>
      <c r="CC756" s="540"/>
      <c r="CD756" s="540"/>
      <c r="CE756" s="540"/>
      <c r="CF756" s="540"/>
      <c r="CG756" s="540"/>
      <c r="CH756" s="540"/>
      <c r="CI756" s="540"/>
      <c r="CJ756" s="540"/>
      <c r="CK756" s="540"/>
      <c r="CL756" s="540"/>
      <c r="CM756" s="540"/>
      <c r="CN756" s="540"/>
      <c r="CO756" s="540"/>
      <c r="CP756" s="540"/>
      <c r="CQ756" s="540"/>
      <c r="CR756" s="540"/>
      <c r="CS756" s="540"/>
      <c r="CT756" s="540"/>
      <c r="CU756" s="540"/>
      <c r="CV756" s="540"/>
      <c r="CW756" s="540"/>
      <c r="CX756" s="540"/>
      <c r="CY756" s="540"/>
      <c r="CZ756" s="540"/>
      <c r="DA756" s="540"/>
      <c r="DB756" s="540"/>
      <c r="DC756" s="540"/>
      <c r="DD756" s="540"/>
      <c r="DE756" s="540"/>
    </row>
    <row r="757" spans="1:109" s="116" customFormat="1" x14ac:dyDescent="0.2">
      <c r="A757" s="435"/>
      <c r="B757" s="435"/>
      <c r="C757" s="435"/>
      <c r="D757" s="435"/>
      <c r="AB757" s="540"/>
      <c r="AU757" s="540"/>
      <c r="AV757" s="540"/>
      <c r="AW757" s="540"/>
      <c r="AX757" s="540"/>
      <c r="AY757" s="540"/>
      <c r="AZ757" s="540"/>
      <c r="BA757" s="540"/>
      <c r="BB757" s="540"/>
      <c r="BC757" s="540"/>
      <c r="BD757" s="540"/>
      <c r="BE757" s="540"/>
      <c r="BF757" s="540"/>
      <c r="BG757" s="540"/>
      <c r="BH757" s="540"/>
      <c r="BI757" s="540"/>
      <c r="BJ757" s="540"/>
      <c r="BK757" s="540"/>
      <c r="BL757" s="540"/>
      <c r="BM757" s="540"/>
      <c r="BN757" s="540"/>
      <c r="BO757" s="540"/>
      <c r="BP757" s="540"/>
      <c r="BQ757" s="540"/>
      <c r="BR757" s="540"/>
      <c r="BS757" s="540"/>
      <c r="BT757" s="540"/>
      <c r="BU757" s="540"/>
      <c r="BV757" s="540"/>
      <c r="BW757" s="540"/>
      <c r="BX757" s="540"/>
      <c r="BY757" s="540"/>
      <c r="BZ757" s="540"/>
      <c r="CA757" s="540"/>
      <c r="CB757" s="540"/>
      <c r="CC757" s="540"/>
      <c r="CD757" s="540"/>
      <c r="CE757" s="540"/>
      <c r="CF757" s="540"/>
      <c r="CG757" s="540"/>
      <c r="CH757" s="540"/>
      <c r="CI757" s="540"/>
      <c r="CJ757" s="540"/>
      <c r="CK757" s="540"/>
      <c r="CL757" s="540"/>
      <c r="CM757" s="540"/>
      <c r="CN757" s="540"/>
      <c r="CO757" s="540"/>
      <c r="CP757" s="540"/>
      <c r="CQ757" s="540"/>
      <c r="CR757" s="540"/>
      <c r="CS757" s="540"/>
      <c r="CT757" s="540"/>
      <c r="CU757" s="540"/>
      <c r="CV757" s="540"/>
      <c r="CW757" s="540"/>
      <c r="CX757" s="540"/>
      <c r="CY757" s="540"/>
      <c r="CZ757" s="540"/>
      <c r="DA757" s="540"/>
      <c r="DB757" s="540"/>
      <c r="DC757" s="540"/>
      <c r="DD757" s="540"/>
      <c r="DE757" s="540"/>
    </row>
    <row r="758" spans="1:109" s="116" customFormat="1" x14ac:dyDescent="0.2">
      <c r="A758" s="435"/>
      <c r="B758" s="435"/>
      <c r="C758" s="435"/>
      <c r="D758" s="435"/>
      <c r="AB758" s="540"/>
      <c r="AU758" s="540"/>
      <c r="AV758" s="540"/>
      <c r="AW758" s="540"/>
      <c r="AX758" s="540"/>
      <c r="AY758" s="540"/>
      <c r="AZ758" s="540"/>
      <c r="BA758" s="540"/>
      <c r="BB758" s="540"/>
      <c r="BC758" s="540"/>
      <c r="BD758" s="540"/>
      <c r="BE758" s="540"/>
      <c r="BF758" s="540"/>
      <c r="BG758" s="540"/>
      <c r="BH758" s="540"/>
      <c r="BI758" s="540"/>
      <c r="BJ758" s="540"/>
      <c r="BK758" s="540"/>
      <c r="BL758" s="540"/>
      <c r="BM758" s="540"/>
      <c r="BN758" s="540"/>
      <c r="BO758" s="540"/>
      <c r="BP758" s="540"/>
      <c r="BQ758" s="540"/>
      <c r="BR758" s="540"/>
      <c r="BS758" s="540"/>
      <c r="BT758" s="540"/>
      <c r="BU758" s="540"/>
      <c r="BV758" s="540"/>
      <c r="BW758" s="540"/>
      <c r="BX758" s="540"/>
      <c r="BY758" s="540"/>
      <c r="BZ758" s="540"/>
      <c r="CA758" s="540"/>
      <c r="CB758" s="540"/>
      <c r="CC758" s="540"/>
      <c r="CD758" s="540"/>
      <c r="CE758" s="540"/>
      <c r="CF758" s="540"/>
      <c r="CG758" s="540"/>
      <c r="CH758" s="540"/>
      <c r="CI758" s="540"/>
      <c r="CJ758" s="540"/>
      <c r="CK758" s="540"/>
      <c r="CL758" s="540"/>
      <c r="CM758" s="540"/>
      <c r="CN758" s="540"/>
      <c r="CO758" s="540"/>
      <c r="CP758" s="540"/>
      <c r="CQ758" s="540"/>
      <c r="CR758" s="540"/>
      <c r="CS758" s="540"/>
      <c r="CT758" s="540"/>
      <c r="CU758" s="540"/>
      <c r="CV758" s="540"/>
      <c r="CW758" s="540"/>
      <c r="CX758" s="540"/>
      <c r="CY758" s="540"/>
      <c r="CZ758" s="540"/>
      <c r="DA758" s="540"/>
      <c r="DB758" s="540"/>
      <c r="DC758" s="540"/>
      <c r="DD758" s="540"/>
      <c r="DE758" s="540"/>
    </row>
    <row r="759" spans="1:109" s="116" customFormat="1" x14ac:dyDescent="0.2">
      <c r="A759" s="435"/>
      <c r="B759" s="435"/>
      <c r="C759" s="435"/>
      <c r="D759" s="435"/>
      <c r="AB759" s="540"/>
      <c r="AU759" s="540"/>
      <c r="AV759" s="540"/>
      <c r="AW759" s="540"/>
      <c r="AX759" s="540"/>
      <c r="AY759" s="540"/>
      <c r="AZ759" s="540"/>
      <c r="BA759" s="540"/>
      <c r="BB759" s="540"/>
      <c r="BC759" s="540"/>
      <c r="BD759" s="540"/>
      <c r="BE759" s="540"/>
      <c r="BF759" s="540"/>
      <c r="BG759" s="540"/>
      <c r="BH759" s="540"/>
      <c r="BI759" s="540"/>
      <c r="BJ759" s="540"/>
      <c r="BK759" s="540"/>
      <c r="BL759" s="540"/>
      <c r="BM759" s="540"/>
      <c r="BN759" s="540"/>
      <c r="BO759" s="540"/>
      <c r="BP759" s="540"/>
      <c r="BQ759" s="540"/>
      <c r="BR759" s="540"/>
      <c r="BS759" s="540"/>
      <c r="BT759" s="540"/>
      <c r="BU759" s="540"/>
      <c r="BV759" s="540"/>
      <c r="BW759" s="540"/>
      <c r="BX759" s="540"/>
      <c r="BY759" s="540"/>
      <c r="BZ759" s="540"/>
      <c r="CA759" s="540"/>
      <c r="CB759" s="540"/>
      <c r="CC759" s="540"/>
      <c r="CD759" s="540"/>
      <c r="CE759" s="540"/>
      <c r="CF759" s="540"/>
      <c r="CG759" s="540"/>
      <c r="CH759" s="540"/>
      <c r="CI759" s="540"/>
      <c r="CJ759" s="540"/>
      <c r="CK759" s="540"/>
      <c r="CL759" s="540"/>
      <c r="CM759" s="540"/>
      <c r="CN759" s="540"/>
      <c r="CO759" s="540"/>
      <c r="CP759" s="540"/>
      <c r="CQ759" s="540"/>
      <c r="CR759" s="540"/>
      <c r="CS759" s="540"/>
      <c r="CT759" s="540"/>
      <c r="CU759" s="540"/>
      <c r="CV759" s="540"/>
      <c r="CW759" s="540"/>
      <c r="CX759" s="540"/>
      <c r="CY759" s="540"/>
      <c r="CZ759" s="540"/>
      <c r="DA759" s="540"/>
      <c r="DB759" s="540"/>
      <c r="DC759" s="540"/>
      <c r="DD759" s="540"/>
      <c r="DE759" s="540"/>
    </row>
    <row r="760" spans="1:109" s="116" customFormat="1" x14ac:dyDescent="0.2">
      <c r="A760" s="435"/>
      <c r="B760" s="435"/>
      <c r="C760" s="435"/>
      <c r="D760" s="435"/>
      <c r="AB760" s="540"/>
      <c r="AU760" s="540"/>
      <c r="AV760" s="540"/>
      <c r="AW760" s="540"/>
      <c r="AX760" s="540"/>
      <c r="AY760" s="540"/>
      <c r="AZ760" s="540"/>
      <c r="BA760" s="540"/>
      <c r="BB760" s="540"/>
      <c r="BC760" s="540"/>
      <c r="BD760" s="540"/>
      <c r="BE760" s="540"/>
      <c r="BF760" s="540"/>
      <c r="BG760" s="540"/>
      <c r="BH760" s="540"/>
      <c r="BI760" s="540"/>
      <c r="BJ760" s="540"/>
      <c r="BK760" s="540"/>
      <c r="BL760" s="540"/>
      <c r="BM760" s="540"/>
      <c r="BN760" s="540"/>
      <c r="BO760" s="540"/>
      <c r="BP760" s="540"/>
      <c r="BQ760" s="540"/>
      <c r="BR760" s="540"/>
      <c r="BS760" s="540"/>
      <c r="BT760" s="540"/>
      <c r="BU760" s="540"/>
      <c r="BV760" s="540"/>
      <c r="BW760" s="540"/>
      <c r="BX760" s="540"/>
      <c r="BY760" s="540"/>
      <c r="BZ760" s="540"/>
      <c r="CA760" s="540"/>
      <c r="CB760" s="540"/>
      <c r="CC760" s="540"/>
      <c r="CD760" s="540"/>
      <c r="CE760" s="540"/>
      <c r="CF760" s="540"/>
      <c r="CG760" s="540"/>
      <c r="CH760" s="540"/>
      <c r="CI760" s="540"/>
      <c r="CJ760" s="540"/>
      <c r="CK760" s="540"/>
      <c r="CL760" s="540"/>
      <c r="CM760" s="540"/>
      <c r="CN760" s="540"/>
      <c r="CO760" s="540"/>
      <c r="CP760" s="540"/>
      <c r="CQ760" s="540"/>
      <c r="CR760" s="540"/>
      <c r="CS760" s="540"/>
      <c r="CT760" s="540"/>
      <c r="CU760" s="540"/>
      <c r="CV760" s="540"/>
      <c r="CW760" s="540"/>
      <c r="CX760" s="540"/>
      <c r="CY760" s="540"/>
      <c r="CZ760" s="540"/>
      <c r="DA760" s="540"/>
      <c r="DB760" s="540"/>
      <c r="DC760" s="540"/>
      <c r="DD760" s="540"/>
      <c r="DE760" s="540"/>
    </row>
    <row r="761" spans="1:109" s="116" customFormat="1" x14ac:dyDescent="0.2">
      <c r="A761" s="435"/>
      <c r="B761" s="435"/>
      <c r="C761" s="435"/>
      <c r="D761" s="435"/>
      <c r="AB761" s="540"/>
      <c r="AU761" s="540"/>
      <c r="AV761" s="540"/>
      <c r="AW761" s="540"/>
      <c r="AX761" s="540"/>
      <c r="AY761" s="540"/>
      <c r="AZ761" s="540"/>
      <c r="BA761" s="540"/>
      <c r="BB761" s="540"/>
      <c r="BC761" s="540"/>
      <c r="BD761" s="540"/>
      <c r="BE761" s="540"/>
      <c r="BF761" s="540"/>
      <c r="BG761" s="540"/>
      <c r="BH761" s="540"/>
      <c r="BI761" s="540"/>
      <c r="BJ761" s="540"/>
      <c r="BK761" s="540"/>
      <c r="BL761" s="540"/>
      <c r="BM761" s="540"/>
      <c r="BN761" s="540"/>
      <c r="BO761" s="540"/>
      <c r="BP761" s="540"/>
      <c r="BQ761" s="540"/>
      <c r="BR761" s="540"/>
      <c r="BS761" s="540"/>
      <c r="BT761" s="540"/>
      <c r="BU761" s="540"/>
      <c r="BV761" s="540"/>
      <c r="BW761" s="540"/>
      <c r="BX761" s="540"/>
      <c r="BY761" s="540"/>
      <c r="BZ761" s="540"/>
      <c r="CA761" s="540"/>
      <c r="CB761" s="540"/>
      <c r="CC761" s="540"/>
      <c r="CD761" s="540"/>
      <c r="CE761" s="540"/>
      <c r="CF761" s="540"/>
      <c r="CG761" s="540"/>
      <c r="CH761" s="540"/>
      <c r="CI761" s="540"/>
      <c r="CJ761" s="540"/>
      <c r="CK761" s="540"/>
      <c r="CL761" s="540"/>
      <c r="CM761" s="540"/>
      <c r="CN761" s="540"/>
      <c r="CO761" s="540"/>
      <c r="CP761" s="540"/>
      <c r="CQ761" s="540"/>
      <c r="CR761" s="540"/>
      <c r="CS761" s="540"/>
      <c r="CT761" s="540"/>
      <c r="CU761" s="540"/>
      <c r="CV761" s="540"/>
      <c r="CW761" s="540"/>
      <c r="CX761" s="540"/>
      <c r="CY761" s="540"/>
      <c r="CZ761" s="540"/>
      <c r="DA761" s="540"/>
      <c r="DB761" s="540"/>
      <c r="DC761" s="540"/>
      <c r="DD761" s="540"/>
      <c r="DE761" s="540"/>
    </row>
    <row r="762" spans="1:109" s="116" customFormat="1" x14ac:dyDescent="0.2">
      <c r="A762" s="435"/>
      <c r="B762" s="435"/>
      <c r="C762" s="435"/>
      <c r="D762" s="435"/>
      <c r="AB762" s="540"/>
      <c r="AU762" s="540"/>
      <c r="AV762" s="540"/>
      <c r="AW762" s="540"/>
      <c r="AX762" s="540"/>
      <c r="AY762" s="540"/>
      <c r="AZ762" s="540"/>
      <c r="BA762" s="540"/>
      <c r="BB762" s="540"/>
      <c r="BC762" s="540"/>
      <c r="BD762" s="540"/>
      <c r="BE762" s="540"/>
      <c r="BF762" s="540"/>
      <c r="BG762" s="540"/>
      <c r="BH762" s="540"/>
      <c r="BI762" s="540"/>
      <c r="BJ762" s="540"/>
      <c r="BK762" s="540"/>
      <c r="BL762" s="540"/>
      <c r="BM762" s="540"/>
      <c r="BN762" s="540"/>
      <c r="BO762" s="540"/>
      <c r="BP762" s="540"/>
      <c r="BQ762" s="540"/>
      <c r="BR762" s="540"/>
      <c r="BS762" s="540"/>
      <c r="BT762" s="540"/>
      <c r="BU762" s="540"/>
      <c r="BV762" s="540"/>
      <c r="BW762" s="540"/>
      <c r="BX762" s="540"/>
      <c r="BY762" s="540"/>
      <c r="BZ762" s="540"/>
      <c r="CA762" s="540"/>
      <c r="CB762" s="540"/>
      <c r="CC762" s="540"/>
      <c r="CD762" s="540"/>
      <c r="CE762" s="540"/>
      <c r="CF762" s="540"/>
      <c r="CG762" s="540"/>
      <c r="CH762" s="540"/>
      <c r="CI762" s="540"/>
      <c r="CJ762" s="540"/>
      <c r="CK762" s="540"/>
      <c r="CL762" s="540"/>
      <c r="CM762" s="540"/>
      <c r="CN762" s="540"/>
      <c r="CO762" s="540"/>
      <c r="CP762" s="540"/>
      <c r="CQ762" s="540"/>
      <c r="CR762" s="540"/>
      <c r="CS762" s="540"/>
      <c r="CT762" s="540"/>
      <c r="CU762" s="540"/>
      <c r="CV762" s="540"/>
      <c r="CW762" s="540"/>
      <c r="CX762" s="540"/>
      <c r="CY762" s="540"/>
      <c r="CZ762" s="540"/>
      <c r="DA762" s="540"/>
      <c r="DB762" s="540"/>
      <c r="DC762" s="540"/>
      <c r="DD762" s="540"/>
      <c r="DE762" s="540"/>
    </row>
    <row r="763" spans="1:109" s="116" customFormat="1" x14ac:dyDescent="0.2">
      <c r="A763" s="435"/>
      <c r="B763" s="435"/>
      <c r="C763" s="435"/>
      <c r="D763" s="435"/>
      <c r="AB763" s="540"/>
      <c r="AU763" s="540"/>
      <c r="AV763" s="540"/>
      <c r="AW763" s="540"/>
      <c r="AX763" s="540"/>
      <c r="AY763" s="540"/>
      <c r="AZ763" s="540"/>
      <c r="BA763" s="540"/>
      <c r="BB763" s="540"/>
      <c r="BC763" s="540"/>
      <c r="BD763" s="540"/>
      <c r="BE763" s="540"/>
      <c r="BF763" s="540"/>
      <c r="BG763" s="540"/>
      <c r="BH763" s="540"/>
      <c r="BI763" s="540"/>
      <c r="BJ763" s="540"/>
      <c r="BK763" s="540"/>
      <c r="BL763" s="540"/>
      <c r="BM763" s="540"/>
      <c r="BN763" s="540"/>
      <c r="BO763" s="540"/>
      <c r="BP763" s="540"/>
      <c r="BQ763" s="540"/>
      <c r="BR763" s="540"/>
      <c r="BS763" s="540"/>
      <c r="BT763" s="540"/>
      <c r="BU763" s="540"/>
      <c r="BV763" s="540"/>
      <c r="BW763" s="540"/>
      <c r="BX763" s="540"/>
      <c r="BY763" s="540"/>
      <c r="BZ763" s="540"/>
      <c r="CA763" s="540"/>
      <c r="CB763" s="540"/>
      <c r="CC763" s="540"/>
      <c r="CD763" s="540"/>
      <c r="CE763" s="540"/>
      <c r="CF763" s="540"/>
      <c r="CG763" s="540"/>
      <c r="CH763" s="540"/>
      <c r="CI763" s="540"/>
      <c r="CJ763" s="540"/>
      <c r="CK763" s="540"/>
      <c r="CL763" s="540"/>
      <c r="CM763" s="540"/>
      <c r="CN763" s="540"/>
      <c r="CO763" s="540"/>
      <c r="CP763" s="540"/>
      <c r="CQ763" s="540"/>
      <c r="CR763" s="540"/>
      <c r="CS763" s="540"/>
      <c r="CT763" s="540"/>
      <c r="CU763" s="540"/>
      <c r="CV763" s="540"/>
      <c r="CW763" s="540"/>
      <c r="CX763" s="540"/>
      <c r="CY763" s="540"/>
      <c r="CZ763" s="540"/>
      <c r="DA763" s="540"/>
      <c r="DB763" s="540"/>
      <c r="DC763" s="540"/>
      <c r="DD763" s="540"/>
      <c r="DE763" s="540"/>
    </row>
    <row r="764" spans="1:109" s="116" customFormat="1" x14ac:dyDescent="0.2">
      <c r="A764" s="435"/>
      <c r="B764" s="435"/>
      <c r="C764" s="435"/>
      <c r="D764" s="435"/>
      <c r="AB764" s="540"/>
      <c r="AU764" s="540"/>
      <c r="AV764" s="540"/>
      <c r="AW764" s="540"/>
      <c r="AX764" s="540"/>
      <c r="AY764" s="540"/>
      <c r="AZ764" s="540"/>
      <c r="BA764" s="540"/>
      <c r="BB764" s="540"/>
      <c r="BC764" s="540"/>
      <c r="BD764" s="540"/>
      <c r="BE764" s="540"/>
      <c r="BF764" s="540"/>
      <c r="BG764" s="540"/>
      <c r="BH764" s="540"/>
      <c r="BI764" s="540"/>
      <c r="BJ764" s="540"/>
      <c r="BK764" s="540"/>
      <c r="BL764" s="540"/>
      <c r="BM764" s="540"/>
      <c r="BN764" s="540"/>
      <c r="BO764" s="540"/>
      <c r="BP764" s="540"/>
      <c r="BQ764" s="540"/>
      <c r="BR764" s="540"/>
      <c r="BS764" s="540"/>
      <c r="BT764" s="540"/>
      <c r="BU764" s="540"/>
      <c r="BV764" s="540"/>
      <c r="BW764" s="540"/>
      <c r="BX764" s="540"/>
      <c r="BY764" s="540"/>
      <c r="BZ764" s="540"/>
      <c r="CA764" s="540"/>
      <c r="CB764" s="540"/>
      <c r="CC764" s="540"/>
      <c r="CD764" s="540"/>
      <c r="CE764" s="540"/>
      <c r="CF764" s="540"/>
      <c r="CG764" s="540"/>
      <c r="CH764" s="540"/>
      <c r="CI764" s="540"/>
      <c r="CJ764" s="540"/>
      <c r="CK764" s="540"/>
      <c r="CL764" s="540"/>
      <c r="CM764" s="540"/>
      <c r="CN764" s="540"/>
      <c r="CO764" s="540"/>
      <c r="CP764" s="540"/>
      <c r="CQ764" s="540"/>
      <c r="CR764" s="540"/>
      <c r="CS764" s="540"/>
      <c r="CT764" s="540"/>
      <c r="CU764" s="540"/>
      <c r="CV764" s="540"/>
      <c r="CW764" s="540"/>
      <c r="CX764" s="540"/>
      <c r="CY764" s="540"/>
      <c r="CZ764" s="540"/>
      <c r="DA764" s="540"/>
      <c r="DB764" s="540"/>
      <c r="DC764" s="540"/>
      <c r="DD764" s="540"/>
      <c r="DE764" s="540"/>
    </row>
    <row r="765" spans="1:109" s="116" customFormat="1" x14ac:dyDescent="0.2">
      <c r="A765" s="435"/>
      <c r="B765" s="435"/>
      <c r="C765" s="435"/>
      <c r="D765" s="435"/>
      <c r="AB765" s="540"/>
      <c r="AU765" s="540"/>
      <c r="AV765" s="540"/>
      <c r="AW765" s="540"/>
      <c r="AX765" s="540"/>
      <c r="AY765" s="540"/>
      <c r="AZ765" s="540"/>
      <c r="BA765" s="540"/>
      <c r="BB765" s="540"/>
      <c r="BC765" s="540"/>
      <c r="BD765" s="540"/>
      <c r="BE765" s="540"/>
      <c r="BF765" s="540"/>
      <c r="BG765" s="540"/>
      <c r="BH765" s="540"/>
      <c r="BI765" s="540"/>
      <c r="BJ765" s="540"/>
      <c r="BK765" s="540"/>
      <c r="BL765" s="540"/>
      <c r="BM765" s="540"/>
      <c r="BN765" s="540"/>
      <c r="BO765" s="540"/>
      <c r="BP765" s="540"/>
      <c r="BQ765" s="540"/>
      <c r="BR765" s="540"/>
      <c r="BS765" s="540"/>
      <c r="BT765" s="540"/>
      <c r="BU765" s="540"/>
      <c r="BV765" s="540"/>
      <c r="BW765" s="540"/>
      <c r="BX765" s="540"/>
      <c r="BY765" s="540"/>
      <c r="BZ765" s="540"/>
      <c r="CA765" s="540"/>
      <c r="CB765" s="540"/>
      <c r="CC765" s="540"/>
      <c r="CD765" s="540"/>
      <c r="CE765" s="540"/>
      <c r="CF765" s="540"/>
      <c r="CG765" s="540"/>
      <c r="CH765" s="540"/>
      <c r="CI765" s="540"/>
      <c r="CJ765" s="540"/>
      <c r="CK765" s="540"/>
      <c r="CL765" s="540"/>
      <c r="CM765" s="540"/>
      <c r="CN765" s="540"/>
      <c r="CO765" s="540"/>
      <c r="CP765" s="540"/>
      <c r="CQ765" s="540"/>
      <c r="CR765" s="540"/>
      <c r="CS765" s="540"/>
      <c r="CT765" s="540"/>
      <c r="CU765" s="540"/>
      <c r="CV765" s="540"/>
      <c r="CW765" s="540"/>
      <c r="CX765" s="540"/>
      <c r="CY765" s="540"/>
      <c r="CZ765" s="540"/>
      <c r="DA765" s="540"/>
      <c r="DB765" s="540"/>
      <c r="DC765" s="540"/>
      <c r="DD765" s="540"/>
      <c r="DE765" s="540"/>
    </row>
    <row r="766" spans="1:109" s="116" customFormat="1" x14ac:dyDescent="0.2">
      <c r="A766" s="435"/>
      <c r="B766" s="435"/>
      <c r="C766" s="435"/>
      <c r="D766" s="435"/>
      <c r="AB766" s="540"/>
      <c r="AU766" s="540"/>
      <c r="AV766" s="540"/>
      <c r="AW766" s="540"/>
      <c r="AX766" s="540"/>
      <c r="AY766" s="540"/>
      <c r="AZ766" s="540"/>
      <c r="BA766" s="540"/>
      <c r="BB766" s="540"/>
      <c r="BC766" s="540"/>
      <c r="BD766" s="540"/>
      <c r="BE766" s="540"/>
      <c r="BF766" s="540"/>
      <c r="BG766" s="540"/>
      <c r="BH766" s="540"/>
      <c r="BI766" s="540"/>
      <c r="BJ766" s="540"/>
      <c r="BK766" s="540"/>
      <c r="BL766" s="540"/>
      <c r="BM766" s="540"/>
      <c r="BN766" s="540"/>
      <c r="BO766" s="540"/>
      <c r="BP766" s="540"/>
      <c r="BQ766" s="540"/>
      <c r="BR766" s="540"/>
      <c r="BS766" s="540"/>
      <c r="BT766" s="540"/>
      <c r="BU766" s="540"/>
      <c r="BV766" s="540"/>
      <c r="BW766" s="540"/>
      <c r="BX766" s="540"/>
      <c r="BY766" s="540"/>
      <c r="BZ766" s="540"/>
      <c r="CA766" s="540"/>
      <c r="CB766" s="540"/>
      <c r="CC766" s="540"/>
      <c r="CD766" s="540"/>
      <c r="CE766" s="540"/>
      <c r="CF766" s="540"/>
      <c r="CG766" s="540"/>
      <c r="CH766" s="540"/>
      <c r="CI766" s="540"/>
      <c r="CJ766" s="540"/>
      <c r="CK766" s="540"/>
      <c r="CL766" s="540"/>
      <c r="CM766" s="540"/>
      <c r="CN766" s="540"/>
      <c r="CO766" s="540"/>
      <c r="CP766" s="540"/>
      <c r="CQ766" s="540"/>
      <c r="CR766" s="540"/>
      <c r="CS766" s="540"/>
      <c r="CT766" s="540"/>
      <c r="CU766" s="540"/>
      <c r="CV766" s="540"/>
      <c r="CW766" s="540"/>
      <c r="CX766" s="540"/>
      <c r="CY766" s="540"/>
      <c r="CZ766" s="540"/>
      <c r="DA766" s="540"/>
      <c r="DB766" s="540"/>
      <c r="DC766" s="540"/>
      <c r="DD766" s="540"/>
      <c r="DE766" s="540"/>
    </row>
    <row r="767" spans="1:109" s="116" customFormat="1" x14ac:dyDescent="0.2">
      <c r="A767" s="435"/>
      <c r="B767" s="435"/>
      <c r="C767" s="435"/>
      <c r="D767" s="435"/>
      <c r="AB767" s="540"/>
      <c r="AU767" s="540"/>
      <c r="AV767" s="540"/>
      <c r="AW767" s="540"/>
      <c r="AX767" s="540"/>
      <c r="AY767" s="540"/>
      <c r="AZ767" s="540"/>
      <c r="BA767" s="540"/>
      <c r="BB767" s="540"/>
      <c r="BC767" s="540"/>
      <c r="BD767" s="540"/>
      <c r="BE767" s="540"/>
      <c r="BF767" s="540"/>
      <c r="BG767" s="540"/>
      <c r="BH767" s="540"/>
      <c r="BI767" s="540"/>
      <c r="BJ767" s="540"/>
      <c r="BK767" s="540"/>
      <c r="BL767" s="540"/>
      <c r="BM767" s="540"/>
      <c r="BN767" s="540"/>
      <c r="BO767" s="540"/>
      <c r="BP767" s="540"/>
      <c r="BQ767" s="540"/>
      <c r="BR767" s="540"/>
      <c r="BS767" s="540"/>
      <c r="BT767" s="540"/>
      <c r="BU767" s="540"/>
      <c r="BV767" s="540"/>
      <c r="BW767" s="540"/>
      <c r="BX767" s="540"/>
      <c r="BY767" s="540"/>
      <c r="BZ767" s="540"/>
      <c r="CA767" s="540"/>
      <c r="CB767" s="540"/>
      <c r="CC767" s="540"/>
      <c r="CD767" s="540"/>
      <c r="CE767" s="540"/>
      <c r="CF767" s="540"/>
      <c r="CG767" s="540"/>
      <c r="CH767" s="540"/>
      <c r="CI767" s="540"/>
      <c r="CJ767" s="540"/>
      <c r="CK767" s="540"/>
      <c r="CL767" s="540"/>
      <c r="CM767" s="540"/>
      <c r="CN767" s="540"/>
      <c r="CO767" s="540"/>
      <c r="CP767" s="540"/>
      <c r="CQ767" s="540"/>
      <c r="CR767" s="540"/>
      <c r="CS767" s="540"/>
      <c r="CT767" s="540"/>
      <c r="CU767" s="540"/>
      <c r="CV767" s="540"/>
      <c r="CW767" s="540"/>
      <c r="CX767" s="540"/>
      <c r="CY767" s="540"/>
      <c r="CZ767" s="540"/>
      <c r="DA767" s="540"/>
      <c r="DB767" s="540"/>
      <c r="DC767" s="540"/>
      <c r="DD767" s="540"/>
      <c r="DE767" s="540"/>
    </row>
    <row r="768" spans="1:109" s="116" customFormat="1" x14ac:dyDescent="0.2">
      <c r="A768" s="435"/>
      <c r="B768" s="435"/>
      <c r="C768" s="435"/>
      <c r="D768" s="435"/>
      <c r="AB768" s="540"/>
      <c r="AU768" s="540"/>
      <c r="AV768" s="540"/>
      <c r="AW768" s="540"/>
      <c r="AX768" s="540"/>
      <c r="AY768" s="540"/>
      <c r="AZ768" s="540"/>
      <c r="BA768" s="540"/>
      <c r="BB768" s="540"/>
      <c r="BC768" s="540"/>
      <c r="BD768" s="540"/>
      <c r="BE768" s="540"/>
      <c r="BF768" s="540"/>
      <c r="BG768" s="540"/>
      <c r="BH768" s="540"/>
      <c r="BI768" s="540"/>
      <c r="BJ768" s="540"/>
      <c r="BK768" s="540"/>
      <c r="BL768" s="540"/>
      <c r="BM768" s="540"/>
      <c r="BN768" s="540"/>
      <c r="BO768" s="540"/>
      <c r="BP768" s="540"/>
      <c r="BQ768" s="540"/>
      <c r="BR768" s="540"/>
      <c r="BS768" s="540"/>
      <c r="BT768" s="540"/>
      <c r="BU768" s="540"/>
      <c r="BV768" s="540"/>
      <c r="BW768" s="540"/>
      <c r="BX768" s="540"/>
      <c r="BY768" s="540"/>
      <c r="BZ768" s="540"/>
      <c r="CA768" s="540"/>
      <c r="CB768" s="540"/>
      <c r="CC768" s="540"/>
      <c r="CD768" s="540"/>
      <c r="CE768" s="540"/>
      <c r="CF768" s="540"/>
      <c r="CG768" s="540"/>
      <c r="CH768" s="540"/>
      <c r="CI768" s="540"/>
      <c r="CJ768" s="540"/>
      <c r="CK768" s="540"/>
      <c r="CL768" s="540"/>
      <c r="CM768" s="540"/>
      <c r="CN768" s="540"/>
      <c r="CO768" s="540"/>
      <c r="CP768" s="540"/>
      <c r="CQ768" s="540"/>
      <c r="CR768" s="540"/>
      <c r="CS768" s="540"/>
      <c r="CT768" s="540"/>
      <c r="CU768" s="540"/>
      <c r="CV768" s="540"/>
      <c r="CW768" s="540"/>
      <c r="CX768" s="540"/>
      <c r="CY768" s="540"/>
      <c r="CZ768" s="540"/>
      <c r="DA768" s="540"/>
      <c r="DB768" s="540"/>
      <c r="DC768" s="540"/>
      <c r="DD768" s="540"/>
      <c r="DE768" s="540"/>
    </row>
    <row r="769" spans="1:109" s="116" customFormat="1" x14ac:dyDescent="0.2">
      <c r="A769" s="435"/>
      <c r="B769" s="435"/>
      <c r="C769" s="435"/>
      <c r="D769" s="435"/>
      <c r="AB769" s="540"/>
      <c r="AU769" s="540"/>
      <c r="AV769" s="540"/>
      <c r="AW769" s="540"/>
      <c r="AX769" s="540"/>
      <c r="AY769" s="540"/>
      <c r="AZ769" s="540"/>
      <c r="BA769" s="540"/>
      <c r="BB769" s="540"/>
      <c r="BC769" s="540"/>
      <c r="BD769" s="540"/>
      <c r="BE769" s="540"/>
      <c r="BF769" s="540"/>
      <c r="BG769" s="540"/>
      <c r="BH769" s="540"/>
      <c r="BI769" s="540"/>
      <c r="BJ769" s="540"/>
      <c r="BK769" s="540"/>
      <c r="BL769" s="540"/>
      <c r="BM769" s="540"/>
      <c r="BN769" s="540"/>
      <c r="BO769" s="540"/>
      <c r="BP769" s="540"/>
      <c r="BQ769" s="540"/>
      <c r="BR769" s="540"/>
      <c r="BS769" s="540"/>
      <c r="BT769" s="540"/>
      <c r="BU769" s="540"/>
      <c r="BV769" s="540"/>
      <c r="BW769" s="540"/>
      <c r="BX769" s="540"/>
      <c r="BY769" s="540"/>
      <c r="BZ769" s="540"/>
      <c r="CA769" s="540"/>
      <c r="CB769" s="540"/>
      <c r="CC769" s="540"/>
      <c r="CD769" s="540"/>
      <c r="CE769" s="540"/>
      <c r="CF769" s="540"/>
      <c r="CG769" s="540"/>
      <c r="CH769" s="540"/>
      <c r="CI769" s="540"/>
      <c r="CJ769" s="540"/>
      <c r="CK769" s="540"/>
      <c r="CL769" s="540"/>
      <c r="CM769" s="540"/>
      <c r="CN769" s="540"/>
      <c r="CO769" s="540"/>
      <c r="CP769" s="540"/>
      <c r="CQ769" s="540"/>
      <c r="CR769" s="540"/>
      <c r="CS769" s="540"/>
      <c r="CT769" s="540"/>
      <c r="CU769" s="540"/>
      <c r="CV769" s="540"/>
      <c r="CW769" s="540"/>
      <c r="CX769" s="540"/>
      <c r="CY769" s="540"/>
      <c r="CZ769" s="540"/>
      <c r="DA769" s="540"/>
      <c r="DB769" s="540"/>
      <c r="DC769" s="540"/>
      <c r="DD769" s="540"/>
      <c r="DE769" s="540"/>
    </row>
    <row r="770" spans="1:109" s="116" customFormat="1" x14ac:dyDescent="0.2">
      <c r="A770" s="435"/>
      <c r="B770" s="435"/>
      <c r="C770" s="435"/>
      <c r="D770" s="435"/>
      <c r="AB770" s="540"/>
      <c r="AU770" s="540"/>
      <c r="AV770" s="540"/>
      <c r="AW770" s="540"/>
      <c r="AX770" s="540"/>
      <c r="AY770" s="540"/>
      <c r="AZ770" s="540"/>
      <c r="BA770" s="540"/>
      <c r="BB770" s="540"/>
      <c r="BC770" s="540"/>
      <c r="BD770" s="540"/>
      <c r="BE770" s="540"/>
      <c r="BF770" s="540"/>
      <c r="BG770" s="540"/>
      <c r="BH770" s="540"/>
      <c r="BI770" s="540"/>
      <c r="BJ770" s="540"/>
      <c r="BK770" s="540"/>
      <c r="BL770" s="540"/>
      <c r="BM770" s="540"/>
      <c r="BN770" s="540"/>
      <c r="BO770" s="540"/>
      <c r="BP770" s="540"/>
      <c r="BQ770" s="540"/>
      <c r="BR770" s="540"/>
      <c r="BS770" s="540"/>
      <c r="BT770" s="540"/>
      <c r="BU770" s="540"/>
      <c r="BV770" s="540"/>
      <c r="BW770" s="540"/>
      <c r="BX770" s="540"/>
      <c r="BY770" s="540"/>
      <c r="BZ770" s="540"/>
      <c r="CA770" s="540"/>
      <c r="CB770" s="540"/>
      <c r="CC770" s="540"/>
      <c r="CD770" s="540"/>
      <c r="CE770" s="540"/>
      <c r="CF770" s="540"/>
      <c r="CG770" s="540"/>
      <c r="CH770" s="540"/>
      <c r="CI770" s="540"/>
      <c r="CJ770" s="540"/>
      <c r="CK770" s="540"/>
      <c r="CL770" s="540"/>
      <c r="CM770" s="540"/>
      <c r="CN770" s="540"/>
      <c r="CO770" s="540"/>
      <c r="CP770" s="540"/>
      <c r="CQ770" s="540"/>
      <c r="CR770" s="540"/>
      <c r="CS770" s="540"/>
      <c r="CT770" s="540"/>
      <c r="CU770" s="540"/>
      <c r="CV770" s="540"/>
      <c r="CW770" s="540"/>
      <c r="CX770" s="540"/>
      <c r="CY770" s="540"/>
      <c r="CZ770" s="540"/>
      <c r="DA770" s="540"/>
      <c r="DB770" s="540"/>
      <c r="DC770" s="540"/>
      <c r="DD770" s="540"/>
      <c r="DE770" s="540"/>
    </row>
    <row r="771" spans="1:109" s="116" customFormat="1" x14ac:dyDescent="0.2">
      <c r="A771" s="435"/>
      <c r="B771" s="435"/>
      <c r="C771" s="435"/>
      <c r="D771" s="435"/>
      <c r="AB771" s="540"/>
      <c r="AU771" s="540"/>
      <c r="AV771" s="540"/>
      <c r="AW771" s="540"/>
      <c r="AX771" s="540"/>
      <c r="AY771" s="540"/>
      <c r="AZ771" s="540"/>
      <c r="BA771" s="540"/>
      <c r="BB771" s="540"/>
      <c r="BC771" s="540"/>
      <c r="BD771" s="540"/>
      <c r="BE771" s="540"/>
      <c r="BF771" s="540"/>
      <c r="BG771" s="540"/>
      <c r="BH771" s="540"/>
      <c r="BI771" s="540"/>
      <c r="BJ771" s="540"/>
      <c r="BK771" s="540"/>
      <c r="BL771" s="540"/>
      <c r="BM771" s="540"/>
      <c r="BN771" s="540"/>
      <c r="BO771" s="540"/>
      <c r="BP771" s="540"/>
      <c r="BQ771" s="540"/>
      <c r="BR771" s="540"/>
      <c r="BS771" s="540"/>
      <c r="BT771" s="540"/>
      <c r="BU771" s="540"/>
      <c r="BV771" s="540"/>
      <c r="BW771" s="540"/>
      <c r="BX771" s="540"/>
      <c r="BY771" s="540"/>
      <c r="BZ771" s="540"/>
      <c r="CA771" s="540"/>
      <c r="CB771" s="540"/>
      <c r="CC771" s="540"/>
      <c r="CD771" s="540"/>
      <c r="CE771" s="540"/>
      <c r="CF771" s="540"/>
      <c r="CG771" s="540"/>
      <c r="CH771" s="540"/>
      <c r="CI771" s="540"/>
      <c r="CJ771" s="540"/>
      <c r="CK771" s="540"/>
      <c r="CL771" s="540"/>
      <c r="CM771" s="540"/>
      <c r="CN771" s="540"/>
      <c r="CO771" s="540"/>
      <c r="CP771" s="540"/>
      <c r="CQ771" s="540"/>
      <c r="CR771" s="540"/>
      <c r="CS771" s="540"/>
      <c r="CT771" s="540"/>
      <c r="CU771" s="540"/>
      <c r="CV771" s="540"/>
      <c r="CW771" s="540"/>
      <c r="CX771" s="540"/>
      <c r="CY771" s="540"/>
      <c r="CZ771" s="540"/>
      <c r="DA771" s="540"/>
      <c r="DB771" s="540"/>
      <c r="DC771" s="540"/>
      <c r="DD771" s="540"/>
      <c r="DE771" s="540"/>
    </row>
    <row r="772" spans="1:109" s="116" customFormat="1" x14ac:dyDescent="0.2">
      <c r="A772" s="435"/>
      <c r="B772" s="435"/>
      <c r="C772" s="435"/>
      <c r="D772" s="435"/>
      <c r="AB772" s="540"/>
      <c r="AU772" s="540"/>
      <c r="AV772" s="540"/>
      <c r="AW772" s="540"/>
      <c r="AX772" s="540"/>
      <c r="AY772" s="540"/>
      <c r="AZ772" s="540"/>
      <c r="BA772" s="540"/>
      <c r="BB772" s="540"/>
      <c r="BC772" s="540"/>
      <c r="BD772" s="540"/>
      <c r="BE772" s="540"/>
      <c r="BF772" s="540"/>
      <c r="BG772" s="540"/>
      <c r="BH772" s="540"/>
      <c r="BI772" s="540"/>
      <c r="BJ772" s="540"/>
      <c r="BK772" s="540"/>
      <c r="BL772" s="540"/>
      <c r="BM772" s="540"/>
      <c r="BN772" s="540"/>
      <c r="BO772" s="540"/>
      <c r="BP772" s="540"/>
      <c r="BQ772" s="540"/>
      <c r="BR772" s="540"/>
      <c r="BS772" s="540"/>
      <c r="BT772" s="540"/>
      <c r="BU772" s="540"/>
      <c r="BV772" s="540"/>
      <c r="BW772" s="540"/>
      <c r="BX772" s="540"/>
      <c r="BY772" s="540"/>
      <c r="BZ772" s="540"/>
      <c r="CA772" s="540"/>
      <c r="CB772" s="540"/>
      <c r="CC772" s="540"/>
      <c r="CD772" s="540"/>
      <c r="CE772" s="540"/>
      <c r="CF772" s="540"/>
      <c r="CG772" s="540"/>
      <c r="CH772" s="540"/>
      <c r="CI772" s="540"/>
      <c r="CJ772" s="540"/>
      <c r="CK772" s="540"/>
      <c r="CL772" s="540"/>
      <c r="CM772" s="540"/>
      <c r="CN772" s="540"/>
      <c r="CO772" s="540"/>
      <c r="CP772" s="540"/>
      <c r="CQ772" s="540"/>
      <c r="CR772" s="540"/>
      <c r="CS772" s="540"/>
      <c r="CT772" s="540"/>
      <c r="CU772" s="540"/>
      <c r="CV772" s="540"/>
      <c r="CW772" s="540"/>
      <c r="CX772" s="540"/>
      <c r="CY772" s="540"/>
      <c r="CZ772" s="540"/>
      <c r="DA772" s="540"/>
      <c r="DB772" s="540"/>
      <c r="DC772" s="540"/>
      <c r="DD772" s="540"/>
      <c r="DE772" s="540"/>
    </row>
    <row r="773" spans="1:109" s="116" customFormat="1" x14ac:dyDescent="0.2">
      <c r="A773" s="435"/>
      <c r="B773" s="435"/>
      <c r="C773" s="435"/>
      <c r="D773" s="435"/>
      <c r="AB773" s="540"/>
      <c r="AU773" s="540"/>
      <c r="AV773" s="540"/>
      <c r="AW773" s="540"/>
      <c r="AX773" s="540"/>
      <c r="AY773" s="540"/>
      <c r="AZ773" s="540"/>
      <c r="BA773" s="540"/>
      <c r="BB773" s="540"/>
      <c r="BC773" s="540"/>
      <c r="BD773" s="540"/>
      <c r="BE773" s="540"/>
      <c r="BF773" s="540"/>
      <c r="BG773" s="540"/>
      <c r="BH773" s="540"/>
      <c r="BI773" s="540"/>
      <c r="BJ773" s="540"/>
      <c r="BK773" s="540"/>
      <c r="BL773" s="540"/>
      <c r="BM773" s="540"/>
      <c r="BN773" s="540"/>
      <c r="BO773" s="540"/>
      <c r="BP773" s="540"/>
      <c r="BQ773" s="540"/>
      <c r="BR773" s="540"/>
      <c r="BS773" s="540"/>
      <c r="BT773" s="540"/>
      <c r="BU773" s="540"/>
      <c r="BV773" s="540"/>
      <c r="BW773" s="540"/>
      <c r="BX773" s="540"/>
      <c r="BY773" s="540"/>
      <c r="BZ773" s="540"/>
      <c r="CA773" s="540"/>
      <c r="CB773" s="540"/>
      <c r="CC773" s="540"/>
      <c r="CD773" s="540"/>
      <c r="CE773" s="540"/>
      <c r="CF773" s="540"/>
      <c r="CG773" s="540"/>
      <c r="CH773" s="540"/>
      <c r="CI773" s="540"/>
      <c r="CJ773" s="540"/>
      <c r="CK773" s="540"/>
      <c r="CL773" s="540"/>
      <c r="CM773" s="540"/>
      <c r="CN773" s="540"/>
      <c r="CO773" s="540"/>
      <c r="CP773" s="540"/>
      <c r="CQ773" s="540"/>
      <c r="CR773" s="540"/>
      <c r="CS773" s="540"/>
      <c r="CT773" s="540"/>
      <c r="CU773" s="540"/>
      <c r="CV773" s="540"/>
      <c r="CW773" s="540"/>
      <c r="CX773" s="540"/>
      <c r="CY773" s="540"/>
      <c r="CZ773" s="540"/>
      <c r="DA773" s="540"/>
      <c r="DB773" s="540"/>
      <c r="DC773" s="540"/>
      <c r="DD773" s="540"/>
      <c r="DE773" s="540"/>
    </row>
    <row r="774" spans="1:109" s="116" customFormat="1" x14ac:dyDescent="0.2">
      <c r="A774" s="435"/>
      <c r="B774" s="435"/>
      <c r="C774" s="435"/>
      <c r="D774" s="435"/>
      <c r="AB774" s="540"/>
      <c r="AU774" s="540"/>
      <c r="AV774" s="540"/>
      <c r="AW774" s="540"/>
      <c r="AX774" s="540"/>
      <c r="AY774" s="540"/>
      <c r="AZ774" s="540"/>
      <c r="BA774" s="540"/>
      <c r="BB774" s="540"/>
      <c r="BC774" s="540"/>
      <c r="BD774" s="540"/>
      <c r="BE774" s="540"/>
      <c r="BF774" s="540"/>
      <c r="BG774" s="540"/>
      <c r="BH774" s="540"/>
      <c r="BI774" s="540"/>
      <c r="BJ774" s="540"/>
      <c r="BK774" s="540"/>
      <c r="BL774" s="540"/>
      <c r="BM774" s="540"/>
      <c r="BN774" s="540"/>
      <c r="BO774" s="540"/>
      <c r="BP774" s="540"/>
      <c r="BQ774" s="540"/>
      <c r="BR774" s="540"/>
      <c r="BS774" s="540"/>
      <c r="BT774" s="540"/>
      <c r="BU774" s="540"/>
      <c r="BV774" s="540"/>
      <c r="BW774" s="540"/>
      <c r="BX774" s="540"/>
      <c r="BY774" s="540"/>
      <c r="BZ774" s="540"/>
      <c r="CA774" s="540"/>
      <c r="CB774" s="540"/>
      <c r="CC774" s="540"/>
      <c r="CD774" s="540"/>
      <c r="CE774" s="540"/>
      <c r="CF774" s="540"/>
      <c r="CG774" s="540"/>
      <c r="CH774" s="540"/>
      <c r="CI774" s="540"/>
      <c r="CJ774" s="540"/>
      <c r="CK774" s="540"/>
      <c r="CL774" s="540"/>
      <c r="CM774" s="540"/>
      <c r="CN774" s="540"/>
      <c r="CO774" s="540"/>
      <c r="CP774" s="540"/>
      <c r="CQ774" s="540"/>
      <c r="CR774" s="540"/>
      <c r="CS774" s="540"/>
      <c r="CT774" s="540"/>
      <c r="CU774" s="540"/>
      <c r="CV774" s="540"/>
      <c r="CW774" s="540"/>
      <c r="CX774" s="540"/>
      <c r="CY774" s="540"/>
      <c r="CZ774" s="540"/>
      <c r="DA774" s="540"/>
      <c r="DB774" s="540"/>
      <c r="DC774" s="540"/>
      <c r="DD774" s="540"/>
      <c r="DE774" s="540"/>
    </row>
    <row r="775" spans="1:109" s="116" customFormat="1" x14ac:dyDescent="0.2">
      <c r="A775" s="435"/>
      <c r="B775" s="435"/>
      <c r="C775" s="435"/>
      <c r="D775" s="435"/>
      <c r="AB775" s="540"/>
      <c r="AU775" s="540"/>
      <c r="AV775" s="540"/>
      <c r="AW775" s="540"/>
      <c r="AX775" s="540"/>
      <c r="AY775" s="540"/>
      <c r="AZ775" s="540"/>
      <c r="BA775" s="540"/>
      <c r="BB775" s="540"/>
      <c r="BC775" s="540"/>
      <c r="BD775" s="540"/>
      <c r="BE775" s="540"/>
      <c r="BF775" s="540"/>
      <c r="BG775" s="540"/>
      <c r="BH775" s="540"/>
      <c r="BI775" s="540"/>
      <c r="BJ775" s="540"/>
      <c r="BK775" s="540"/>
      <c r="BL775" s="540"/>
      <c r="BM775" s="540"/>
      <c r="BN775" s="540"/>
      <c r="BO775" s="540"/>
      <c r="BP775" s="540"/>
      <c r="BQ775" s="540"/>
      <c r="BR775" s="540"/>
      <c r="BS775" s="540"/>
      <c r="BT775" s="540"/>
      <c r="BU775" s="540"/>
      <c r="BV775" s="540"/>
      <c r="BW775" s="540"/>
      <c r="BX775" s="540"/>
      <c r="BY775" s="540"/>
      <c r="BZ775" s="540"/>
      <c r="CA775" s="540"/>
      <c r="CB775" s="540"/>
      <c r="CC775" s="540"/>
      <c r="CD775" s="540"/>
      <c r="CE775" s="540"/>
      <c r="CF775" s="540"/>
      <c r="CG775" s="540"/>
      <c r="CH775" s="540"/>
      <c r="CI775" s="540"/>
      <c r="CJ775" s="540"/>
      <c r="CK775" s="540"/>
      <c r="CL775" s="540"/>
      <c r="CM775" s="540"/>
      <c r="CN775" s="540"/>
      <c r="CO775" s="540"/>
      <c r="CP775" s="540"/>
      <c r="CQ775" s="540"/>
      <c r="CR775" s="540"/>
      <c r="CS775" s="540"/>
      <c r="CT775" s="540"/>
      <c r="CU775" s="540"/>
      <c r="CV775" s="540"/>
      <c r="CW775" s="540"/>
      <c r="CX775" s="540"/>
      <c r="CY775" s="540"/>
      <c r="CZ775" s="540"/>
      <c r="DA775" s="540"/>
      <c r="DB775" s="540"/>
      <c r="DC775" s="540"/>
      <c r="DD775" s="540"/>
      <c r="DE775" s="540"/>
    </row>
    <row r="776" spans="1:109" s="116" customFormat="1" x14ac:dyDescent="0.2">
      <c r="A776" s="435"/>
      <c r="B776" s="435"/>
      <c r="C776" s="435"/>
      <c r="D776" s="435"/>
      <c r="AB776" s="540"/>
      <c r="AU776" s="540"/>
      <c r="AV776" s="540"/>
      <c r="AW776" s="540"/>
      <c r="AX776" s="540"/>
      <c r="AY776" s="540"/>
      <c r="AZ776" s="540"/>
      <c r="BA776" s="540"/>
      <c r="BB776" s="540"/>
      <c r="BC776" s="540"/>
      <c r="BD776" s="540"/>
      <c r="BE776" s="540"/>
      <c r="BF776" s="540"/>
      <c r="BG776" s="540"/>
      <c r="BH776" s="540"/>
      <c r="BI776" s="540"/>
      <c r="BJ776" s="540"/>
      <c r="BK776" s="540"/>
      <c r="BL776" s="540"/>
      <c r="BM776" s="540"/>
      <c r="BN776" s="540"/>
      <c r="BO776" s="540"/>
      <c r="BP776" s="540"/>
      <c r="BQ776" s="540"/>
      <c r="BR776" s="540"/>
      <c r="BS776" s="540"/>
      <c r="BT776" s="540"/>
      <c r="BU776" s="540"/>
      <c r="BV776" s="540"/>
      <c r="BW776" s="540"/>
      <c r="BX776" s="540"/>
      <c r="BY776" s="540"/>
      <c r="BZ776" s="540"/>
      <c r="CA776" s="540"/>
      <c r="CB776" s="540"/>
      <c r="CC776" s="540"/>
      <c r="CD776" s="540"/>
      <c r="CE776" s="540"/>
      <c r="CF776" s="540"/>
      <c r="CG776" s="540"/>
      <c r="CH776" s="540"/>
      <c r="CI776" s="540"/>
      <c r="CJ776" s="540"/>
      <c r="CK776" s="540"/>
      <c r="CL776" s="540"/>
      <c r="CM776" s="540"/>
      <c r="CN776" s="540"/>
      <c r="CO776" s="540"/>
      <c r="CP776" s="540"/>
      <c r="CQ776" s="540"/>
      <c r="CR776" s="540"/>
      <c r="CS776" s="540"/>
      <c r="CT776" s="540"/>
      <c r="CU776" s="540"/>
      <c r="CV776" s="540"/>
      <c r="CW776" s="540"/>
      <c r="CX776" s="540"/>
      <c r="CY776" s="540"/>
      <c r="CZ776" s="540"/>
      <c r="DA776" s="540"/>
      <c r="DB776" s="540"/>
      <c r="DC776" s="540"/>
      <c r="DD776" s="540"/>
      <c r="DE776" s="540"/>
    </row>
    <row r="777" spans="1:109" s="116" customFormat="1" x14ac:dyDescent="0.2">
      <c r="A777" s="435"/>
      <c r="B777" s="435"/>
      <c r="C777" s="435"/>
      <c r="D777" s="435"/>
      <c r="AB777" s="540"/>
      <c r="AU777" s="540"/>
      <c r="AV777" s="540"/>
      <c r="AW777" s="540"/>
      <c r="AX777" s="540"/>
      <c r="AY777" s="540"/>
      <c r="AZ777" s="540"/>
      <c r="BA777" s="540"/>
      <c r="BB777" s="540"/>
      <c r="BC777" s="540"/>
      <c r="BD777" s="540"/>
      <c r="BE777" s="540"/>
      <c r="BF777" s="540"/>
      <c r="BG777" s="540"/>
      <c r="BH777" s="540"/>
      <c r="BI777" s="540"/>
      <c r="BJ777" s="540"/>
      <c r="BK777" s="540"/>
      <c r="BL777" s="540"/>
      <c r="BM777" s="540"/>
      <c r="BN777" s="540"/>
      <c r="BO777" s="540"/>
      <c r="BP777" s="540"/>
      <c r="BQ777" s="540"/>
      <c r="BR777" s="540"/>
      <c r="BS777" s="540"/>
      <c r="BT777" s="540"/>
      <c r="BU777" s="540"/>
      <c r="BV777" s="540"/>
      <c r="BW777" s="540"/>
      <c r="BX777" s="540"/>
      <c r="BY777" s="540"/>
      <c r="BZ777" s="540"/>
      <c r="CA777" s="540"/>
      <c r="CB777" s="540"/>
      <c r="CC777" s="540"/>
      <c r="CD777" s="540"/>
      <c r="CE777" s="540"/>
      <c r="CF777" s="540"/>
      <c r="CG777" s="540"/>
      <c r="CH777" s="540"/>
      <c r="CI777" s="540"/>
      <c r="CJ777" s="540"/>
      <c r="CK777" s="540"/>
      <c r="CL777" s="540"/>
      <c r="CM777" s="540"/>
      <c r="CN777" s="540"/>
      <c r="CO777" s="540"/>
      <c r="CP777" s="540"/>
      <c r="CQ777" s="540"/>
      <c r="CR777" s="540"/>
      <c r="CS777" s="540"/>
      <c r="CT777" s="540"/>
      <c r="CU777" s="540"/>
      <c r="CV777" s="540"/>
      <c r="CW777" s="540"/>
      <c r="CX777" s="540"/>
      <c r="CY777" s="540"/>
      <c r="CZ777" s="540"/>
      <c r="DA777" s="540"/>
      <c r="DB777" s="540"/>
      <c r="DC777" s="540"/>
      <c r="DD777" s="540"/>
      <c r="DE777" s="540"/>
    </row>
    <row r="778" spans="1:109" s="116" customFormat="1" x14ac:dyDescent="0.2">
      <c r="A778" s="435"/>
      <c r="B778" s="435"/>
      <c r="C778" s="435"/>
      <c r="D778" s="435"/>
      <c r="AB778" s="540"/>
      <c r="AU778" s="540"/>
      <c r="AV778" s="540"/>
      <c r="AW778" s="540"/>
      <c r="AX778" s="540"/>
      <c r="AY778" s="540"/>
      <c r="AZ778" s="540"/>
      <c r="BA778" s="540"/>
      <c r="BB778" s="540"/>
      <c r="BC778" s="540"/>
      <c r="BD778" s="540"/>
      <c r="BE778" s="540"/>
      <c r="BF778" s="540"/>
      <c r="BG778" s="540"/>
      <c r="BH778" s="540"/>
      <c r="BI778" s="540"/>
      <c r="BJ778" s="540"/>
      <c r="BK778" s="540"/>
      <c r="BL778" s="540"/>
      <c r="BM778" s="540"/>
      <c r="BN778" s="540"/>
      <c r="BO778" s="540"/>
      <c r="BP778" s="540"/>
      <c r="BQ778" s="540"/>
      <c r="BR778" s="540"/>
      <c r="BS778" s="540"/>
      <c r="BT778" s="540"/>
      <c r="BU778" s="540"/>
      <c r="BV778" s="540"/>
      <c r="BW778" s="540"/>
      <c r="BX778" s="540"/>
      <c r="BY778" s="540"/>
      <c r="BZ778" s="540"/>
      <c r="CA778" s="540"/>
      <c r="CB778" s="540"/>
      <c r="CC778" s="540"/>
      <c r="CD778" s="540"/>
      <c r="CE778" s="540"/>
      <c r="CF778" s="540"/>
      <c r="CG778" s="540"/>
      <c r="CH778" s="540"/>
      <c r="CI778" s="540"/>
      <c r="CJ778" s="540"/>
      <c r="CK778" s="540"/>
      <c r="CL778" s="540"/>
      <c r="CM778" s="540"/>
      <c r="CN778" s="540"/>
      <c r="CO778" s="540"/>
      <c r="CP778" s="540"/>
      <c r="CQ778" s="540"/>
      <c r="CR778" s="540"/>
      <c r="CS778" s="540"/>
      <c r="CT778" s="540"/>
      <c r="CU778" s="540"/>
      <c r="CV778" s="540"/>
      <c r="CW778" s="540"/>
      <c r="CX778" s="540"/>
      <c r="CY778" s="540"/>
      <c r="CZ778" s="540"/>
      <c r="DA778" s="540"/>
      <c r="DB778" s="540"/>
      <c r="DC778" s="540"/>
      <c r="DD778" s="540"/>
      <c r="DE778" s="540"/>
    </row>
    <row r="779" spans="1:109" s="116" customFormat="1" x14ac:dyDescent="0.2">
      <c r="A779" s="435"/>
      <c r="B779" s="435"/>
      <c r="C779" s="435"/>
      <c r="D779" s="435"/>
      <c r="AB779" s="540"/>
      <c r="AU779" s="540"/>
      <c r="AV779" s="540"/>
      <c r="AW779" s="540"/>
      <c r="AX779" s="540"/>
      <c r="AY779" s="540"/>
      <c r="AZ779" s="540"/>
      <c r="BA779" s="540"/>
      <c r="BB779" s="540"/>
      <c r="BC779" s="540"/>
      <c r="BD779" s="540"/>
      <c r="BE779" s="540"/>
      <c r="BF779" s="540"/>
      <c r="BG779" s="540"/>
      <c r="BH779" s="540"/>
      <c r="BI779" s="540"/>
      <c r="BJ779" s="540"/>
      <c r="BK779" s="540"/>
      <c r="BL779" s="540"/>
      <c r="BM779" s="540"/>
      <c r="BN779" s="540"/>
      <c r="BO779" s="540"/>
      <c r="BP779" s="540"/>
      <c r="BQ779" s="540"/>
      <c r="BR779" s="540"/>
      <c r="BS779" s="540"/>
      <c r="BT779" s="540"/>
      <c r="BU779" s="540"/>
      <c r="BV779" s="540"/>
      <c r="BW779" s="540"/>
      <c r="BX779" s="540"/>
      <c r="BY779" s="540"/>
      <c r="BZ779" s="540"/>
      <c r="CA779" s="540"/>
      <c r="CB779" s="540"/>
      <c r="CC779" s="540"/>
      <c r="CD779" s="540"/>
      <c r="CE779" s="540"/>
      <c r="CF779" s="540"/>
      <c r="CG779" s="540"/>
      <c r="CH779" s="540"/>
      <c r="CI779" s="540"/>
      <c r="CJ779" s="540"/>
      <c r="CK779" s="540"/>
      <c r="CL779" s="540"/>
      <c r="CM779" s="540"/>
      <c r="CN779" s="540"/>
      <c r="CO779" s="540"/>
      <c r="CP779" s="540"/>
      <c r="CQ779" s="540"/>
      <c r="CR779" s="540"/>
      <c r="CS779" s="540"/>
      <c r="CT779" s="540"/>
      <c r="CU779" s="540"/>
      <c r="CV779" s="540"/>
      <c r="CW779" s="540"/>
      <c r="CX779" s="540"/>
      <c r="CY779" s="540"/>
      <c r="CZ779" s="540"/>
      <c r="DA779" s="540"/>
      <c r="DB779" s="540"/>
      <c r="DC779" s="540"/>
      <c r="DD779" s="540"/>
      <c r="DE779" s="540"/>
    </row>
    <row r="780" spans="1:109" s="116" customFormat="1" x14ac:dyDescent="0.2">
      <c r="A780" s="435"/>
      <c r="B780" s="435"/>
      <c r="C780" s="435"/>
      <c r="D780" s="435"/>
      <c r="AB780" s="540"/>
      <c r="AU780" s="540"/>
      <c r="AV780" s="540"/>
      <c r="AW780" s="540"/>
      <c r="AX780" s="540"/>
      <c r="AY780" s="540"/>
      <c r="AZ780" s="540"/>
      <c r="BA780" s="540"/>
      <c r="BB780" s="540"/>
      <c r="BC780" s="540"/>
      <c r="BD780" s="540"/>
      <c r="BE780" s="540"/>
      <c r="BF780" s="540"/>
      <c r="BG780" s="540"/>
      <c r="BH780" s="540"/>
      <c r="BI780" s="540"/>
      <c r="BJ780" s="540"/>
      <c r="BK780" s="540"/>
      <c r="BL780" s="540"/>
      <c r="BM780" s="540"/>
      <c r="BN780" s="540"/>
      <c r="BO780" s="540"/>
      <c r="BP780" s="540"/>
      <c r="BQ780" s="540"/>
      <c r="BR780" s="540"/>
      <c r="BS780" s="540"/>
      <c r="BT780" s="540"/>
      <c r="BU780" s="540"/>
      <c r="BV780" s="540"/>
      <c r="BW780" s="540"/>
      <c r="BX780" s="540"/>
      <c r="BY780" s="540"/>
      <c r="BZ780" s="540"/>
      <c r="CA780" s="540"/>
      <c r="CB780" s="540"/>
      <c r="CC780" s="540"/>
      <c r="CD780" s="540"/>
      <c r="CE780" s="540"/>
      <c r="CF780" s="540"/>
      <c r="CG780" s="540"/>
      <c r="CH780" s="540"/>
      <c r="CI780" s="540"/>
      <c r="CJ780" s="540"/>
      <c r="CK780" s="540"/>
      <c r="CL780" s="540"/>
      <c r="CM780" s="540"/>
      <c r="CN780" s="540"/>
      <c r="CO780" s="540"/>
      <c r="CP780" s="540"/>
      <c r="CQ780" s="540"/>
      <c r="CR780" s="540"/>
      <c r="CS780" s="540"/>
      <c r="CT780" s="540"/>
      <c r="CU780" s="540"/>
      <c r="CV780" s="540"/>
      <c r="CW780" s="540"/>
      <c r="CX780" s="540"/>
      <c r="CY780" s="540"/>
      <c r="CZ780" s="540"/>
      <c r="DA780" s="540"/>
      <c r="DB780" s="540"/>
      <c r="DC780" s="540"/>
      <c r="DD780" s="540"/>
      <c r="DE780" s="540"/>
    </row>
    <row r="781" spans="1:109" s="116" customFormat="1" x14ac:dyDescent="0.2">
      <c r="A781" s="435"/>
      <c r="B781" s="435"/>
      <c r="C781" s="435"/>
      <c r="D781" s="435"/>
      <c r="AB781" s="540"/>
      <c r="AU781" s="540"/>
      <c r="AV781" s="540"/>
      <c r="AW781" s="540"/>
      <c r="AX781" s="540"/>
      <c r="AY781" s="540"/>
      <c r="AZ781" s="540"/>
      <c r="BA781" s="540"/>
      <c r="BB781" s="540"/>
      <c r="BC781" s="540"/>
      <c r="BD781" s="540"/>
      <c r="BE781" s="540"/>
      <c r="BF781" s="540"/>
      <c r="BG781" s="540"/>
      <c r="BH781" s="540"/>
      <c r="BI781" s="540"/>
      <c r="BJ781" s="540"/>
      <c r="BK781" s="540"/>
      <c r="BL781" s="540"/>
      <c r="BM781" s="540"/>
      <c r="BN781" s="540"/>
      <c r="BO781" s="540"/>
      <c r="BP781" s="540"/>
      <c r="BQ781" s="540"/>
      <c r="BR781" s="540"/>
      <c r="BS781" s="540"/>
      <c r="BT781" s="540"/>
      <c r="BU781" s="540"/>
      <c r="BV781" s="540"/>
      <c r="BW781" s="540"/>
      <c r="BX781" s="540"/>
      <c r="BY781" s="540"/>
      <c r="BZ781" s="540"/>
      <c r="CA781" s="540"/>
      <c r="CB781" s="540"/>
      <c r="CC781" s="540"/>
      <c r="CD781" s="540"/>
      <c r="CE781" s="540"/>
      <c r="CF781" s="540"/>
      <c r="CG781" s="540"/>
      <c r="CH781" s="540"/>
      <c r="CI781" s="540"/>
      <c r="CJ781" s="540"/>
      <c r="CK781" s="540"/>
      <c r="CL781" s="540"/>
      <c r="CM781" s="540"/>
      <c r="CN781" s="540"/>
      <c r="CO781" s="540"/>
      <c r="CP781" s="540"/>
      <c r="CQ781" s="540"/>
      <c r="CR781" s="540"/>
      <c r="CS781" s="540"/>
      <c r="CT781" s="540"/>
      <c r="CU781" s="540"/>
      <c r="CV781" s="540"/>
      <c r="CW781" s="540"/>
      <c r="CX781" s="540"/>
      <c r="CY781" s="540"/>
      <c r="CZ781" s="540"/>
      <c r="DA781" s="540"/>
      <c r="DB781" s="540"/>
      <c r="DC781" s="540"/>
      <c r="DD781" s="540"/>
      <c r="DE781" s="540"/>
    </row>
    <row r="782" spans="1:109" s="116" customFormat="1" x14ac:dyDescent="0.2">
      <c r="A782" s="435"/>
      <c r="B782" s="435"/>
      <c r="C782" s="435"/>
      <c r="D782" s="435"/>
      <c r="AB782" s="540"/>
      <c r="AU782" s="540"/>
      <c r="AV782" s="540"/>
      <c r="AW782" s="540"/>
      <c r="AX782" s="540"/>
      <c r="AY782" s="540"/>
      <c r="AZ782" s="540"/>
      <c r="BA782" s="540"/>
      <c r="BB782" s="540"/>
      <c r="BC782" s="540"/>
      <c r="BD782" s="540"/>
      <c r="BE782" s="540"/>
      <c r="BF782" s="540"/>
      <c r="BG782" s="540"/>
      <c r="BH782" s="540"/>
      <c r="BI782" s="540"/>
      <c r="BJ782" s="540"/>
      <c r="BK782" s="540"/>
      <c r="BL782" s="540"/>
      <c r="BM782" s="540"/>
      <c r="BN782" s="540"/>
      <c r="BO782" s="540"/>
      <c r="BP782" s="540"/>
      <c r="BQ782" s="540"/>
      <c r="BR782" s="540"/>
      <c r="BS782" s="540"/>
      <c r="BT782" s="540"/>
      <c r="BU782" s="540"/>
      <c r="BV782" s="540"/>
      <c r="BW782" s="540"/>
      <c r="BX782" s="540"/>
      <c r="BY782" s="540"/>
      <c r="BZ782" s="540"/>
      <c r="CA782" s="540"/>
      <c r="CB782" s="540"/>
      <c r="CC782" s="540"/>
      <c r="CD782" s="540"/>
      <c r="CE782" s="540"/>
      <c r="CF782" s="540"/>
      <c r="CG782" s="540"/>
      <c r="CH782" s="540"/>
      <c r="CI782" s="540"/>
      <c r="CJ782" s="540"/>
      <c r="CK782" s="540"/>
      <c r="CL782" s="540"/>
      <c r="CM782" s="540"/>
      <c r="CN782" s="540"/>
      <c r="CO782" s="540"/>
      <c r="CP782" s="540"/>
      <c r="CQ782" s="540"/>
      <c r="CR782" s="540"/>
      <c r="CS782" s="540"/>
      <c r="CT782" s="540"/>
      <c r="CU782" s="540"/>
      <c r="CV782" s="540"/>
      <c r="CW782" s="540"/>
      <c r="CX782" s="540"/>
      <c r="CY782" s="540"/>
      <c r="CZ782" s="540"/>
      <c r="DA782" s="540"/>
      <c r="DB782" s="540"/>
      <c r="DC782" s="540"/>
      <c r="DD782" s="540"/>
      <c r="DE782" s="540"/>
    </row>
    <row r="783" spans="1:109" s="116" customFormat="1" x14ac:dyDescent="0.2">
      <c r="A783" s="435"/>
      <c r="B783" s="435"/>
      <c r="C783" s="435"/>
      <c r="D783" s="435"/>
      <c r="AB783" s="540"/>
      <c r="AU783" s="540"/>
      <c r="AV783" s="540"/>
      <c r="AW783" s="540"/>
      <c r="AX783" s="540"/>
      <c r="AY783" s="540"/>
      <c r="AZ783" s="540"/>
      <c r="BA783" s="540"/>
      <c r="BB783" s="540"/>
      <c r="BC783" s="540"/>
      <c r="BD783" s="540"/>
      <c r="BE783" s="540"/>
      <c r="BF783" s="540"/>
      <c r="BG783" s="540"/>
      <c r="BH783" s="540"/>
      <c r="BI783" s="540"/>
      <c r="BJ783" s="540"/>
      <c r="BK783" s="540"/>
      <c r="BL783" s="540"/>
      <c r="BM783" s="540"/>
      <c r="BN783" s="540"/>
      <c r="BO783" s="540"/>
      <c r="BP783" s="540"/>
      <c r="BQ783" s="540"/>
      <c r="BR783" s="540"/>
      <c r="BS783" s="540"/>
      <c r="BT783" s="540"/>
      <c r="BU783" s="540"/>
      <c r="BV783" s="540"/>
      <c r="BW783" s="540"/>
      <c r="BX783" s="540"/>
      <c r="BY783" s="540"/>
      <c r="BZ783" s="540"/>
      <c r="CA783" s="540"/>
      <c r="CB783" s="540"/>
      <c r="CC783" s="540"/>
      <c r="CD783" s="540"/>
      <c r="CE783" s="540"/>
      <c r="CF783" s="540"/>
      <c r="CG783" s="540"/>
      <c r="CH783" s="540"/>
      <c r="CI783" s="540"/>
      <c r="CJ783" s="540"/>
      <c r="CK783" s="540"/>
      <c r="CL783" s="540"/>
      <c r="CM783" s="540"/>
      <c r="CN783" s="540"/>
      <c r="CO783" s="540"/>
      <c r="CP783" s="540"/>
      <c r="CQ783" s="540"/>
      <c r="CR783" s="540"/>
      <c r="CS783" s="540"/>
      <c r="CT783" s="540"/>
      <c r="CU783" s="540"/>
      <c r="CV783" s="540"/>
      <c r="CW783" s="540"/>
      <c r="CX783" s="540"/>
      <c r="CY783" s="540"/>
      <c r="CZ783" s="540"/>
      <c r="DA783" s="540"/>
      <c r="DB783" s="540"/>
      <c r="DC783" s="540"/>
      <c r="DD783" s="540"/>
      <c r="DE783" s="540"/>
    </row>
    <row r="784" spans="1:109" s="116" customFormat="1" x14ac:dyDescent="0.2">
      <c r="A784" s="435"/>
      <c r="B784" s="435"/>
      <c r="C784" s="435"/>
      <c r="D784" s="435"/>
      <c r="AB784" s="540"/>
      <c r="AU784" s="540"/>
      <c r="AV784" s="540"/>
      <c r="AW784" s="540"/>
      <c r="AX784" s="540"/>
      <c r="AY784" s="540"/>
      <c r="AZ784" s="540"/>
      <c r="BA784" s="540"/>
      <c r="BB784" s="540"/>
      <c r="BC784" s="540"/>
      <c r="BD784" s="540"/>
      <c r="BE784" s="540"/>
      <c r="BF784" s="540"/>
      <c r="BG784" s="540"/>
      <c r="BH784" s="540"/>
      <c r="BI784" s="540"/>
      <c r="BJ784" s="540"/>
      <c r="BK784" s="540"/>
      <c r="BL784" s="540"/>
      <c r="BM784" s="540"/>
      <c r="BN784" s="540"/>
      <c r="BO784" s="540"/>
      <c r="BP784" s="540"/>
      <c r="BQ784" s="540"/>
      <c r="BR784" s="540"/>
      <c r="BS784" s="540"/>
      <c r="BT784" s="540"/>
      <c r="BU784" s="540"/>
      <c r="BV784" s="540"/>
      <c r="BW784" s="540"/>
      <c r="BX784" s="540"/>
      <c r="BY784" s="540"/>
      <c r="BZ784" s="540"/>
      <c r="CA784" s="540"/>
      <c r="CB784" s="540"/>
      <c r="CC784" s="540"/>
      <c r="CD784" s="540"/>
      <c r="CE784" s="540"/>
      <c r="CF784" s="540"/>
      <c r="CG784" s="540"/>
      <c r="CH784" s="540"/>
      <c r="CI784" s="540"/>
      <c r="CJ784" s="540"/>
      <c r="CK784" s="540"/>
      <c r="CL784" s="540"/>
      <c r="CM784" s="540"/>
      <c r="CN784" s="540"/>
      <c r="CO784" s="540"/>
      <c r="CP784" s="540"/>
      <c r="CQ784" s="540"/>
      <c r="CR784" s="540"/>
      <c r="CS784" s="540"/>
      <c r="CT784" s="540"/>
      <c r="CU784" s="540"/>
      <c r="CV784" s="540"/>
      <c r="CW784" s="540"/>
      <c r="CX784" s="540"/>
      <c r="CY784" s="540"/>
      <c r="CZ784" s="540"/>
      <c r="DA784" s="540"/>
      <c r="DB784" s="540"/>
      <c r="DC784" s="540"/>
      <c r="DD784" s="540"/>
      <c r="DE784" s="540"/>
    </row>
    <row r="785" spans="1:109" s="116" customFormat="1" x14ac:dyDescent="0.2">
      <c r="A785" s="435"/>
      <c r="B785" s="435"/>
      <c r="C785" s="435"/>
      <c r="D785" s="435"/>
      <c r="AB785" s="540"/>
      <c r="AU785" s="540"/>
      <c r="AV785" s="540"/>
      <c r="AW785" s="540"/>
      <c r="AX785" s="540"/>
      <c r="AY785" s="540"/>
      <c r="AZ785" s="540"/>
      <c r="BA785" s="540"/>
      <c r="BB785" s="540"/>
      <c r="BC785" s="540"/>
      <c r="BD785" s="540"/>
      <c r="BE785" s="540"/>
      <c r="BF785" s="540"/>
      <c r="BG785" s="540"/>
      <c r="BH785" s="540"/>
      <c r="BI785" s="540"/>
      <c r="BJ785" s="540"/>
      <c r="BK785" s="540"/>
      <c r="BL785" s="540"/>
      <c r="BM785" s="540"/>
      <c r="BN785" s="540"/>
      <c r="BO785" s="540"/>
      <c r="BP785" s="540"/>
      <c r="BQ785" s="540"/>
      <c r="BR785" s="540"/>
      <c r="BS785" s="540"/>
      <c r="BT785" s="540"/>
      <c r="BU785" s="540"/>
      <c r="BV785" s="540"/>
      <c r="BW785" s="540"/>
      <c r="BX785" s="540"/>
      <c r="BY785" s="540"/>
      <c r="BZ785" s="540"/>
      <c r="CA785" s="540"/>
      <c r="CB785" s="540"/>
      <c r="CC785" s="540"/>
      <c r="CD785" s="540"/>
      <c r="CE785" s="540"/>
      <c r="CF785" s="540"/>
      <c r="CG785" s="540"/>
      <c r="CH785" s="540"/>
      <c r="CI785" s="540"/>
      <c r="CJ785" s="540"/>
      <c r="CK785" s="540"/>
      <c r="CL785" s="540"/>
      <c r="CM785" s="540"/>
      <c r="CN785" s="540"/>
      <c r="CO785" s="540"/>
      <c r="CP785" s="540"/>
      <c r="CQ785" s="540"/>
      <c r="CR785" s="540"/>
      <c r="CS785" s="540"/>
      <c r="CT785" s="540"/>
      <c r="CU785" s="540"/>
      <c r="CV785" s="540"/>
      <c r="CW785" s="540"/>
      <c r="CX785" s="540"/>
      <c r="CY785" s="540"/>
      <c r="CZ785" s="540"/>
      <c r="DA785" s="540"/>
      <c r="DB785" s="540"/>
      <c r="DC785" s="540"/>
      <c r="DD785" s="540"/>
      <c r="DE785" s="540"/>
    </row>
    <row r="786" spans="1:109" s="116" customFormat="1" x14ac:dyDescent="0.2">
      <c r="A786" s="435"/>
      <c r="B786" s="435"/>
      <c r="C786" s="435"/>
      <c r="D786" s="435"/>
      <c r="AB786" s="540"/>
      <c r="AU786" s="540"/>
      <c r="AV786" s="540"/>
      <c r="AW786" s="540"/>
      <c r="AX786" s="540"/>
      <c r="AY786" s="540"/>
      <c r="AZ786" s="540"/>
      <c r="BA786" s="540"/>
      <c r="BB786" s="540"/>
      <c r="BC786" s="540"/>
      <c r="BD786" s="540"/>
      <c r="BE786" s="540"/>
      <c r="BF786" s="540"/>
      <c r="BG786" s="540"/>
      <c r="BH786" s="540"/>
      <c r="BI786" s="540"/>
      <c r="BJ786" s="540"/>
      <c r="BK786" s="540"/>
      <c r="BL786" s="540"/>
      <c r="BM786" s="540"/>
      <c r="BN786" s="540"/>
      <c r="BO786" s="540"/>
      <c r="BP786" s="540"/>
      <c r="BQ786" s="540"/>
      <c r="BR786" s="540"/>
      <c r="BS786" s="540"/>
      <c r="BT786" s="540"/>
      <c r="BU786" s="540"/>
      <c r="BV786" s="540"/>
      <c r="BW786" s="540"/>
      <c r="BX786" s="540"/>
      <c r="BY786" s="540"/>
      <c r="BZ786" s="540"/>
      <c r="CA786" s="540"/>
      <c r="CB786" s="540"/>
      <c r="CC786" s="540"/>
      <c r="CD786" s="540"/>
      <c r="CE786" s="540"/>
      <c r="CF786" s="540"/>
      <c r="CG786" s="540"/>
      <c r="CH786" s="540"/>
      <c r="CI786" s="540"/>
      <c r="CJ786" s="540"/>
      <c r="CK786" s="540"/>
      <c r="CL786" s="540"/>
      <c r="CM786" s="540"/>
      <c r="CN786" s="540"/>
      <c r="CO786" s="540"/>
      <c r="CP786" s="540"/>
      <c r="CQ786" s="540"/>
      <c r="CR786" s="540"/>
      <c r="CS786" s="540"/>
      <c r="CT786" s="540"/>
      <c r="CU786" s="540"/>
      <c r="CV786" s="540"/>
      <c r="CW786" s="540"/>
      <c r="CX786" s="540"/>
      <c r="CY786" s="540"/>
      <c r="CZ786" s="540"/>
      <c r="DA786" s="540"/>
      <c r="DB786" s="540"/>
      <c r="DC786" s="540"/>
      <c r="DD786" s="540"/>
      <c r="DE786" s="540"/>
    </row>
    <row r="787" spans="1:109" s="116" customFormat="1" x14ac:dyDescent="0.2">
      <c r="A787" s="435"/>
      <c r="B787" s="435"/>
      <c r="C787" s="435"/>
      <c r="D787" s="435"/>
      <c r="AB787" s="540"/>
      <c r="AU787" s="540"/>
      <c r="AV787" s="540"/>
      <c r="AW787" s="540"/>
      <c r="AX787" s="540"/>
      <c r="AY787" s="540"/>
      <c r="AZ787" s="540"/>
      <c r="BA787" s="540"/>
      <c r="BB787" s="540"/>
      <c r="BC787" s="540"/>
      <c r="BD787" s="540"/>
      <c r="BE787" s="540"/>
      <c r="BF787" s="540"/>
      <c r="BG787" s="540"/>
      <c r="BH787" s="540"/>
      <c r="BI787" s="540"/>
      <c r="BJ787" s="540"/>
      <c r="BK787" s="540"/>
      <c r="BL787" s="540"/>
      <c r="BM787" s="540"/>
      <c r="BN787" s="540"/>
      <c r="BO787" s="540"/>
      <c r="BP787" s="540"/>
      <c r="BQ787" s="540"/>
      <c r="BR787" s="540"/>
      <c r="BS787" s="540"/>
      <c r="BT787" s="540"/>
      <c r="BU787" s="540"/>
      <c r="BV787" s="540"/>
      <c r="BW787" s="540"/>
      <c r="BX787" s="540"/>
      <c r="BY787" s="540"/>
      <c r="BZ787" s="540"/>
      <c r="CA787" s="540"/>
      <c r="CB787" s="540"/>
      <c r="CC787" s="540"/>
      <c r="CD787" s="540"/>
      <c r="CE787" s="540"/>
      <c r="CF787" s="540"/>
      <c r="CG787" s="540"/>
      <c r="CH787" s="540"/>
      <c r="CI787" s="540"/>
      <c r="CJ787" s="540"/>
      <c r="CK787" s="540"/>
      <c r="CL787" s="540"/>
      <c r="CM787" s="540"/>
      <c r="CN787" s="540"/>
      <c r="CO787" s="540"/>
      <c r="CP787" s="540"/>
      <c r="CQ787" s="540"/>
      <c r="CR787" s="540"/>
      <c r="CS787" s="540"/>
      <c r="CT787" s="540"/>
      <c r="CU787" s="540"/>
      <c r="CV787" s="540"/>
      <c r="CW787" s="540"/>
      <c r="CX787" s="540"/>
      <c r="CY787" s="540"/>
      <c r="CZ787" s="540"/>
      <c r="DA787" s="540"/>
      <c r="DB787" s="540"/>
      <c r="DC787" s="540"/>
      <c r="DD787" s="540"/>
      <c r="DE787" s="540"/>
    </row>
    <row r="788" spans="1:109" s="116" customFormat="1" x14ac:dyDescent="0.2">
      <c r="A788" s="435"/>
      <c r="B788" s="435"/>
      <c r="C788" s="435"/>
      <c r="D788" s="435"/>
      <c r="AB788" s="540"/>
      <c r="AU788" s="540"/>
      <c r="AV788" s="540"/>
      <c r="AW788" s="540"/>
      <c r="AX788" s="540"/>
      <c r="AY788" s="540"/>
      <c r="AZ788" s="540"/>
      <c r="BA788" s="540"/>
      <c r="BB788" s="540"/>
      <c r="BC788" s="540"/>
      <c r="BD788" s="540"/>
      <c r="BE788" s="540"/>
      <c r="BF788" s="540"/>
      <c r="BG788" s="540"/>
      <c r="BH788" s="540"/>
      <c r="BI788" s="540"/>
      <c r="BJ788" s="540"/>
      <c r="BK788" s="540"/>
      <c r="BL788" s="540"/>
      <c r="BM788" s="540"/>
      <c r="BN788" s="540"/>
      <c r="BO788" s="540"/>
      <c r="BP788" s="540"/>
      <c r="BQ788" s="540"/>
      <c r="BR788" s="540"/>
      <c r="BS788" s="540"/>
      <c r="BT788" s="540"/>
      <c r="BU788" s="540"/>
      <c r="BV788" s="540"/>
      <c r="BW788" s="540"/>
      <c r="BX788" s="540"/>
      <c r="BY788" s="540"/>
      <c r="BZ788" s="540"/>
      <c r="CA788" s="540"/>
      <c r="CB788" s="540"/>
      <c r="CC788" s="540"/>
      <c r="CD788" s="540"/>
      <c r="CE788" s="540"/>
      <c r="CF788" s="540"/>
      <c r="CG788" s="540"/>
      <c r="CH788" s="540"/>
      <c r="CI788" s="540"/>
      <c r="CJ788" s="540"/>
      <c r="CK788" s="540"/>
      <c r="CL788" s="540"/>
      <c r="CM788" s="540"/>
      <c r="CN788" s="540"/>
      <c r="CO788" s="540"/>
      <c r="CP788" s="540"/>
      <c r="CQ788" s="540"/>
      <c r="CR788" s="540"/>
      <c r="CS788" s="540"/>
      <c r="CT788" s="540"/>
      <c r="CU788" s="540"/>
      <c r="CV788" s="540"/>
      <c r="CW788" s="540"/>
      <c r="CX788" s="540"/>
      <c r="CY788" s="540"/>
      <c r="CZ788" s="540"/>
      <c r="DA788" s="540"/>
      <c r="DB788" s="540"/>
      <c r="DC788" s="540"/>
      <c r="DD788" s="540"/>
      <c r="DE788" s="540"/>
    </row>
    <row r="789" spans="1:109" s="116" customFormat="1" x14ac:dyDescent="0.2">
      <c r="A789" s="435"/>
      <c r="B789" s="435"/>
      <c r="C789" s="435"/>
      <c r="D789" s="435"/>
      <c r="AB789" s="540"/>
      <c r="AU789" s="540"/>
      <c r="AV789" s="540"/>
      <c r="AW789" s="540"/>
      <c r="AX789" s="540"/>
      <c r="AY789" s="540"/>
      <c r="AZ789" s="540"/>
      <c r="BA789" s="540"/>
      <c r="BB789" s="540"/>
      <c r="BC789" s="540"/>
      <c r="BD789" s="540"/>
      <c r="BE789" s="540"/>
      <c r="BF789" s="540"/>
      <c r="BG789" s="540"/>
      <c r="BH789" s="540"/>
      <c r="BI789" s="540"/>
      <c r="BJ789" s="540"/>
      <c r="BK789" s="540"/>
      <c r="BL789" s="540"/>
      <c r="BM789" s="540"/>
      <c r="BN789" s="540"/>
      <c r="BO789" s="540"/>
      <c r="BP789" s="540"/>
      <c r="BQ789" s="540"/>
      <c r="BR789" s="540"/>
      <c r="BS789" s="540"/>
      <c r="BT789" s="540"/>
      <c r="BU789" s="540"/>
      <c r="BV789" s="540"/>
      <c r="BW789" s="540"/>
      <c r="BX789" s="540"/>
      <c r="BY789" s="540"/>
      <c r="BZ789" s="540"/>
      <c r="CA789" s="540"/>
      <c r="CB789" s="540"/>
      <c r="CC789" s="540"/>
      <c r="CD789" s="540"/>
      <c r="CE789" s="540"/>
      <c r="CF789" s="540"/>
      <c r="CG789" s="540"/>
      <c r="CH789" s="540"/>
      <c r="CI789" s="540"/>
      <c r="CJ789" s="540"/>
      <c r="CK789" s="540"/>
      <c r="CL789" s="540"/>
      <c r="CM789" s="540"/>
      <c r="CN789" s="540"/>
      <c r="CO789" s="540"/>
      <c r="CP789" s="540"/>
      <c r="CQ789" s="540"/>
      <c r="CR789" s="540"/>
      <c r="CS789" s="540"/>
      <c r="CT789" s="540"/>
      <c r="CU789" s="540"/>
      <c r="CV789" s="540"/>
      <c r="CW789" s="540"/>
      <c r="CX789" s="540"/>
      <c r="CY789" s="540"/>
      <c r="CZ789" s="540"/>
      <c r="DA789" s="540"/>
      <c r="DB789" s="540"/>
      <c r="DC789" s="540"/>
      <c r="DD789" s="540"/>
      <c r="DE789" s="540"/>
    </row>
    <row r="790" spans="1:109" s="116" customFormat="1" x14ac:dyDescent="0.2">
      <c r="A790" s="435"/>
      <c r="B790" s="435"/>
      <c r="C790" s="435"/>
      <c r="D790" s="435"/>
      <c r="AB790" s="540"/>
      <c r="AU790" s="540"/>
      <c r="AV790" s="540"/>
      <c r="AW790" s="540"/>
      <c r="AX790" s="540"/>
      <c r="AY790" s="540"/>
      <c r="AZ790" s="540"/>
      <c r="BA790" s="540"/>
      <c r="BB790" s="540"/>
      <c r="BC790" s="540"/>
      <c r="BD790" s="540"/>
      <c r="BE790" s="540"/>
      <c r="BF790" s="540"/>
      <c r="BG790" s="540"/>
      <c r="BH790" s="540"/>
      <c r="BI790" s="540"/>
      <c r="BJ790" s="540"/>
      <c r="BK790" s="540"/>
      <c r="BL790" s="540"/>
      <c r="BM790" s="540"/>
      <c r="BN790" s="540"/>
      <c r="BO790" s="540"/>
      <c r="BP790" s="540"/>
      <c r="BQ790" s="540"/>
      <c r="BR790" s="540"/>
      <c r="BS790" s="540"/>
      <c r="BT790" s="540"/>
      <c r="BU790" s="540"/>
      <c r="BV790" s="540"/>
      <c r="BW790" s="540"/>
      <c r="BX790" s="540"/>
      <c r="BY790" s="540"/>
      <c r="BZ790" s="540"/>
      <c r="CA790" s="540"/>
      <c r="CB790" s="540"/>
      <c r="CC790" s="540"/>
      <c r="CD790" s="540"/>
      <c r="CE790" s="540"/>
      <c r="CF790" s="540"/>
      <c r="CG790" s="540"/>
      <c r="CH790" s="540"/>
      <c r="CI790" s="540"/>
      <c r="CJ790" s="540"/>
      <c r="CK790" s="540"/>
      <c r="CL790" s="540"/>
      <c r="CM790" s="540"/>
      <c r="CN790" s="540"/>
      <c r="CO790" s="540"/>
      <c r="CP790" s="540"/>
      <c r="CQ790" s="540"/>
      <c r="CR790" s="540"/>
      <c r="CS790" s="540"/>
      <c r="CT790" s="540"/>
      <c r="CU790" s="540"/>
      <c r="CV790" s="540"/>
      <c r="CW790" s="540"/>
      <c r="CX790" s="540"/>
      <c r="CY790" s="540"/>
      <c r="CZ790" s="540"/>
      <c r="DA790" s="540"/>
      <c r="DB790" s="540"/>
      <c r="DC790" s="540"/>
      <c r="DD790" s="540"/>
      <c r="DE790" s="540"/>
    </row>
    <row r="791" spans="1:109" s="116" customFormat="1" x14ac:dyDescent="0.2">
      <c r="A791" s="435"/>
      <c r="B791" s="435"/>
      <c r="C791" s="435"/>
      <c r="D791" s="435"/>
      <c r="AB791" s="540"/>
      <c r="AU791" s="540"/>
      <c r="AV791" s="540"/>
      <c r="AW791" s="540"/>
      <c r="AX791" s="540"/>
      <c r="AY791" s="540"/>
      <c r="AZ791" s="540"/>
      <c r="BA791" s="540"/>
      <c r="BB791" s="540"/>
      <c r="BC791" s="540"/>
      <c r="BD791" s="540"/>
      <c r="BE791" s="540"/>
      <c r="BF791" s="540"/>
      <c r="BG791" s="540"/>
      <c r="BH791" s="540"/>
      <c r="BI791" s="540"/>
      <c r="BJ791" s="540"/>
      <c r="BK791" s="540"/>
      <c r="BL791" s="540"/>
      <c r="BM791" s="540"/>
      <c r="BN791" s="540"/>
      <c r="BO791" s="540"/>
      <c r="BP791" s="540"/>
      <c r="BQ791" s="540"/>
      <c r="BR791" s="540"/>
      <c r="BS791" s="540"/>
      <c r="BT791" s="540"/>
      <c r="BU791" s="540"/>
      <c r="BV791" s="540"/>
      <c r="BW791" s="540"/>
      <c r="BX791" s="540"/>
      <c r="BY791" s="540"/>
      <c r="BZ791" s="540"/>
      <c r="CA791" s="540"/>
      <c r="CB791" s="540"/>
      <c r="CC791" s="540"/>
      <c r="CD791" s="540"/>
      <c r="CE791" s="540"/>
      <c r="CF791" s="540"/>
      <c r="CG791" s="540"/>
      <c r="CH791" s="540"/>
      <c r="CI791" s="540"/>
      <c r="CJ791" s="540"/>
      <c r="CK791" s="540"/>
      <c r="CL791" s="540"/>
      <c r="CM791" s="540"/>
      <c r="CN791" s="540"/>
      <c r="CO791" s="540"/>
      <c r="CP791" s="540"/>
      <c r="CQ791" s="540"/>
      <c r="CR791" s="540"/>
      <c r="CS791" s="540"/>
      <c r="CT791" s="540"/>
      <c r="CU791" s="540"/>
      <c r="CV791" s="540"/>
      <c r="CW791" s="540"/>
      <c r="CX791" s="540"/>
      <c r="CY791" s="540"/>
      <c r="CZ791" s="540"/>
      <c r="DA791" s="540"/>
      <c r="DB791" s="540"/>
      <c r="DC791" s="540"/>
      <c r="DD791" s="540"/>
      <c r="DE791" s="540"/>
    </row>
    <row r="792" spans="1:109" s="116" customFormat="1" x14ac:dyDescent="0.2">
      <c r="A792" s="435"/>
      <c r="B792" s="435"/>
      <c r="C792" s="435"/>
      <c r="D792" s="435"/>
      <c r="AB792" s="540"/>
      <c r="AU792" s="540"/>
      <c r="AV792" s="540"/>
      <c r="AW792" s="540"/>
      <c r="AX792" s="540"/>
      <c r="AY792" s="540"/>
      <c r="AZ792" s="540"/>
      <c r="BA792" s="540"/>
      <c r="BB792" s="540"/>
      <c r="BC792" s="540"/>
      <c r="BD792" s="540"/>
      <c r="BE792" s="540"/>
      <c r="BF792" s="540"/>
      <c r="BG792" s="540"/>
      <c r="BH792" s="540"/>
      <c r="BI792" s="540"/>
      <c r="BJ792" s="540"/>
      <c r="BK792" s="540"/>
      <c r="BL792" s="540"/>
      <c r="BM792" s="540"/>
      <c r="BN792" s="540"/>
      <c r="BO792" s="540"/>
      <c r="BP792" s="540"/>
      <c r="BQ792" s="540"/>
      <c r="BR792" s="540"/>
      <c r="BS792" s="540"/>
      <c r="BT792" s="540"/>
      <c r="BU792" s="540"/>
      <c r="BV792" s="540"/>
      <c r="BW792" s="540"/>
      <c r="BX792" s="540"/>
      <c r="BY792" s="540"/>
      <c r="BZ792" s="540"/>
      <c r="CA792" s="540"/>
      <c r="CB792" s="540"/>
      <c r="CC792" s="540"/>
      <c r="CD792" s="540"/>
      <c r="CE792" s="540"/>
      <c r="CF792" s="540"/>
      <c r="CG792" s="540"/>
      <c r="CH792" s="540"/>
      <c r="CI792" s="540"/>
      <c r="CJ792" s="540"/>
      <c r="CK792" s="540"/>
      <c r="CL792" s="540"/>
      <c r="CM792" s="540"/>
      <c r="CN792" s="540"/>
      <c r="CO792" s="540"/>
      <c r="CP792" s="540"/>
      <c r="CQ792" s="540"/>
      <c r="CR792" s="540"/>
      <c r="CS792" s="540"/>
      <c r="CT792" s="540"/>
      <c r="CU792" s="540"/>
      <c r="CV792" s="540"/>
      <c r="CW792" s="540"/>
      <c r="CX792" s="540"/>
      <c r="CY792" s="540"/>
      <c r="CZ792" s="540"/>
      <c r="DA792" s="540"/>
      <c r="DB792" s="540"/>
      <c r="DC792" s="540"/>
      <c r="DD792" s="540"/>
      <c r="DE792" s="540"/>
    </row>
    <row r="793" spans="1:109" s="116" customFormat="1" x14ac:dyDescent="0.2">
      <c r="A793" s="435"/>
      <c r="B793" s="435"/>
      <c r="C793" s="435"/>
      <c r="D793" s="435"/>
      <c r="AB793" s="540"/>
      <c r="AU793" s="540"/>
      <c r="AV793" s="540"/>
      <c r="AW793" s="540"/>
      <c r="AX793" s="540"/>
      <c r="AY793" s="540"/>
      <c r="AZ793" s="540"/>
      <c r="BA793" s="540"/>
      <c r="BB793" s="540"/>
      <c r="BC793" s="540"/>
      <c r="BD793" s="540"/>
      <c r="BE793" s="540"/>
      <c r="BF793" s="540"/>
      <c r="BG793" s="540"/>
      <c r="BH793" s="540"/>
      <c r="BI793" s="540"/>
      <c r="BJ793" s="540"/>
      <c r="BK793" s="540"/>
      <c r="BL793" s="540"/>
      <c r="BM793" s="540"/>
      <c r="BN793" s="540"/>
      <c r="BO793" s="540"/>
      <c r="BP793" s="540"/>
      <c r="BQ793" s="540"/>
      <c r="BR793" s="540"/>
      <c r="BS793" s="540"/>
      <c r="BT793" s="540"/>
      <c r="BU793" s="540"/>
      <c r="BV793" s="540"/>
      <c r="BW793" s="540"/>
      <c r="BX793" s="540"/>
      <c r="BY793" s="540"/>
      <c r="BZ793" s="540"/>
      <c r="CA793" s="540"/>
      <c r="CB793" s="540"/>
      <c r="CC793" s="540"/>
      <c r="CD793" s="540"/>
      <c r="CE793" s="540"/>
      <c r="CF793" s="540"/>
      <c r="CG793" s="540"/>
      <c r="CH793" s="540"/>
      <c r="CI793" s="540"/>
      <c r="CJ793" s="540"/>
      <c r="CK793" s="540"/>
      <c r="CL793" s="540"/>
      <c r="CM793" s="540"/>
      <c r="CN793" s="540"/>
      <c r="CO793" s="540"/>
      <c r="CP793" s="540"/>
      <c r="CQ793" s="540"/>
      <c r="CR793" s="540"/>
      <c r="CS793" s="540"/>
      <c r="CT793" s="540"/>
      <c r="CU793" s="540"/>
      <c r="CV793" s="540"/>
      <c r="CW793" s="540"/>
      <c r="CX793" s="540"/>
      <c r="CY793" s="540"/>
      <c r="CZ793" s="540"/>
      <c r="DA793" s="540"/>
      <c r="DB793" s="540"/>
      <c r="DC793" s="540"/>
      <c r="DD793" s="540"/>
      <c r="DE793" s="540"/>
    </row>
    <row r="794" spans="1:109" s="116" customFormat="1" x14ac:dyDescent="0.2">
      <c r="A794" s="435"/>
      <c r="B794" s="435"/>
      <c r="C794" s="435"/>
      <c r="D794" s="435"/>
      <c r="AB794" s="540"/>
      <c r="AU794" s="540"/>
      <c r="AV794" s="540"/>
      <c r="AW794" s="540"/>
      <c r="AX794" s="540"/>
      <c r="AY794" s="540"/>
      <c r="AZ794" s="540"/>
      <c r="BA794" s="540"/>
      <c r="BB794" s="540"/>
      <c r="BC794" s="540"/>
      <c r="BD794" s="540"/>
      <c r="BE794" s="540"/>
      <c r="BF794" s="540"/>
      <c r="BG794" s="540"/>
      <c r="BH794" s="540"/>
      <c r="BI794" s="540"/>
      <c r="BJ794" s="540"/>
      <c r="BK794" s="540"/>
      <c r="BL794" s="540"/>
      <c r="BM794" s="540"/>
      <c r="BN794" s="540"/>
      <c r="BO794" s="540"/>
      <c r="BP794" s="540"/>
      <c r="BQ794" s="540"/>
      <c r="BR794" s="540"/>
      <c r="BS794" s="540"/>
      <c r="BT794" s="540"/>
      <c r="BU794" s="540"/>
      <c r="BV794" s="540"/>
      <c r="BW794" s="540"/>
      <c r="BX794" s="540"/>
      <c r="BY794" s="540"/>
      <c r="BZ794" s="540"/>
      <c r="CA794" s="540"/>
      <c r="CB794" s="540"/>
      <c r="CC794" s="540"/>
      <c r="CD794" s="540"/>
      <c r="CE794" s="540"/>
      <c r="CF794" s="540"/>
      <c r="CG794" s="540"/>
      <c r="CH794" s="540"/>
      <c r="CI794" s="540"/>
      <c r="CJ794" s="540"/>
      <c r="CK794" s="540"/>
      <c r="CL794" s="540"/>
      <c r="CM794" s="540"/>
      <c r="CN794" s="540"/>
      <c r="CO794" s="540"/>
      <c r="CP794" s="540"/>
      <c r="CQ794" s="540"/>
      <c r="CR794" s="540"/>
      <c r="CS794" s="540"/>
      <c r="CT794" s="540"/>
      <c r="CU794" s="540"/>
      <c r="CV794" s="540"/>
      <c r="CW794" s="540"/>
      <c r="CX794" s="540"/>
      <c r="CY794" s="540"/>
      <c r="CZ794" s="540"/>
      <c r="DA794" s="540"/>
      <c r="DB794" s="540"/>
      <c r="DC794" s="540"/>
      <c r="DD794" s="540"/>
      <c r="DE794" s="540"/>
    </row>
    <row r="795" spans="1:109" s="116" customFormat="1" x14ac:dyDescent="0.2">
      <c r="A795" s="435"/>
      <c r="B795" s="435"/>
      <c r="C795" s="435"/>
      <c r="D795" s="435"/>
      <c r="AB795" s="540"/>
      <c r="AU795" s="540"/>
      <c r="AV795" s="540"/>
      <c r="AW795" s="540"/>
      <c r="AX795" s="540"/>
      <c r="AY795" s="540"/>
      <c r="AZ795" s="540"/>
      <c r="BA795" s="540"/>
      <c r="BB795" s="540"/>
      <c r="BC795" s="540"/>
      <c r="BD795" s="540"/>
      <c r="BE795" s="540"/>
      <c r="BF795" s="540"/>
      <c r="BG795" s="540"/>
      <c r="BH795" s="540"/>
      <c r="BI795" s="540"/>
      <c r="BJ795" s="540"/>
      <c r="BK795" s="540"/>
      <c r="BL795" s="540"/>
      <c r="BM795" s="540"/>
      <c r="BN795" s="540"/>
      <c r="BO795" s="540"/>
      <c r="BP795" s="540"/>
      <c r="BQ795" s="540"/>
      <c r="BR795" s="540"/>
      <c r="BS795" s="540"/>
      <c r="BT795" s="540"/>
      <c r="BU795" s="540"/>
      <c r="BV795" s="540"/>
      <c r="BW795" s="540"/>
      <c r="BX795" s="540"/>
      <c r="BY795" s="540"/>
      <c r="BZ795" s="540"/>
      <c r="CA795" s="540"/>
      <c r="CB795" s="540"/>
      <c r="CC795" s="540"/>
      <c r="CD795" s="540"/>
      <c r="CE795" s="540"/>
      <c r="CF795" s="540"/>
      <c r="CG795" s="540"/>
      <c r="CH795" s="540"/>
      <c r="CI795" s="540"/>
      <c r="CJ795" s="540"/>
      <c r="CK795" s="540"/>
      <c r="CL795" s="540"/>
      <c r="CM795" s="540"/>
      <c r="CN795" s="540"/>
      <c r="CO795" s="540"/>
      <c r="CP795" s="540"/>
      <c r="CQ795" s="540"/>
      <c r="CR795" s="540"/>
      <c r="CS795" s="540"/>
      <c r="CT795" s="540"/>
      <c r="CU795" s="540"/>
      <c r="CV795" s="540"/>
      <c r="CW795" s="540"/>
      <c r="CX795" s="540"/>
      <c r="CY795" s="540"/>
      <c r="CZ795" s="540"/>
      <c r="DA795" s="540"/>
      <c r="DB795" s="540"/>
      <c r="DC795" s="540"/>
      <c r="DD795" s="540"/>
      <c r="DE795" s="540"/>
    </row>
    <row r="796" spans="1:109" s="116" customFormat="1" x14ac:dyDescent="0.2">
      <c r="A796" s="435"/>
      <c r="B796" s="435"/>
      <c r="C796" s="435"/>
      <c r="D796" s="435"/>
      <c r="AB796" s="540"/>
      <c r="AU796" s="540"/>
      <c r="AV796" s="540"/>
      <c r="AW796" s="540"/>
      <c r="AX796" s="540"/>
      <c r="AY796" s="540"/>
      <c r="AZ796" s="540"/>
      <c r="BA796" s="540"/>
      <c r="BB796" s="540"/>
      <c r="BC796" s="540"/>
      <c r="BD796" s="540"/>
      <c r="BE796" s="540"/>
      <c r="BF796" s="540"/>
      <c r="BG796" s="540"/>
      <c r="BH796" s="540"/>
      <c r="BI796" s="540"/>
      <c r="BJ796" s="540"/>
      <c r="BK796" s="540"/>
      <c r="BL796" s="540"/>
      <c r="BM796" s="540"/>
      <c r="BN796" s="540"/>
      <c r="BO796" s="540"/>
      <c r="BP796" s="540"/>
      <c r="BQ796" s="540"/>
      <c r="BR796" s="540"/>
      <c r="BS796" s="540"/>
      <c r="BT796" s="540"/>
      <c r="BU796" s="540"/>
      <c r="BV796" s="540"/>
      <c r="BW796" s="540"/>
      <c r="BX796" s="540"/>
      <c r="BY796" s="540"/>
      <c r="BZ796" s="540"/>
      <c r="CA796" s="540"/>
      <c r="CB796" s="540"/>
      <c r="CC796" s="540"/>
      <c r="CD796" s="540"/>
      <c r="CE796" s="540"/>
      <c r="CF796" s="540"/>
      <c r="CG796" s="540"/>
      <c r="CH796" s="540"/>
      <c r="CI796" s="540"/>
      <c r="CJ796" s="540"/>
      <c r="CK796" s="540"/>
      <c r="CL796" s="540"/>
      <c r="CM796" s="540"/>
      <c r="CN796" s="540"/>
      <c r="CO796" s="540"/>
      <c r="CP796" s="540"/>
      <c r="CQ796" s="540"/>
      <c r="CR796" s="540"/>
      <c r="CS796" s="540"/>
      <c r="CT796" s="540"/>
      <c r="CU796" s="540"/>
      <c r="CV796" s="540"/>
      <c r="CW796" s="540"/>
      <c r="CX796" s="540"/>
      <c r="CY796" s="540"/>
      <c r="CZ796" s="540"/>
      <c r="DA796" s="540"/>
      <c r="DB796" s="540"/>
      <c r="DC796" s="540"/>
      <c r="DD796" s="540"/>
      <c r="DE796" s="540"/>
    </row>
    <row r="797" spans="1:109" s="116" customFormat="1" x14ac:dyDescent="0.2">
      <c r="A797" s="435"/>
      <c r="B797" s="435"/>
      <c r="C797" s="435"/>
      <c r="D797" s="435"/>
      <c r="AB797" s="540"/>
      <c r="AU797" s="540"/>
      <c r="AV797" s="540"/>
      <c r="AW797" s="540"/>
      <c r="AX797" s="540"/>
      <c r="AY797" s="540"/>
      <c r="AZ797" s="540"/>
      <c r="BA797" s="540"/>
      <c r="BB797" s="540"/>
      <c r="BC797" s="540"/>
      <c r="BD797" s="540"/>
      <c r="BE797" s="540"/>
      <c r="BF797" s="540"/>
      <c r="BG797" s="540"/>
      <c r="BH797" s="540"/>
      <c r="BI797" s="540"/>
      <c r="BJ797" s="540"/>
      <c r="BK797" s="540"/>
      <c r="BL797" s="540"/>
      <c r="BM797" s="540"/>
      <c r="BN797" s="540"/>
      <c r="BO797" s="540"/>
      <c r="BP797" s="540"/>
      <c r="BQ797" s="540"/>
      <c r="BR797" s="540"/>
      <c r="BS797" s="540"/>
      <c r="BT797" s="540"/>
      <c r="BU797" s="540"/>
      <c r="BV797" s="540"/>
      <c r="BW797" s="540"/>
      <c r="BX797" s="540"/>
      <c r="BY797" s="540"/>
      <c r="BZ797" s="540"/>
      <c r="CA797" s="540"/>
      <c r="CB797" s="540"/>
      <c r="CC797" s="540"/>
      <c r="CD797" s="540"/>
      <c r="CE797" s="540"/>
      <c r="CF797" s="540"/>
      <c r="CG797" s="540"/>
      <c r="CH797" s="540"/>
      <c r="CI797" s="540"/>
      <c r="CJ797" s="540"/>
      <c r="CK797" s="540"/>
      <c r="CL797" s="540"/>
      <c r="CM797" s="540"/>
      <c r="CN797" s="540"/>
      <c r="CO797" s="540"/>
      <c r="CP797" s="540"/>
      <c r="CQ797" s="540"/>
      <c r="CR797" s="540"/>
      <c r="CS797" s="540"/>
      <c r="CT797" s="540"/>
      <c r="CU797" s="540"/>
      <c r="CV797" s="540"/>
      <c r="CW797" s="540"/>
      <c r="CX797" s="540"/>
      <c r="CY797" s="540"/>
      <c r="CZ797" s="540"/>
      <c r="DA797" s="540"/>
      <c r="DB797" s="540"/>
      <c r="DC797" s="540"/>
      <c r="DD797" s="540"/>
      <c r="DE797" s="540"/>
    </row>
    <row r="798" spans="1:109" s="116" customFormat="1" x14ac:dyDescent="0.2">
      <c r="A798" s="435"/>
      <c r="B798" s="435"/>
      <c r="C798" s="435"/>
      <c r="D798" s="435"/>
      <c r="AB798" s="540"/>
      <c r="AU798" s="540"/>
      <c r="AV798" s="540"/>
      <c r="AW798" s="540"/>
      <c r="AX798" s="540"/>
      <c r="AY798" s="540"/>
      <c r="AZ798" s="540"/>
      <c r="BA798" s="540"/>
      <c r="BB798" s="540"/>
      <c r="BC798" s="540"/>
      <c r="BD798" s="540"/>
      <c r="BE798" s="540"/>
      <c r="BF798" s="540"/>
      <c r="BG798" s="540"/>
      <c r="BH798" s="540"/>
      <c r="BI798" s="540"/>
      <c r="BJ798" s="540"/>
      <c r="BK798" s="540"/>
      <c r="BL798" s="540"/>
      <c r="BM798" s="540"/>
      <c r="BN798" s="540"/>
      <c r="BO798" s="540"/>
      <c r="BP798" s="540"/>
      <c r="BQ798" s="540"/>
      <c r="BR798" s="540"/>
      <c r="BS798" s="540"/>
      <c r="BT798" s="540"/>
      <c r="BU798" s="540"/>
      <c r="BV798" s="540"/>
      <c r="BW798" s="540"/>
      <c r="BX798" s="540"/>
      <c r="BY798" s="540"/>
      <c r="BZ798" s="540"/>
      <c r="CA798" s="540"/>
      <c r="CB798" s="540"/>
      <c r="CC798" s="540"/>
      <c r="CD798" s="540"/>
      <c r="CE798" s="540"/>
      <c r="CF798" s="540"/>
      <c r="CG798" s="540"/>
      <c r="CH798" s="540"/>
      <c r="CI798" s="540"/>
      <c r="CJ798" s="540"/>
      <c r="CK798" s="540"/>
      <c r="CL798" s="540"/>
      <c r="CM798" s="540"/>
      <c r="CN798" s="540"/>
      <c r="CO798" s="540"/>
      <c r="CP798" s="540"/>
      <c r="CQ798" s="540"/>
      <c r="CR798" s="540"/>
      <c r="CS798" s="540"/>
      <c r="CT798" s="540"/>
      <c r="CU798" s="540"/>
      <c r="CV798" s="540"/>
      <c r="CW798" s="540"/>
      <c r="CX798" s="540"/>
      <c r="CY798" s="540"/>
      <c r="CZ798" s="540"/>
      <c r="DA798" s="540"/>
      <c r="DB798" s="540"/>
      <c r="DC798" s="540"/>
      <c r="DD798" s="540"/>
      <c r="DE798" s="540"/>
    </row>
    <row r="799" spans="1:109" s="116" customFormat="1" x14ac:dyDescent="0.2">
      <c r="A799" s="435"/>
      <c r="B799" s="435"/>
      <c r="C799" s="435"/>
      <c r="D799" s="435"/>
      <c r="AB799" s="540"/>
      <c r="AU799" s="540"/>
      <c r="AV799" s="540"/>
      <c r="AW799" s="540"/>
      <c r="AX799" s="540"/>
      <c r="AY799" s="540"/>
      <c r="AZ799" s="540"/>
      <c r="BA799" s="540"/>
      <c r="BB799" s="540"/>
      <c r="BC799" s="540"/>
      <c r="BD799" s="540"/>
      <c r="BE799" s="540"/>
      <c r="BF799" s="540"/>
      <c r="BG799" s="540"/>
      <c r="BH799" s="540"/>
      <c r="BI799" s="540"/>
      <c r="BJ799" s="540"/>
      <c r="BK799" s="540"/>
      <c r="BL799" s="540"/>
      <c r="BM799" s="540"/>
      <c r="BN799" s="540"/>
      <c r="BO799" s="540"/>
      <c r="BP799" s="540"/>
      <c r="BQ799" s="540"/>
      <c r="BR799" s="540"/>
      <c r="BS799" s="540"/>
      <c r="BT799" s="540"/>
      <c r="BU799" s="540"/>
      <c r="BV799" s="540"/>
      <c r="BW799" s="540"/>
      <c r="BX799" s="540"/>
      <c r="BY799" s="540"/>
      <c r="BZ799" s="540"/>
      <c r="CA799" s="540"/>
      <c r="CB799" s="540"/>
      <c r="CC799" s="540"/>
      <c r="CD799" s="540"/>
      <c r="CE799" s="540"/>
      <c r="CF799" s="540"/>
      <c r="CG799" s="540"/>
      <c r="CH799" s="540"/>
      <c r="CI799" s="540"/>
      <c r="CJ799" s="540"/>
      <c r="CK799" s="540"/>
      <c r="CL799" s="540"/>
      <c r="CM799" s="540"/>
      <c r="CN799" s="540"/>
      <c r="CO799" s="540"/>
      <c r="CP799" s="540"/>
      <c r="CQ799" s="540"/>
      <c r="CR799" s="540"/>
      <c r="CS799" s="540"/>
      <c r="CT799" s="540"/>
      <c r="CU799" s="540"/>
      <c r="CV799" s="540"/>
      <c r="CW799" s="540"/>
      <c r="CX799" s="540"/>
      <c r="CY799" s="540"/>
      <c r="CZ799" s="540"/>
      <c r="DA799" s="540"/>
      <c r="DB799" s="540"/>
      <c r="DC799" s="540"/>
      <c r="DD799" s="540"/>
      <c r="DE799" s="540"/>
    </row>
    <row r="800" spans="1:109" s="116" customFormat="1" x14ac:dyDescent="0.2">
      <c r="A800" s="435"/>
      <c r="B800" s="435"/>
      <c r="C800" s="435"/>
      <c r="D800" s="435"/>
      <c r="AB800" s="540"/>
      <c r="AU800" s="540"/>
      <c r="AV800" s="540"/>
      <c r="AW800" s="540"/>
      <c r="AX800" s="540"/>
      <c r="AY800" s="540"/>
      <c r="AZ800" s="540"/>
      <c r="BA800" s="540"/>
      <c r="BB800" s="540"/>
      <c r="BC800" s="540"/>
      <c r="BD800" s="540"/>
      <c r="BE800" s="540"/>
      <c r="BF800" s="540"/>
      <c r="BG800" s="540"/>
      <c r="BH800" s="540"/>
      <c r="BI800" s="540"/>
      <c r="BJ800" s="540"/>
      <c r="BK800" s="540"/>
      <c r="BL800" s="540"/>
      <c r="BM800" s="540"/>
      <c r="BN800" s="540"/>
      <c r="BO800" s="540"/>
      <c r="BP800" s="540"/>
      <c r="BQ800" s="540"/>
      <c r="BR800" s="540"/>
      <c r="BS800" s="540"/>
      <c r="BT800" s="540"/>
      <c r="BU800" s="540"/>
      <c r="BV800" s="540"/>
      <c r="BW800" s="540"/>
      <c r="BX800" s="540"/>
      <c r="BY800" s="540"/>
      <c r="BZ800" s="540"/>
      <c r="CA800" s="540"/>
      <c r="CB800" s="540"/>
      <c r="CC800" s="540"/>
      <c r="CD800" s="540"/>
      <c r="CE800" s="540"/>
      <c r="CF800" s="540"/>
      <c r="CG800" s="540"/>
      <c r="CH800" s="540"/>
      <c r="CI800" s="540"/>
      <c r="CJ800" s="540"/>
      <c r="CK800" s="540"/>
      <c r="CL800" s="540"/>
      <c r="CM800" s="540"/>
      <c r="CN800" s="540"/>
      <c r="CO800" s="540"/>
      <c r="CP800" s="540"/>
      <c r="CQ800" s="540"/>
      <c r="CR800" s="540"/>
      <c r="CS800" s="540"/>
      <c r="CT800" s="540"/>
      <c r="CU800" s="540"/>
      <c r="CV800" s="540"/>
      <c r="CW800" s="540"/>
      <c r="CX800" s="540"/>
      <c r="CY800" s="540"/>
      <c r="CZ800" s="540"/>
      <c r="DA800" s="540"/>
      <c r="DB800" s="540"/>
      <c r="DC800" s="540"/>
      <c r="DD800" s="540"/>
      <c r="DE800" s="540"/>
    </row>
    <row r="801" spans="1:109" s="116" customFormat="1" x14ac:dyDescent="0.2">
      <c r="A801" s="435"/>
      <c r="B801" s="435"/>
      <c r="C801" s="435"/>
      <c r="D801" s="435"/>
      <c r="AB801" s="540"/>
      <c r="AU801" s="540"/>
      <c r="AV801" s="540"/>
      <c r="AW801" s="540"/>
      <c r="AX801" s="540"/>
      <c r="AY801" s="540"/>
      <c r="AZ801" s="540"/>
      <c r="BA801" s="540"/>
      <c r="BB801" s="540"/>
      <c r="BC801" s="540"/>
      <c r="BD801" s="540"/>
      <c r="BE801" s="540"/>
      <c r="BF801" s="540"/>
      <c r="BG801" s="540"/>
      <c r="BH801" s="540"/>
      <c r="BI801" s="540"/>
      <c r="BJ801" s="540"/>
      <c r="BK801" s="540"/>
      <c r="BL801" s="540"/>
      <c r="BM801" s="540"/>
      <c r="BN801" s="540"/>
      <c r="BO801" s="540"/>
      <c r="BP801" s="540"/>
      <c r="BQ801" s="540"/>
      <c r="BR801" s="540"/>
      <c r="BS801" s="540"/>
      <c r="BT801" s="540"/>
      <c r="BU801" s="540"/>
      <c r="BV801" s="540"/>
      <c r="BW801" s="540"/>
      <c r="BX801" s="540"/>
      <c r="BY801" s="540"/>
      <c r="BZ801" s="540"/>
      <c r="CA801" s="540"/>
      <c r="CB801" s="540"/>
      <c r="CC801" s="540"/>
      <c r="CD801" s="540"/>
      <c r="CE801" s="540"/>
      <c r="CF801" s="540"/>
      <c r="CG801" s="540"/>
      <c r="CH801" s="540"/>
      <c r="CI801" s="540"/>
      <c r="CJ801" s="540"/>
      <c r="CK801" s="540"/>
      <c r="CL801" s="540"/>
      <c r="CM801" s="540"/>
      <c r="CN801" s="540"/>
      <c r="CO801" s="540"/>
      <c r="CP801" s="540"/>
      <c r="CQ801" s="540"/>
      <c r="CR801" s="540"/>
      <c r="CS801" s="540"/>
      <c r="CT801" s="540"/>
      <c r="CU801" s="540"/>
      <c r="CV801" s="540"/>
      <c r="CW801" s="540"/>
      <c r="CX801" s="540"/>
      <c r="CY801" s="540"/>
      <c r="CZ801" s="540"/>
      <c r="DA801" s="540"/>
      <c r="DB801" s="540"/>
      <c r="DC801" s="540"/>
      <c r="DD801" s="540"/>
      <c r="DE801" s="540"/>
    </row>
    <row r="802" spans="1:109" s="116" customFormat="1" x14ac:dyDescent="0.2">
      <c r="A802" s="435"/>
      <c r="B802" s="435"/>
      <c r="C802" s="435"/>
      <c r="D802" s="435"/>
      <c r="AB802" s="540"/>
      <c r="AU802" s="540"/>
      <c r="AV802" s="540"/>
      <c r="AW802" s="540"/>
      <c r="AX802" s="540"/>
      <c r="AY802" s="540"/>
      <c r="AZ802" s="540"/>
      <c r="BA802" s="540"/>
      <c r="BB802" s="540"/>
      <c r="BC802" s="540"/>
      <c r="BD802" s="540"/>
      <c r="BE802" s="540"/>
      <c r="BF802" s="540"/>
      <c r="BG802" s="540"/>
      <c r="BH802" s="540"/>
      <c r="BI802" s="540"/>
      <c r="BJ802" s="540"/>
      <c r="BK802" s="540"/>
      <c r="BL802" s="540"/>
      <c r="BM802" s="540"/>
      <c r="BN802" s="540"/>
      <c r="BO802" s="540"/>
      <c r="BP802" s="540"/>
      <c r="BQ802" s="540"/>
      <c r="BR802" s="540"/>
      <c r="BS802" s="540"/>
      <c r="BT802" s="540"/>
      <c r="BU802" s="540"/>
      <c r="BV802" s="540"/>
      <c r="BW802" s="540"/>
      <c r="BX802" s="540"/>
      <c r="BY802" s="540"/>
      <c r="BZ802" s="540"/>
      <c r="CA802" s="540"/>
      <c r="CB802" s="540"/>
      <c r="CC802" s="540"/>
      <c r="CD802" s="540"/>
      <c r="CE802" s="540"/>
      <c r="CF802" s="540"/>
      <c r="CG802" s="540"/>
      <c r="CH802" s="540"/>
      <c r="CI802" s="540"/>
      <c r="CJ802" s="540"/>
      <c r="CK802" s="540"/>
      <c r="CL802" s="540"/>
      <c r="CM802" s="540"/>
      <c r="CN802" s="540"/>
      <c r="CO802" s="540"/>
      <c r="CP802" s="540"/>
      <c r="CQ802" s="540"/>
      <c r="CR802" s="540"/>
      <c r="CS802" s="540"/>
      <c r="CT802" s="540"/>
      <c r="CU802" s="540"/>
      <c r="CV802" s="540"/>
      <c r="CW802" s="540"/>
      <c r="CX802" s="540"/>
      <c r="CY802" s="540"/>
      <c r="CZ802" s="540"/>
      <c r="DA802" s="540"/>
      <c r="DB802" s="540"/>
      <c r="DC802" s="540"/>
      <c r="DD802" s="540"/>
      <c r="DE802" s="540"/>
    </row>
    <row r="803" spans="1:109" s="116" customFormat="1" x14ac:dyDescent="0.2">
      <c r="A803" s="435"/>
      <c r="B803" s="435"/>
      <c r="C803" s="435"/>
      <c r="D803" s="435"/>
      <c r="AB803" s="540"/>
      <c r="AU803" s="540"/>
      <c r="AV803" s="540"/>
      <c r="AW803" s="540"/>
      <c r="AX803" s="540"/>
      <c r="AY803" s="540"/>
      <c r="AZ803" s="540"/>
      <c r="BA803" s="540"/>
      <c r="BB803" s="540"/>
      <c r="BC803" s="540"/>
      <c r="BD803" s="540"/>
      <c r="BE803" s="540"/>
      <c r="BF803" s="540"/>
      <c r="BG803" s="540"/>
      <c r="BH803" s="540"/>
      <c r="BI803" s="540"/>
      <c r="BJ803" s="540"/>
      <c r="BK803" s="540"/>
      <c r="BL803" s="540"/>
      <c r="BM803" s="540"/>
      <c r="BN803" s="540"/>
      <c r="BO803" s="540"/>
      <c r="BP803" s="540"/>
      <c r="BQ803" s="540"/>
      <c r="BR803" s="540"/>
      <c r="BS803" s="540"/>
      <c r="BT803" s="540"/>
      <c r="BU803" s="540"/>
      <c r="BV803" s="540"/>
      <c r="BW803" s="540"/>
      <c r="BX803" s="540"/>
      <c r="BY803" s="540"/>
      <c r="BZ803" s="540"/>
      <c r="CA803" s="540"/>
      <c r="CB803" s="540"/>
      <c r="CC803" s="540"/>
      <c r="CD803" s="540"/>
      <c r="CE803" s="540"/>
      <c r="CF803" s="540"/>
      <c r="CG803" s="540"/>
      <c r="CH803" s="540"/>
      <c r="CI803" s="540"/>
      <c r="CJ803" s="540"/>
      <c r="CK803" s="540"/>
      <c r="CL803" s="540"/>
      <c r="CM803" s="540"/>
      <c r="CN803" s="540"/>
      <c r="CO803" s="540"/>
      <c r="CP803" s="540"/>
      <c r="CQ803" s="540"/>
      <c r="CR803" s="540"/>
      <c r="CS803" s="540"/>
      <c r="CT803" s="540"/>
      <c r="CU803" s="540"/>
      <c r="CV803" s="540"/>
      <c r="CW803" s="540"/>
      <c r="CX803" s="540"/>
      <c r="CY803" s="540"/>
      <c r="CZ803" s="540"/>
      <c r="DA803" s="540"/>
      <c r="DB803" s="540"/>
      <c r="DC803" s="540"/>
      <c r="DD803" s="540"/>
      <c r="DE803" s="540"/>
    </row>
    <row r="804" spans="1:109" s="116" customFormat="1" x14ac:dyDescent="0.2">
      <c r="A804" s="435"/>
      <c r="B804" s="435"/>
      <c r="C804" s="435"/>
      <c r="D804" s="435"/>
      <c r="AB804" s="540"/>
      <c r="AU804" s="540"/>
      <c r="AV804" s="540"/>
      <c r="AW804" s="540"/>
      <c r="AX804" s="540"/>
      <c r="AY804" s="540"/>
      <c r="AZ804" s="540"/>
      <c r="BA804" s="540"/>
      <c r="BB804" s="540"/>
      <c r="BC804" s="540"/>
      <c r="BD804" s="540"/>
      <c r="BE804" s="540"/>
      <c r="BF804" s="540"/>
      <c r="BG804" s="540"/>
      <c r="BH804" s="540"/>
      <c r="BI804" s="540"/>
      <c r="BJ804" s="540"/>
      <c r="BK804" s="540"/>
      <c r="BL804" s="540"/>
      <c r="BM804" s="540"/>
      <c r="BN804" s="540"/>
      <c r="BO804" s="540"/>
      <c r="BP804" s="540"/>
      <c r="BQ804" s="540"/>
      <c r="BR804" s="540"/>
      <c r="BS804" s="540"/>
      <c r="BT804" s="540"/>
      <c r="BU804" s="540"/>
      <c r="BV804" s="540"/>
      <c r="BW804" s="540"/>
      <c r="BX804" s="540"/>
      <c r="BY804" s="540"/>
      <c r="BZ804" s="540"/>
      <c r="CA804" s="540"/>
      <c r="CB804" s="540"/>
      <c r="CC804" s="540"/>
      <c r="CD804" s="540"/>
      <c r="CE804" s="540"/>
      <c r="CF804" s="540"/>
      <c r="CG804" s="540"/>
      <c r="CH804" s="540"/>
      <c r="CI804" s="540"/>
      <c r="CJ804" s="540"/>
      <c r="CK804" s="540"/>
      <c r="CL804" s="540"/>
      <c r="CM804" s="540"/>
      <c r="CN804" s="540"/>
      <c r="CO804" s="540"/>
      <c r="CP804" s="540"/>
      <c r="CQ804" s="540"/>
      <c r="CR804" s="540"/>
      <c r="CS804" s="540"/>
      <c r="CT804" s="540"/>
      <c r="CU804" s="540"/>
      <c r="CV804" s="540"/>
      <c r="CW804" s="540"/>
      <c r="CX804" s="540"/>
      <c r="CY804" s="540"/>
      <c r="CZ804" s="540"/>
      <c r="DA804" s="540"/>
      <c r="DB804" s="540"/>
      <c r="DC804" s="540"/>
      <c r="DD804" s="540"/>
      <c r="DE804" s="540"/>
    </row>
    <row r="805" spans="1:109" s="116" customFormat="1" x14ac:dyDescent="0.2">
      <c r="A805" s="435"/>
      <c r="B805" s="435"/>
      <c r="C805" s="435"/>
      <c r="D805" s="435"/>
      <c r="AB805" s="540"/>
      <c r="AU805" s="540"/>
      <c r="AV805" s="540"/>
      <c r="AW805" s="540"/>
      <c r="AX805" s="540"/>
      <c r="AY805" s="540"/>
      <c r="AZ805" s="540"/>
      <c r="BA805" s="540"/>
      <c r="BB805" s="540"/>
      <c r="BC805" s="540"/>
      <c r="BD805" s="540"/>
      <c r="BE805" s="540"/>
      <c r="BF805" s="540"/>
      <c r="BG805" s="540"/>
      <c r="BH805" s="540"/>
      <c r="BI805" s="540"/>
      <c r="BJ805" s="540"/>
      <c r="BK805" s="540"/>
      <c r="BL805" s="540"/>
      <c r="BM805" s="540"/>
      <c r="BN805" s="540"/>
      <c r="BO805" s="540"/>
      <c r="BP805" s="540"/>
      <c r="BQ805" s="540"/>
      <c r="BR805" s="540"/>
      <c r="BS805" s="540"/>
      <c r="BT805" s="540"/>
      <c r="BU805" s="540"/>
      <c r="BV805" s="540"/>
      <c r="BW805" s="540"/>
      <c r="BX805" s="540"/>
      <c r="BY805" s="540"/>
      <c r="BZ805" s="540"/>
      <c r="CA805" s="540"/>
      <c r="CB805" s="540"/>
      <c r="CC805" s="540"/>
      <c r="CD805" s="540"/>
      <c r="CE805" s="540"/>
      <c r="CF805" s="540"/>
      <c r="CG805" s="540"/>
      <c r="CH805" s="540"/>
      <c r="CI805" s="540"/>
      <c r="CJ805" s="540"/>
      <c r="CK805" s="540"/>
      <c r="CL805" s="540"/>
      <c r="CM805" s="540"/>
      <c r="CN805" s="540"/>
      <c r="CO805" s="540"/>
      <c r="CP805" s="540"/>
      <c r="CQ805" s="540"/>
      <c r="CR805" s="540"/>
      <c r="CS805" s="540"/>
      <c r="CT805" s="540"/>
      <c r="CU805" s="540"/>
      <c r="CV805" s="540"/>
      <c r="CW805" s="540"/>
      <c r="CX805" s="540"/>
      <c r="CY805" s="540"/>
      <c r="CZ805" s="540"/>
      <c r="DA805" s="540"/>
      <c r="DB805" s="540"/>
      <c r="DC805" s="540"/>
      <c r="DD805" s="540"/>
      <c r="DE805" s="540"/>
    </row>
    <row r="806" spans="1:109" s="116" customFormat="1" x14ac:dyDescent="0.2">
      <c r="A806" s="435"/>
      <c r="B806" s="435"/>
      <c r="C806" s="435"/>
      <c r="D806" s="435"/>
      <c r="AB806" s="540"/>
      <c r="AU806" s="540"/>
      <c r="AV806" s="540"/>
      <c r="AW806" s="540"/>
      <c r="AX806" s="540"/>
      <c r="AY806" s="540"/>
      <c r="AZ806" s="540"/>
      <c r="BA806" s="540"/>
      <c r="BB806" s="540"/>
      <c r="BC806" s="540"/>
      <c r="BD806" s="540"/>
      <c r="BE806" s="540"/>
      <c r="BF806" s="540"/>
      <c r="BG806" s="540"/>
      <c r="BH806" s="540"/>
      <c r="BI806" s="540"/>
      <c r="BJ806" s="540"/>
      <c r="BK806" s="540"/>
      <c r="BL806" s="540"/>
      <c r="BM806" s="540"/>
      <c r="BN806" s="540"/>
      <c r="BO806" s="540"/>
      <c r="BP806" s="540"/>
      <c r="BQ806" s="540"/>
      <c r="BR806" s="540"/>
      <c r="BS806" s="540"/>
      <c r="BT806" s="540"/>
      <c r="BU806" s="540"/>
      <c r="BV806" s="540"/>
      <c r="BW806" s="540"/>
      <c r="BX806" s="540"/>
      <c r="BY806" s="540"/>
      <c r="BZ806" s="540"/>
      <c r="CA806" s="540"/>
      <c r="CB806" s="540"/>
      <c r="CC806" s="540"/>
      <c r="CD806" s="540"/>
      <c r="CE806" s="540"/>
      <c r="CF806" s="540"/>
      <c r="CG806" s="540"/>
      <c r="CH806" s="540"/>
      <c r="CI806" s="540"/>
      <c r="CJ806" s="540"/>
      <c r="CK806" s="540"/>
      <c r="CL806" s="540"/>
      <c r="CM806" s="540"/>
      <c r="CN806" s="540"/>
      <c r="CO806" s="540"/>
      <c r="CP806" s="540"/>
      <c r="CQ806" s="540"/>
      <c r="CR806" s="540"/>
      <c r="CS806" s="540"/>
      <c r="CT806" s="540"/>
      <c r="CU806" s="540"/>
      <c r="CV806" s="540"/>
      <c r="CW806" s="540"/>
      <c r="CX806" s="540"/>
      <c r="CY806" s="540"/>
      <c r="CZ806" s="540"/>
      <c r="DA806" s="540"/>
      <c r="DB806" s="540"/>
      <c r="DC806" s="540"/>
      <c r="DD806" s="540"/>
      <c r="DE806" s="540"/>
    </row>
    <row r="807" spans="1:109" s="116" customFormat="1" x14ac:dyDescent="0.2">
      <c r="A807" s="435"/>
      <c r="B807" s="435"/>
      <c r="C807" s="435"/>
      <c r="D807" s="435"/>
      <c r="AB807" s="540"/>
      <c r="AU807" s="540"/>
      <c r="AV807" s="540"/>
      <c r="AW807" s="540"/>
      <c r="AX807" s="540"/>
      <c r="AY807" s="540"/>
      <c r="AZ807" s="540"/>
      <c r="BA807" s="540"/>
      <c r="BB807" s="540"/>
      <c r="BC807" s="540"/>
      <c r="BD807" s="540"/>
      <c r="BE807" s="540"/>
      <c r="BF807" s="540"/>
      <c r="BG807" s="540"/>
      <c r="BH807" s="540"/>
      <c r="BI807" s="540"/>
      <c r="BJ807" s="540"/>
      <c r="BK807" s="540"/>
      <c r="BL807" s="540"/>
      <c r="BM807" s="540"/>
      <c r="BN807" s="540"/>
      <c r="BO807" s="540"/>
      <c r="BP807" s="540"/>
      <c r="BQ807" s="540"/>
      <c r="BR807" s="540"/>
      <c r="BS807" s="540"/>
      <c r="BT807" s="540"/>
      <c r="BU807" s="540"/>
      <c r="BV807" s="540"/>
      <c r="BW807" s="540"/>
      <c r="BX807" s="540"/>
      <c r="BY807" s="540"/>
      <c r="BZ807" s="540"/>
      <c r="CA807" s="540"/>
      <c r="CB807" s="540"/>
      <c r="CC807" s="540"/>
      <c r="CD807" s="540"/>
      <c r="CE807" s="540"/>
      <c r="CF807" s="540"/>
      <c r="CG807" s="540"/>
      <c r="CH807" s="540"/>
      <c r="CI807" s="540"/>
      <c r="CJ807" s="540"/>
      <c r="CK807" s="540"/>
      <c r="CL807" s="540"/>
      <c r="CM807" s="540"/>
      <c r="CN807" s="540"/>
      <c r="CO807" s="540"/>
      <c r="CP807" s="540"/>
      <c r="CQ807" s="540"/>
      <c r="CR807" s="540"/>
      <c r="CS807" s="540"/>
      <c r="CT807" s="540"/>
      <c r="CU807" s="540"/>
      <c r="CV807" s="540"/>
      <c r="CW807" s="540"/>
      <c r="CX807" s="540"/>
      <c r="CY807" s="540"/>
      <c r="CZ807" s="540"/>
      <c r="DA807" s="540"/>
      <c r="DB807" s="540"/>
      <c r="DC807" s="540"/>
      <c r="DD807" s="540"/>
      <c r="DE807" s="540"/>
    </row>
    <row r="808" spans="1:109" s="116" customFormat="1" x14ac:dyDescent="0.2">
      <c r="A808" s="435"/>
      <c r="B808" s="435"/>
      <c r="C808" s="435"/>
      <c r="D808" s="435"/>
      <c r="AB808" s="540"/>
      <c r="AU808" s="540"/>
      <c r="AV808" s="540"/>
      <c r="AW808" s="540"/>
      <c r="AX808" s="540"/>
      <c r="AY808" s="540"/>
      <c r="AZ808" s="540"/>
      <c r="BA808" s="540"/>
      <c r="BB808" s="540"/>
      <c r="BC808" s="540"/>
      <c r="BD808" s="540"/>
      <c r="BE808" s="540"/>
      <c r="BF808" s="540"/>
      <c r="BG808" s="540"/>
      <c r="BH808" s="540"/>
      <c r="BI808" s="540"/>
      <c r="BJ808" s="540"/>
      <c r="BK808" s="540"/>
      <c r="BL808" s="540"/>
      <c r="BM808" s="540"/>
      <c r="BN808" s="540"/>
      <c r="BO808" s="540"/>
      <c r="BP808" s="540"/>
      <c r="BQ808" s="540"/>
      <c r="BR808" s="540"/>
      <c r="BS808" s="540"/>
      <c r="BT808" s="540"/>
      <c r="BU808" s="540"/>
      <c r="BV808" s="540"/>
      <c r="BW808" s="540"/>
      <c r="BX808" s="540"/>
      <c r="BY808" s="540"/>
      <c r="BZ808" s="540"/>
      <c r="CA808" s="540"/>
      <c r="CB808" s="540"/>
      <c r="CC808" s="540"/>
      <c r="CD808" s="540"/>
      <c r="CE808" s="540"/>
      <c r="CF808" s="540"/>
      <c r="CG808" s="540"/>
      <c r="CH808" s="540"/>
      <c r="CI808" s="540"/>
      <c r="CJ808" s="540"/>
      <c r="CK808" s="540"/>
      <c r="CL808" s="540"/>
      <c r="CM808" s="540"/>
      <c r="CN808" s="540"/>
      <c r="CO808" s="540"/>
      <c r="CP808" s="540"/>
      <c r="CQ808" s="540"/>
      <c r="CR808" s="540"/>
      <c r="CS808" s="540"/>
      <c r="CT808" s="540"/>
      <c r="CU808" s="540"/>
      <c r="CV808" s="540"/>
      <c r="CW808" s="540"/>
      <c r="CX808" s="540"/>
      <c r="CY808" s="540"/>
      <c r="CZ808" s="540"/>
      <c r="DA808" s="540"/>
      <c r="DB808" s="540"/>
      <c r="DC808" s="540"/>
      <c r="DD808" s="540"/>
      <c r="DE808" s="540"/>
    </row>
    <row r="809" spans="1:109" s="116" customFormat="1" x14ac:dyDescent="0.2">
      <c r="A809" s="435"/>
      <c r="B809" s="435"/>
      <c r="C809" s="435"/>
      <c r="D809" s="435"/>
      <c r="AB809" s="540"/>
      <c r="AU809" s="540"/>
      <c r="AV809" s="540"/>
      <c r="AW809" s="540"/>
      <c r="AX809" s="540"/>
      <c r="AY809" s="540"/>
      <c r="AZ809" s="540"/>
      <c r="BA809" s="540"/>
      <c r="BB809" s="540"/>
      <c r="BC809" s="540"/>
      <c r="BD809" s="540"/>
      <c r="BE809" s="540"/>
      <c r="BF809" s="540"/>
      <c r="BG809" s="540"/>
      <c r="BH809" s="540"/>
      <c r="BI809" s="540"/>
      <c r="BJ809" s="540"/>
      <c r="BK809" s="540"/>
      <c r="BL809" s="540"/>
      <c r="BM809" s="540"/>
      <c r="BN809" s="540"/>
      <c r="BO809" s="540"/>
      <c r="BP809" s="540"/>
      <c r="BQ809" s="540"/>
      <c r="BR809" s="540"/>
      <c r="BS809" s="540"/>
      <c r="BT809" s="540"/>
      <c r="BU809" s="540"/>
      <c r="BV809" s="540"/>
      <c r="BW809" s="540"/>
      <c r="BX809" s="540"/>
      <c r="BY809" s="540"/>
      <c r="BZ809" s="540"/>
      <c r="CA809" s="540"/>
      <c r="CB809" s="540"/>
      <c r="CC809" s="540"/>
      <c r="CD809" s="540"/>
      <c r="CE809" s="540"/>
      <c r="CF809" s="540"/>
      <c r="CG809" s="540"/>
      <c r="CH809" s="540"/>
      <c r="CI809" s="540"/>
      <c r="CJ809" s="540"/>
      <c r="CK809" s="540"/>
      <c r="CL809" s="540"/>
      <c r="CM809" s="540"/>
      <c r="CN809" s="540"/>
      <c r="CO809" s="540"/>
      <c r="CP809" s="540"/>
      <c r="CQ809" s="540"/>
      <c r="CR809" s="540"/>
      <c r="CS809" s="540"/>
      <c r="CT809" s="540"/>
      <c r="CU809" s="540"/>
      <c r="CV809" s="540"/>
      <c r="CW809" s="540"/>
      <c r="CX809" s="540"/>
      <c r="CY809" s="540"/>
      <c r="CZ809" s="540"/>
      <c r="DA809" s="540"/>
      <c r="DB809" s="540"/>
      <c r="DC809" s="540"/>
      <c r="DD809" s="540"/>
      <c r="DE809" s="540"/>
    </row>
    <row r="810" spans="1:109" s="116" customFormat="1" x14ac:dyDescent="0.2">
      <c r="A810" s="435"/>
      <c r="B810" s="435"/>
      <c r="C810" s="435"/>
      <c r="D810" s="435"/>
      <c r="AB810" s="540"/>
      <c r="AU810" s="540"/>
      <c r="AV810" s="540"/>
      <c r="AW810" s="540"/>
      <c r="AX810" s="540"/>
      <c r="AY810" s="540"/>
      <c r="AZ810" s="540"/>
      <c r="BA810" s="540"/>
      <c r="BB810" s="540"/>
      <c r="BC810" s="540"/>
      <c r="BD810" s="540"/>
      <c r="BE810" s="540"/>
      <c r="BF810" s="540"/>
      <c r="BG810" s="540"/>
      <c r="BH810" s="540"/>
      <c r="BI810" s="540"/>
      <c r="BJ810" s="540"/>
      <c r="BK810" s="540"/>
      <c r="BL810" s="540"/>
      <c r="BM810" s="540"/>
      <c r="BN810" s="540"/>
      <c r="BO810" s="540"/>
      <c r="BP810" s="540"/>
      <c r="BQ810" s="540"/>
      <c r="BR810" s="540"/>
      <c r="BS810" s="540"/>
      <c r="BT810" s="540"/>
      <c r="BU810" s="540"/>
      <c r="BV810" s="540"/>
      <c r="BW810" s="540"/>
      <c r="BX810" s="540"/>
      <c r="BY810" s="540"/>
      <c r="BZ810" s="540"/>
      <c r="CA810" s="540"/>
      <c r="CB810" s="540"/>
      <c r="CC810" s="540"/>
      <c r="CD810" s="540"/>
      <c r="CE810" s="540"/>
      <c r="CF810" s="540"/>
      <c r="CG810" s="540"/>
      <c r="CH810" s="540"/>
      <c r="CI810" s="540"/>
      <c r="CJ810" s="540"/>
      <c r="CK810" s="540"/>
      <c r="CL810" s="540"/>
      <c r="CM810" s="540"/>
      <c r="CN810" s="540"/>
      <c r="CO810" s="540"/>
      <c r="CP810" s="540"/>
      <c r="CQ810" s="540"/>
      <c r="CR810" s="540"/>
      <c r="CS810" s="540"/>
      <c r="CT810" s="540"/>
      <c r="CU810" s="540"/>
      <c r="CV810" s="540"/>
      <c r="CW810" s="540"/>
      <c r="CX810" s="540"/>
      <c r="CY810" s="540"/>
      <c r="CZ810" s="540"/>
      <c r="DA810" s="540"/>
      <c r="DB810" s="540"/>
      <c r="DC810" s="540"/>
      <c r="DD810" s="540"/>
      <c r="DE810" s="540"/>
    </row>
    <row r="811" spans="1:109" s="116" customFormat="1" x14ac:dyDescent="0.2">
      <c r="A811" s="435"/>
      <c r="B811" s="435"/>
      <c r="C811" s="435"/>
      <c r="D811" s="435"/>
      <c r="AB811" s="540"/>
      <c r="AU811" s="540"/>
      <c r="AV811" s="540"/>
      <c r="AW811" s="540"/>
      <c r="AX811" s="540"/>
      <c r="AY811" s="540"/>
      <c r="AZ811" s="540"/>
      <c r="BA811" s="540"/>
      <c r="BB811" s="540"/>
      <c r="BC811" s="540"/>
      <c r="BD811" s="540"/>
      <c r="BE811" s="540"/>
      <c r="BF811" s="540"/>
      <c r="BG811" s="540"/>
      <c r="BH811" s="540"/>
      <c r="BI811" s="540"/>
      <c r="BJ811" s="540"/>
      <c r="BK811" s="540"/>
      <c r="BL811" s="540"/>
      <c r="BM811" s="540"/>
      <c r="BN811" s="540"/>
      <c r="BO811" s="540"/>
      <c r="BP811" s="540"/>
      <c r="BQ811" s="540"/>
      <c r="BR811" s="540"/>
      <c r="BS811" s="540"/>
      <c r="BT811" s="540"/>
      <c r="BU811" s="540"/>
      <c r="BV811" s="540"/>
      <c r="BW811" s="540"/>
      <c r="BX811" s="540"/>
      <c r="BY811" s="540"/>
      <c r="BZ811" s="540"/>
      <c r="CA811" s="540"/>
      <c r="CB811" s="540"/>
      <c r="CC811" s="540"/>
      <c r="CD811" s="540"/>
      <c r="CE811" s="540"/>
      <c r="CF811" s="540"/>
      <c r="CG811" s="540"/>
      <c r="CH811" s="540"/>
      <c r="CI811" s="540"/>
      <c r="CJ811" s="540"/>
      <c r="CK811" s="540"/>
      <c r="CL811" s="540"/>
      <c r="CM811" s="540"/>
      <c r="CN811" s="540"/>
      <c r="CO811" s="540"/>
      <c r="CP811" s="540"/>
      <c r="CQ811" s="540"/>
      <c r="CR811" s="540"/>
      <c r="CS811" s="540"/>
      <c r="CT811" s="540"/>
      <c r="CU811" s="540"/>
      <c r="CV811" s="540"/>
      <c r="CW811" s="540"/>
      <c r="CX811" s="540"/>
      <c r="CY811" s="540"/>
      <c r="CZ811" s="540"/>
      <c r="DA811" s="540"/>
      <c r="DB811" s="540"/>
      <c r="DC811" s="540"/>
      <c r="DD811" s="540"/>
      <c r="DE811" s="540"/>
    </row>
    <row r="812" spans="1:109" s="116" customFormat="1" x14ac:dyDescent="0.2">
      <c r="A812" s="435"/>
      <c r="B812" s="435"/>
      <c r="C812" s="435"/>
      <c r="D812" s="435"/>
      <c r="AB812" s="540"/>
      <c r="AU812" s="540"/>
      <c r="AV812" s="540"/>
      <c r="AW812" s="540"/>
      <c r="AX812" s="540"/>
      <c r="AY812" s="540"/>
      <c r="AZ812" s="540"/>
      <c r="BA812" s="540"/>
      <c r="BB812" s="540"/>
      <c r="BC812" s="540"/>
      <c r="BD812" s="540"/>
      <c r="BE812" s="540"/>
      <c r="BF812" s="540"/>
      <c r="BG812" s="540"/>
      <c r="BH812" s="540"/>
      <c r="BI812" s="540"/>
      <c r="BJ812" s="540"/>
      <c r="BK812" s="540"/>
      <c r="BL812" s="540"/>
      <c r="BM812" s="540"/>
      <c r="BN812" s="540"/>
      <c r="BO812" s="540"/>
      <c r="BP812" s="540"/>
      <c r="BQ812" s="540"/>
      <c r="BR812" s="540"/>
      <c r="BS812" s="540"/>
      <c r="BT812" s="540"/>
      <c r="BU812" s="540"/>
      <c r="BV812" s="540"/>
      <c r="BW812" s="540"/>
      <c r="BX812" s="540"/>
      <c r="BY812" s="540"/>
      <c r="BZ812" s="540"/>
      <c r="CA812" s="540"/>
      <c r="CB812" s="540"/>
      <c r="CC812" s="540"/>
      <c r="CD812" s="540"/>
      <c r="CE812" s="540"/>
      <c r="CF812" s="540"/>
      <c r="CG812" s="540"/>
      <c r="CH812" s="540"/>
      <c r="CI812" s="540"/>
      <c r="CJ812" s="540"/>
      <c r="CK812" s="540"/>
      <c r="CL812" s="540"/>
      <c r="CM812" s="540"/>
      <c r="CN812" s="540"/>
      <c r="CO812" s="540"/>
      <c r="CP812" s="540"/>
      <c r="CQ812" s="540"/>
      <c r="CR812" s="540"/>
      <c r="CS812" s="540"/>
      <c r="CT812" s="540"/>
      <c r="CU812" s="540"/>
      <c r="CV812" s="540"/>
      <c r="CW812" s="540"/>
      <c r="CX812" s="540"/>
      <c r="CY812" s="540"/>
      <c r="CZ812" s="540"/>
      <c r="DA812" s="540"/>
      <c r="DB812" s="540"/>
      <c r="DC812" s="540"/>
      <c r="DD812" s="540"/>
      <c r="DE812" s="540"/>
    </row>
    <row r="813" spans="1:109" s="116" customFormat="1" x14ac:dyDescent="0.2">
      <c r="A813" s="435"/>
      <c r="B813" s="435"/>
      <c r="C813" s="435"/>
      <c r="D813" s="435"/>
      <c r="AB813" s="540"/>
      <c r="AU813" s="540"/>
      <c r="AV813" s="540"/>
      <c r="AW813" s="540"/>
      <c r="AX813" s="540"/>
      <c r="AY813" s="540"/>
      <c r="AZ813" s="540"/>
      <c r="BA813" s="540"/>
      <c r="BB813" s="540"/>
      <c r="BC813" s="540"/>
      <c r="BD813" s="540"/>
      <c r="BE813" s="540"/>
      <c r="BF813" s="540"/>
      <c r="BG813" s="540"/>
      <c r="BH813" s="540"/>
      <c r="BI813" s="540"/>
      <c r="BJ813" s="540"/>
      <c r="BK813" s="540"/>
      <c r="BL813" s="540"/>
      <c r="BM813" s="540"/>
      <c r="BN813" s="540"/>
      <c r="BO813" s="540"/>
      <c r="BP813" s="540"/>
      <c r="BQ813" s="540"/>
      <c r="BR813" s="540"/>
      <c r="BS813" s="540"/>
      <c r="BT813" s="540"/>
      <c r="BU813" s="540"/>
      <c r="BV813" s="540"/>
      <c r="BW813" s="540"/>
      <c r="BX813" s="540"/>
      <c r="BY813" s="540"/>
      <c r="BZ813" s="540"/>
      <c r="CA813" s="540"/>
      <c r="CB813" s="540"/>
      <c r="CC813" s="540"/>
      <c r="CD813" s="540"/>
      <c r="CE813" s="540"/>
      <c r="CF813" s="540"/>
      <c r="CG813" s="540"/>
      <c r="CH813" s="540"/>
      <c r="CI813" s="540"/>
      <c r="CJ813" s="540"/>
      <c r="CK813" s="540"/>
      <c r="CL813" s="540"/>
      <c r="CM813" s="540"/>
      <c r="CN813" s="540"/>
      <c r="CO813" s="540"/>
      <c r="CP813" s="540"/>
      <c r="CQ813" s="540"/>
      <c r="CR813" s="540"/>
      <c r="CS813" s="540"/>
      <c r="CT813" s="540"/>
      <c r="CU813" s="540"/>
      <c r="CV813" s="540"/>
      <c r="CW813" s="540"/>
      <c r="CX813" s="540"/>
      <c r="CY813" s="540"/>
      <c r="CZ813" s="540"/>
      <c r="DA813" s="540"/>
      <c r="DB813" s="540"/>
      <c r="DC813" s="540"/>
      <c r="DD813" s="540"/>
      <c r="DE813" s="540"/>
    </row>
    <row r="814" spans="1:109" s="116" customFormat="1" x14ac:dyDescent="0.2">
      <c r="A814" s="435"/>
      <c r="B814" s="435"/>
      <c r="C814" s="435"/>
      <c r="D814" s="435"/>
      <c r="AB814" s="540"/>
      <c r="AU814" s="540"/>
      <c r="AV814" s="540"/>
      <c r="AW814" s="540"/>
      <c r="AX814" s="540"/>
      <c r="AY814" s="540"/>
      <c r="AZ814" s="540"/>
      <c r="BA814" s="540"/>
      <c r="BB814" s="540"/>
      <c r="BC814" s="540"/>
      <c r="BD814" s="540"/>
      <c r="BE814" s="540"/>
      <c r="BF814" s="540"/>
      <c r="BG814" s="540"/>
      <c r="BH814" s="540"/>
      <c r="BI814" s="540"/>
      <c r="BJ814" s="540"/>
      <c r="BK814" s="540"/>
      <c r="BL814" s="540"/>
      <c r="BM814" s="540"/>
      <c r="BN814" s="540"/>
      <c r="BO814" s="540"/>
      <c r="BP814" s="540"/>
      <c r="BQ814" s="540"/>
      <c r="BR814" s="540"/>
      <c r="BS814" s="540"/>
      <c r="BT814" s="540"/>
      <c r="BU814" s="540"/>
      <c r="BV814" s="540"/>
      <c r="BW814" s="540"/>
      <c r="BX814" s="540"/>
      <c r="BY814" s="540"/>
      <c r="BZ814" s="540"/>
      <c r="CA814" s="540"/>
      <c r="CB814" s="540"/>
      <c r="CC814" s="540"/>
      <c r="CD814" s="540"/>
      <c r="CE814" s="540"/>
      <c r="CF814" s="540"/>
      <c r="CG814" s="540"/>
      <c r="CH814" s="540"/>
      <c r="CI814" s="540"/>
      <c r="CJ814" s="540"/>
      <c r="CK814" s="540"/>
      <c r="CL814" s="540"/>
      <c r="CM814" s="540"/>
      <c r="CN814" s="540"/>
      <c r="CO814" s="540"/>
      <c r="CP814" s="540"/>
      <c r="CQ814" s="540"/>
      <c r="CR814" s="540"/>
      <c r="CS814" s="540"/>
      <c r="CT814" s="540"/>
      <c r="CU814" s="540"/>
      <c r="CV814" s="540"/>
      <c r="CW814" s="540"/>
      <c r="CX814" s="540"/>
      <c r="CY814" s="540"/>
      <c r="CZ814" s="540"/>
      <c r="DA814" s="540"/>
      <c r="DB814" s="540"/>
      <c r="DC814" s="540"/>
      <c r="DD814" s="540"/>
      <c r="DE814" s="540"/>
    </row>
    <row r="815" spans="1:109" s="116" customFormat="1" x14ac:dyDescent="0.2">
      <c r="A815" s="435"/>
      <c r="B815" s="435"/>
      <c r="C815" s="435"/>
      <c r="D815" s="435"/>
      <c r="AB815" s="540"/>
      <c r="AU815" s="540"/>
      <c r="AV815" s="540"/>
      <c r="AW815" s="540"/>
      <c r="AX815" s="540"/>
      <c r="AY815" s="540"/>
      <c r="AZ815" s="540"/>
      <c r="BA815" s="540"/>
      <c r="BB815" s="540"/>
      <c r="BC815" s="540"/>
      <c r="BD815" s="540"/>
      <c r="BE815" s="540"/>
      <c r="BF815" s="540"/>
      <c r="BG815" s="540"/>
      <c r="BH815" s="540"/>
      <c r="BI815" s="540"/>
      <c r="BJ815" s="540"/>
      <c r="BK815" s="540"/>
      <c r="BL815" s="540"/>
      <c r="BM815" s="540"/>
      <c r="BN815" s="540"/>
      <c r="BO815" s="540"/>
      <c r="BP815" s="540"/>
      <c r="BQ815" s="540"/>
      <c r="BR815" s="540"/>
      <c r="BS815" s="540"/>
      <c r="BT815" s="540"/>
      <c r="BU815" s="540"/>
      <c r="BV815" s="540"/>
      <c r="BW815" s="540"/>
      <c r="BX815" s="540"/>
      <c r="BY815" s="540"/>
      <c r="BZ815" s="540"/>
      <c r="CA815" s="540"/>
      <c r="CB815" s="540"/>
      <c r="CC815" s="540"/>
      <c r="CD815" s="540"/>
      <c r="CE815" s="540"/>
      <c r="CF815" s="540"/>
      <c r="CG815" s="540"/>
      <c r="CH815" s="540"/>
      <c r="CI815" s="540"/>
      <c r="CJ815" s="540"/>
      <c r="CK815" s="540"/>
      <c r="CL815" s="540"/>
      <c r="CM815" s="540"/>
      <c r="CN815" s="540"/>
      <c r="CO815" s="540"/>
      <c r="CP815" s="540"/>
      <c r="CQ815" s="540"/>
      <c r="CR815" s="540"/>
      <c r="CS815" s="540"/>
      <c r="CT815" s="540"/>
      <c r="CU815" s="540"/>
      <c r="CV815" s="540"/>
      <c r="CW815" s="540"/>
      <c r="CX815" s="540"/>
      <c r="CY815" s="540"/>
      <c r="CZ815" s="540"/>
      <c r="DA815" s="540"/>
      <c r="DB815" s="540"/>
      <c r="DC815" s="540"/>
      <c r="DD815" s="540"/>
      <c r="DE815" s="540"/>
    </row>
    <row r="816" spans="1:109" s="116" customFormat="1" x14ac:dyDescent="0.2">
      <c r="A816" s="435"/>
      <c r="B816" s="435"/>
      <c r="C816" s="435"/>
      <c r="D816" s="435"/>
      <c r="AB816" s="540"/>
      <c r="AU816" s="540"/>
      <c r="AV816" s="540"/>
      <c r="AW816" s="540"/>
      <c r="AX816" s="540"/>
      <c r="AY816" s="540"/>
      <c r="AZ816" s="540"/>
      <c r="BA816" s="540"/>
      <c r="BB816" s="540"/>
      <c r="BC816" s="540"/>
      <c r="BD816" s="540"/>
      <c r="BE816" s="540"/>
      <c r="BF816" s="540"/>
      <c r="BG816" s="540"/>
      <c r="BH816" s="540"/>
      <c r="BI816" s="540"/>
      <c r="BJ816" s="540"/>
      <c r="BK816" s="540"/>
      <c r="BL816" s="540"/>
      <c r="BM816" s="540"/>
      <c r="BN816" s="540"/>
      <c r="BO816" s="540"/>
      <c r="BP816" s="540"/>
      <c r="BQ816" s="540"/>
      <c r="BR816" s="540"/>
      <c r="BS816" s="540"/>
      <c r="BT816" s="540"/>
      <c r="BU816" s="540"/>
      <c r="BV816" s="540"/>
      <c r="BW816" s="540"/>
      <c r="BX816" s="540"/>
      <c r="BY816" s="540"/>
      <c r="BZ816" s="540"/>
      <c r="CA816" s="540"/>
      <c r="CB816" s="540"/>
      <c r="CC816" s="540"/>
      <c r="CD816" s="540"/>
      <c r="CE816" s="540"/>
      <c r="CF816" s="540"/>
      <c r="CG816" s="540"/>
      <c r="CH816" s="540"/>
      <c r="CI816" s="540"/>
      <c r="CJ816" s="540"/>
      <c r="CK816" s="540"/>
      <c r="CL816" s="540"/>
      <c r="CM816" s="540"/>
      <c r="CN816" s="540"/>
      <c r="CO816" s="540"/>
      <c r="CP816" s="540"/>
      <c r="CQ816" s="540"/>
      <c r="CR816" s="540"/>
      <c r="CS816" s="540"/>
      <c r="CT816" s="540"/>
      <c r="CU816" s="540"/>
      <c r="CV816" s="540"/>
      <c r="CW816" s="540"/>
      <c r="CX816" s="540"/>
      <c r="CY816" s="540"/>
      <c r="CZ816" s="540"/>
      <c r="DA816" s="540"/>
      <c r="DB816" s="540"/>
      <c r="DC816" s="540"/>
      <c r="DD816" s="540"/>
      <c r="DE816" s="540"/>
    </row>
    <row r="817" spans="1:109" s="116" customFormat="1" x14ac:dyDescent="0.2">
      <c r="A817" s="435"/>
      <c r="B817" s="435"/>
      <c r="C817" s="435"/>
      <c r="D817" s="435"/>
      <c r="AB817" s="540"/>
      <c r="AU817" s="540"/>
      <c r="AV817" s="540"/>
      <c r="AW817" s="540"/>
      <c r="AX817" s="540"/>
      <c r="AY817" s="540"/>
      <c r="AZ817" s="540"/>
      <c r="BA817" s="540"/>
      <c r="BB817" s="540"/>
      <c r="BC817" s="540"/>
      <c r="BD817" s="540"/>
      <c r="BE817" s="540"/>
      <c r="BF817" s="540"/>
      <c r="BG817" s="540"/>
      <c r="BH817" s="540"/>
      <c r="BI817" s="540"/>
      <c r="BJ817" s="540"/>
      <c r="BK817" s="540"/>
      <c r="BL817" s="540"/>
      <c r="BM817" s="540"/>
      <c r="BN817" s="540"/>
      <c r="BO817" s="540"/>
      <c r="BP817" s="540"/>
      <c r="BQ817" s="540"/>
      <c r="BR817" s="540"/>
      <c r="BS817" s="540"/>
      <c r="BT817" s="540"/>
      <c r="BU817" s="540"/>
      <c r="BV817" s="540"/>
      <c r="BW817" s="540"/>
      <c r="BX817" s="540"/>
      <c r="BY817" s="540"/>
      <c r="BZ817" s="540"/>
      <c r="CA817" s="540"/>
      <c r="CB817" s="540"/>
      <c r="CC817" s="540"/>
      <c r="CD817" s="540"/>
      <c r="CE817" s="540"/>
      <c r="CF817" s="540"/>
      <c r="CG817" s="540"/>
      <c r="CH817" s="540"/>
      <c r="CI817" s="540"/>
      <c r="CJ817" s="540"/>
      <c r="CK817" s="540"/>
      <c r="CL817" s="540"/>
      <c r="CM817" s="540"/>
      <c r="CN817" s="540"/>
      <c r="CO817" s="540"/>
      <c r="CP817" s="540"/>
      <c r="CQ817" s="540"/>
      <c r="CR817" s="540"/>
      <c r="CS817" s="540"/>
      <c r="CT817" s="540"/>
      <c r="CU817" s="540"/>
      <c r="CV817" s="540"/>
      <c r="CW817" s="540"/>
      <c r="CX817" s="540"/>
      <c r="CY817" s="540"/>
      <c r="CZ817" s="540"/>
      <c r="DA817" s="540"/>
      <c r="DB817" s="540"/>
      <c r="DC817" s="540"/>
      <c r="DD817" s="540"/>
      <c r="DE817" s="540"/>
    </row>
    <row r="818" spans="1:109" s="116" customFormat="1" x14ac:dyDescent="0.2">
      <c r="A818" s="435"/>
      <c r="B818" s="435"/>
      <c r="C818" s="435"/>
      <c r="D818" s="435"/>
      <c r="AB818" s="540"/>
      <c r="AU818" s="540"/>
      <c r="AV818" s="540"/>
      <c r="AW818" s="540"/>
      <c r="AX818" s="540"/>
      <c r="AY818" s="540"/>
      <c r="AZ818" s="540"/>
      <c r="BA818" s="540"/>
      <c r="BB818" s="540"/>
      <c r="BC818" s="540"/>
      <c r="BD818" s="540"/>
      <c r="BE818" s="540"/>
      <c r="BF818" s="540"/>
      <c r="BG818" s="540"/>
      <c r="BH818" s="540"/>
      <c r="BI818" s="540"/>
      <c r="BJ818" s="540"/>
      <c r="BK818" s="540"/>
      <c r="BL818" s="540"/>
      <c r="BM818" s="540"/>
      <c r="BN818" s="540"/>
      <c r="BO818" s="540"/>
      <c r="BP818" s="540"/>
      <c r="BQ818" s="540"/>
      <c r="BR818" s="540"/>
      <c r="BS818" s="540"/>
      <c r="BT818" s="540"/>
      <c r="BU818" s="540"/>
      <c r="BV818" s="540"/>
      <c r="BW818" s="540"/>
      <c r="BX818" s="540"/>
      <c r="BY818" s="540"/>
      <c r="BZ818" s="540"/>
      <c r="CA818" s="540"/>
      <c r="CB818" s="540"/>
      <c r="CC818" s="540"/>
      <c r="CD818" s="540"/>
      <c r="CE818" s="540"/>
      <c r="CF818" s="540"/>
      <c r="CG818" s="540"/>
      <c r="CH818" s="540"/>
      <c r="CI818" s="540"/>
      <c r="CJ818" s="540"/>
      <c r="CK818" s="540"/>
      <c r="CL818" s="540"/>
      <c r="CM818" s="540"/>
      <c r="CN818" s="540"/>
      <c r="CO818" s="540"/>
      <c r="CP818" s="540"/>
      <c r="CQ818" s="540"/>
      <c r="CR818" s="540"/>
      <c r="CS818" s="540"/>
      <c r="CT818" s="540"/>
      <c r="CU818" s="540"/>
      <c r="CV818" s="540"/>
      <c r="CW818" s="540"/>
      <c r="CX818" s="540"/>
      <c r="CY818" s="540"/>
      <c r="CZ818" s="540"/>
      <c r="DA818" s="540"/>
      <c r="DB818" s="540"/>
      <c r="DC818" s="540"/>
      <c r="DD818" s="540"/>
      <c r="DE818" s="540"/>
    </row>
    <row r="819" spans="1:109" s="116" customFormat="1" x14ac:dyDescent="0.2">
      <c r="A819" s="435"/>
      <c r="B819" s="435"/>
      <c r="C819" s="435"/>
      <c r="D819" s="435"/>
      <c r="AB819" s="540"/>
      <c r="AU819" s="540"/>
      <c r="AV819" s="540"/>
      <c r="AW819" s="540"/>
      <c r="AX819" s="540"/>
      <c r="AY819" s="540"/>
      <c r="AZ819" s="540"/>
      <c r="BA819" s="540"/>
      <c r="BB819" s="540"/>
      <c r="BC819" s="540"/>
      <c r="BD819" s="540"/>
      <c r="BE819" s="540"/>
      <c r="BF819" s="540"/>
      <c r="BG819" s="540"/>
      <c r="BH819" s="540"/>
      <c r="BI819" s="540"/>
      <c r="BJ819" s="540"/>
      <c r="BK819" s="540"/>
      <c r="BL819" s="540"/>
      <c r="BM819" s="540"/>
      <c r="BN819" s="540"/>
      <c r="BO819" s="540"/>
      <c r="BP819" s="540"/>
      <c r="BQ819" s="540"/>
      <c r="BR819" s="540"/>
      <c r="BS819" s="540"/>
      <c r="BT819" s="540"/>
      <c r="BU819" s="540"/>
      <c r="BV819" s="540"/>
      <c r="BW819" s="540"/>
      <c r="BX819" s="540"/>
      <c r="BY819" s="540"/>
      <c r="BZ819" s="540"/>
      <c r="CA819" s="540"/>
      <c r="CB819" s="540"/>
      <c r="CC819" s="540"/>
      <c r="CD819" s="540"/>
      <c r="CE819" s="540"/>
      <c r="CF819" s="540"/>
      <c r="CG819" s="540"/>
      <c r="CH819" s="540"/>
      <c r="CI819" s="540"/>
      <c r="CJ819" s="540"/>
      <c r="CK819" s="540"/>
      <c r="CL819" s="540"/>
      <c r="CM819" s="540"/>
      <c r="CN819" s="540"/>
      <c r="CO819" s="540"/>
      <c r="CP819" s="540"/>
      <c r="CQ819" s="540"/>
      <c r="CR819" s="540"/>
      <c r="CS819" s="540"/>
      <c r="CT819" s="540"/>
      <c r="CU819" s="540"/>
      <c r="CV819" s="540"/>
      <c r="CW819" s="540"/>
      <c r="CX819" s="540"/>
      <c r="CY819" s="540"/>
      <c r="CZ819" s="540"/>
      <c r="DA819" s="540"/>
      <c r="DB819" s="540"/>
      <c r="DC819" s="540"/>
      <c r="DD819" s="540"/>
      <c r="DE819" s="540"/>
    </row>
    <row r="820" spans="1:109" s="116" customFormat="1" x14ac:dyDescent="0.2">
      <c r="A820" s="435"/>
      <c r="B820" s="435"/>
      <c r="C820" s="435"/>
      <c r="D820" s="435"/>
      <c r="AB820" s="540"/>
      <c r="AU820" s="540"/>
      <c r="AV820" s="540"/>
      <c r="AW820" s="540"/>
      <c r="AX820" s="540"/>
      <c r="AY820" s="540"/>
      <c r="AZ820" s="540"/>
      <c r="BA820" s="540"/>
      <c r="BB820" s="540"/>
      <c r="BC820" s="540"/>
      <c r="BD820" s="540"/>
      <c r="BE820" s="540"/>
      <c r="BF820" s="540"/>
      <c r="BG820" s="540"/>
      <c r="BH820" s="540"/>
      <c r="BI820" s="540"/>
      <c r="BJ820" s="540"/>
      <c r="BK820" s="540"/>
      <c r="BL820" s="540"/>
      <c r="BM820" s="540"/>
      <c r="BN820" s="540"/>
      <c r="BO820" s="540"/>
      <c r="BP820" s="540"/>
      <c r="BQ820" s="540"/>
      <c r="BR820" s="540"/>
      <c r="BS820" s="540"/>
      <c r="BT820" s="540"/>
      <c r="BU820" s="540"/>
      <c r="BV820" s="540"/>
      <c r="BW820" s="540"/>
      <c r="BX820" s="540"/>
      <c r="BY820" s="540"/>
      <c r="BZ820" s="540"/>
      <c r="CA820" s="540"/>
      <c r="CB820" s="540"/>
      <c r="CC820" s="540"/>
      <c r="CD820" s="540"/>
      <c r="CE820" s="540"/>
      <c r="CF820" s="540"/>
      <c r="CG820" s="540"/>
      <c r="CH820" s="540"/>
      <c r="CI820" s="540"/>
      <c r="CJ820" s="540"/>
      <c r="CK820" s="540"/>
      <c r="CL820" s="540"/>
      <c r="CM820" s="540"/>
      <c r="CN820" s="540"/>
      <c r="CO820" s="540"/>
      <c r="CP820" s="540"/>
      <c r="CQ820" s="540"/>
      <c r="CR820" s="540"/>
      <c r="CS820" s="540"/>
      <c r="CT820" s="540"/>
      <c r="CU820" s="540"/>
      <c r="CV820" s="540"/>
      <c r="CW820" s="540"/>
      <c r="CX820" s="540"/>
      <c r="CY820" s="540"/>
      <c r="CZ820" s="540"/>
      <c r="DA820" s="540"/>
      <c r="DB820" s="540"/>
      <c r="DC820" s="540"/>
      <c r="DD820" s="540"/>
      <c r="DE820" s="540"/>
    </row>
    <row r="821" spans="1:109" s="116" customFormat="1" x14ac:dyDescent="0.2">
      <c r="A821" s="435"/>
      <c r="B821" s="435"/>
      <c r="C821" s="435"/>
      <c r="D821" s="435"/>
      <c r="AB821" s="540"/>
      <c r="AU821" s="540"/>
      <c r="AV821" s="540"/>
      <c r="AW821" s="540"/>
      <c r="AX821" s="540"/>
      <c r="AY821" s="540"/>
      <c r="AZ821" s="540"/>
      <c r="BA821" s="540"/>
      <c r="BB821" s="540"/>
      <c r="BC821" s="540"/>
      <c r="BD821" s="540"/>
      <c r="BE821" s="540"/>
      <c r="BF821" s="540"/>
      <c r="BG821" s="540"/>
      <c r="BH821" s="540"/>
      <c r="BI821" s="540"/>
      <c r="BJ821" s="540"/>
      <c r="BK821" s="540"/>
      <c r="BL821" s="540"/>
      <c r="BM821" s="540"/>
      <c r="BN821" s="540"/>
      <c r="BO821" s="540"/>
      <c r="BP821" s="540"/>
      <c r="BQ821" s="540"/>
      <c r="BR821" s="540"/>
      <c r="BS821" s="540"/>
      <c r="BT821" s="540"/>
      <c r="BU821" s="540"/>
      <c r="BV821" s="540"/>
      <c r="BW821" s="540"/>
      <c r="BX821" s="540"/>
      <c r="BY821" s="540"/>
      <c r="BZ821" s="540"/>
      <c r="CA821" s="540"/>
      <c r="CB821" s="540"/>
      <c r="CC821" s="540"/>
      <c r="CD821" s="540"/>
      <c r="CE821" s="540"/>
      <c r="CF821" s="540"/>
      <c r="CG821" s="540"/>
      <c r="CH821" s="540"/>
      <c r="CI821" s="540"/>
      <c r="CJ821" s="540"/>
      <c r="CK821" s="540"/>
      <c r="CL821" s="540"/>
      <c r="CM821" s="540"/>
      <c r="CN821" s="540"/>
      <c r="CO821" s="540"/>
      <c r="CP821" s="540"/>
      <c r="CQ821" s="540"/>
      <c r="CR821" s="540"/>
      <c r="CS821" s="540"/>
      <c r="CT821" s="540"/>
      <c r="CU821" s="540"/>
      <c r="CV821" s="540"/>
      <c r="CW821" s="540"/>
      <c r="CX821" s="540"/>
      <c r="CY821" s="540"/>
      <c r="CZ821" s="540"/>
      <c r="DA821" s="540"/>
      <c r="DB821" s="540"/>
      <c r="DC821" s="540"/>
      <c r="DD821" s="540"/>
      <c r="DE821" s="540"/>
    </row>
    <row r="822" spans="1:109" s="116" customFormat="1" x14ac:dyDescent="0.2">
      <c r="A822" s="435"/>
      <c r="B822" s="435"/>
      <c r="C822" s="435"/>
      <c r="D822" s="435"/>
      <c r="AB822" s="540"/>
      <c r="AU822" s="540"/>
      <c r="AV822" s="540"/>
      <c r="AW822" s="540"/>
      <c r="AX822" s="540"/>
      <c r="AY822" s="540"/>
      <c r="AZ822" s="540"/>
      <c r="BA822" s="540"/>
      <c r="BB822" s="540"/>
      <c r="BC822" s="540"/>
      <c r="BD822" s="540"/>
      <c r="BE822" s="540"/>
      <c r="BF822" s="540"/>
      <c r="BG822" s="540"/>
      <c r="BH822" s="540"/>
      <c r="BI822" s="540"/>
      <c r="BJ822" s="540"/>
      <c r="BK822" s="540"/>
      <c r="BL822" s="540"/>
      <c r="BM822" s="540"/>
      <c r="BN822" s="540"/>
      <c r="BO822" s="540"/>
      <c r="BP822" s="540"/>
      <c r="BQ822" s="540"/>
      <c r="BR822" s="540"/>
      <c r="BS822" s="540"/>
      <c r="BT822" s="540"/>
      <c r="BU822" s="540"/>
      <c r="BV822" s="540"/>
      <c r="BW822" s="540"/>
      <c r="BX822" s="540"/>
      <c r="BY822" s="540"/>
      <c r="BZ822" s="540"/>
      <c r="CA822" s="540"/>
      <c r="CB822" s="540"/>
      <c r="CC822" s="540"/>
      <c r="CD822" s="540"/>
      <c r="CE822" s="540"/>
      <c r="CF822" s="540"/>
      <c r="CG822" s="540"/>
      <c r="CH822" s="540"/>
      <c r="CI822" s="540"/>
      <c r="CJ822" s="540"/>
      <c r="CK822" s="540"/>
      <c r="CL822" s="540"/>
      <c r="CM822" s="540"/>
      <c r="CN822" s="540"/>
      <c r="CO822" s="540"/>
      <c r="CP822" s="540"/>
      <c r="CQ822" s="540"/>
      <c r="CR822" s="540"/>
      <c r="CS822" s="540"/>
      <c r="CT822" s="540"/>
      <c r="CU822" s="540"/>
      <c r="CV822" s="540"/>
      <c r="CW822" s="540"/>
      <c r="CX822" s="540"/>
      <c r="CY822" s="540"/>
      <c r="CZ822" s="540"/>
      <c r="DA822" s="540"/>
      <c r="DB822" s="540"/>
      <c r="DC822" s="540"/>
      <c r="DD822" s="540"/>
      <c r="DE822" s="540"/>
    </row>
    <row r="823" spans="1:109" s="116" customFormat="1" x14ac:dyDescent="0.2">
      <c r="A823" s="435"/>
      <c r="B823" s="435"/>
      <c r="C823" s="435"/>
      <c r="D823" s="435"/>
      <c r="AB823" s="540"/>
      <c r="AU823" s="540"/>
      <c r="AV823" s="540"/>
      <c r="AW823" s="540"/>
      <c r="AX823" s="540"/>
      <c r="AY823" s="540"/>
      <c r="AZ823" s="540"/>
      <c r="BA823" s="540"/>
      <c r="BB823" s="540"/>
      <c r="BC823" s="540"/>
      <c r="BD823" s="540"/>
      <c r="BE823" s="540"/>
      <c r="BF823" s="540"/>
      <c r="BG823" s="540"/>
      <c r="BH823" s="540"/>
      <c r="BI823" s="540"/>
      <c r="BJ823" s="540"/>
      <c r="BK823" s="540"/>
      <c r="BL823" s="540"/>
      <c r="BM823" s="540"/>
      <c r="BN823" s="540"/>
      <c r="BO823" s="540"/>
      <c r="BP823" s="540"/>
      <c r="BQ823" s="540"/>
      <c r="BR823" s="540"/>
      <c r="BS823" s="540"/>
      <c r="BT823" s="540"/>
      <c r="BU823" s="540"/>
      <c r="BV823" s="540"/>
      <c r="BW823" s="540"/>
      <c r="BX823" s="540"/>
      <c r="BY823" s="540"/>
      <c r="BZ823" s="540"/>
      <c r="CA823" s="540"/>
      <c r="CB823" s="540"/>
      <c r="CC823" s="540"/>
      <c r="CD823" s="540"/>
      <c r="CE823" s="540"/>
      <c r="CF823" s="540"/>
      <c r="CG823" s="540"/>
      <c r="CH823" s="540"/>
      <c r="CI823" s="540"/>
      <c r="CJ823" s="540"/>
      <c r="CK823" s="540"/>
      <c r="CL823" s="540"/>
      <c r="CM823" s="540"/>
      <c r="CN823" s="540"/>
      <c r="CO823" s="540"/>
      <c r="CP823" s="540"/>
      <c r="CQ823" s="540"/>
      <c r="CR823" s="540"/>
      <c r="CS823" s="540"/>
      <c r="CT823" s="540"/>
      <c r="CU823" s="540"/>
      <c r="CV823" s="540"/>
      <c r="CW823" s="540"/>
      <c r="CX823" s="540"/>
      <c r="CY823" s="540"/>
      <c r="CZ823" s="540"/>
      <c r="DA823" s="540"/>
      <c r="DB823" s="540"/>
      <c r="DC823" s="540"/>
      <c r="DD823" s="540"/>
      <c r="DE823" s="540"/>
    </row>
    <row r="824" spans="1:109" s="116" customFormat="1" x14ac:dyDescent="0.2">
      <c r="A824" s="435"/>
      <c r="B824" s="435"/>
      <c r="C824" s="435"/>
      <c r="D824" s="435"/>
      <c r="AB824" s="540"/>
      <c r="AU824" s="540"/>
      <c r="AV824" s="540"/>
      <c r="AW824" s="540"/>
      <c r="AX824" s="540"/>
      <c r="AY824" s="540"/>
      <c r="AZ824" s="540"/>
      <c r="BA824" s="540"/>
      <c r="BB824" s="540"/>
      <c r="BC824" s="540"/>
      <c r="BD824" s="540"/>
      <c r="BE824" s="540"/>
      <c r="BF824" s="540"/>
      <c r="BG824" s="540"/>
      <c r="BH824" s="540"/>
      <c r="BI824" s="540"/>
      <c r="BJ824" s="540"/>
      <c r="BK824" s="540"/>
      <c r="BL824" s="540"/>
      <c r="BM824" s="540"/>
      <c r="BN824" s="540"/>
      <c r="BO824" s="540"/>
      <c r="BP824" s="540"/>
      <c r="BQ824" s="540"/>
      <c r="BR824" s="540"/>
      <c r="BS824" s="540"/>
      <c r="BT824" s="540"/>
      <c r="BU824" s="540"/>
      <c r="BV824" s="540"/>
      <c r="BW824" s="540"/>
      <c r="BX824" s="540"/>
      <c r="BY824" s="540"/>
      <c r="BZ824" s="540"/>
      <c r="CA824" s="540"/>
      <c r="CB824" s="540"/>
      <c r="CC824" s="540"/>
      <c r="CD824" s="540"/>
      <c r="CE824" s="540"/>
      <c r="CF824" s="540"/>
      <c r="CG824" s="540"/>
      <c r="CH824" s="540"/>
      <c r="CI824" s="540"/>
      <c r="CJ824" s="540"/>
      <c r="CK824" s="540"/>
      <c r="CL824" s="540"/>
      <c r="CM824" s="540"/>
      <c r="CN824" s="540"/>
      <c r="CO824" s="540"/>
      <c r="CP824" s="540"/>
      <c r="CQ824" s="540"/>
      <c r="CR824" s="540"/>
      <c r="CS824" s="540"/>
      <c r="CT824" s="540"/>
      <c r="CU824" s="540"/>
      <c r="CV824" s="540"/>
      <c r="CW824" s="540"/>
      <c r="CX824" s="540"/>
      <c r="CY824" s="540"/>
      <c r="CZ824" s="540"/>
      <c r="DA824" s="540"/>
      <c r="DB824" s="540"/>
      <c r="DC824" s="540"/>
      <c r="DD824" s="540"/>
      <c r="DE824" s="540"/>
    </row>
    <row r="825" spans="1:109" s="116" customFormat="1" x14ac:dyDescent="0.2">
      <c r="A825" s="435"/>
      <c r="B825" s="435"/>
      <c r="C825" s="435"/>
      <c r="D825" s="435"/>
      <c r="AB825" s="540"/>
      <c r="AU825" s="540"/>
      <c r="AV825" s="540"/>
      <c r="AW825" s="540"/>
      <c r="AX825" s="540"/>
      <c r="AY825" s="540"/>
      <c r="AZ825" s="540"/>
      <c r="BA825" s="540"/>
      <c r="BB825" s="540"/>
      <c r="BC825" s="540"/>
      <c r="BD825" s="540"/>
      <c r="BE825" s="540"/>
      <c r="BF825" s="540"/>
      <c r="BG825" s="540"/>
      <c r="BH825" s="540"/>
      <c r="BI825" s="540"/>
      <c r="BJ825" s="540"/>
      <c r="BK825" s="540"/>
      <c r="BL825" s="540"/>
      <c r="BM825" s="540"/>
      <c r="BN825" s="540"/>
      <c r="BO825" s="540"/>
      <c r="BP825" s="540"/>
      <c r="BQ825" s="540"/>
      <c r="BR825" s="540"/>
      <c r="BS825" s="540"/>
      <c r="BT825" s="540"/>
      <c r="BU825" s="540"/>
      <c r="BV825" s="540"/>
      <c r="BW825" s="540"/>
      <c r="BX825" s="540"/>
      <c r="BY825" s="540"/>
      <c r="BZ825" s="540"/>
      <c r="CA825" s="540"/>
      <c r="CB825" s="540"/>
      <c r="CC825" s="540"/>
      <c r="CD825" s="540"/>
      <c r="CE825" s="540"/>
      <c r="CF825" s="540"/>
      <c r="CG825" s="540"/>
      <c r="CH825" s="540"/>
      <c r="CI825" s="540"/>
      <c r="CJ825" s="540"/>
      <c r="CK825" s="540"/>
      <c r="CL825" s="540"/>
      <c r="CM825" s="540"/>
      <c r="CN825" s="540"/>
      <c r="CO825" s="540"/>
      <c r="CP825" s="540"/>
      <c r="CQ825" s="540"/>
      <c r="CR825" s="540"/>
      <c r="CS825" s="540"/>
      <c r="CT825" s="540"/>
      <c r="CU825" s="540"/>
      <c r="CV825" s="540"/>
      <c r="CW825" s="540"/>
      <c r="CX825" s="540"/>
      <c r="CY825" s="540"/>
      <c r="CZ825" s="540"/>
      <c r="DA825" s="540"/>
      <c r="DB825" s="540"/>
      <c r="DC825" s="540"/>
      <c r="DD825" s="540"/>
      <c r="DE825" s="540"/>
    </row>
    <row r="826" spans="1:109" s="116" customFormat="1" x14ac:dyDescent="0.2">
      <c r="A826" s="435"/>
      <c r="B826" s="435"/>
      <c r="C826" s="435"/>
      <c r="D826" s="435"/>
      <c r="AB826" s="540"/>
      <c r="AU826" s="540"/>
      <c r="AV826" s="540"/>
      <c r="AW826" s="540"/>
      <c r="AX826" s="540"/>
      <c r="AY826" s="540"/>
      <c r="AZ826" s="540"/>
      <c r="BA826" s="540"/>
      <c r="BB826" s="540"/>
      <c r="BC826" s="540"/>
      <c r="BD826" s="540"/>
      <c r="BE826" s="540"/>
      <c r="BF826" s="540"/>
      <c r="BG826" s="540"/>
      <c r="BH826" s="540"/>
      <c r="BI826" s="540"/>
      <c r="BJ826" s="540"/>
      <c r="BK826" s="540"/>
      <c r="BL826" s="540"/>
      <c r="BM826" s="540"/>
      <c r="BN826" s="540"/>
      <c r="BO826" s="540"/>
      <c r="BP826" s="540"/>
      <c r="BQ826" s="540"/>
      <c r="BR826" s="540"/>
      <c r="BS826" s="540"/>
      <c r="BT826" s="540"/>
      <c r="BU826" s="540"/>
      <c r="BV826" s="540"/>
      <c r="BW826" s="540"/>
      <c r="BX826" s="540"/>
      <c r="BY826" s="540"/>
      <c r="BZ826" s="540"/>
      <c r="CA826" s="540"/>
      <c r="CB826" s="540"/>
      <c r="CC826" s="540"/>
      <c r="CD826" s="540"/>
      <c r="CE826" s="540"/>
      <c r="CF826" s="540"/>
      <c r="CG826" s="540"/>
      <c r="CH826" s="540"/>
      <c r="CI826" s="540"/>
      <c r="CJ826" s="540"/>
      <c r="CK826" s="540"/>
      <c r="CL826" s="540"/>
      <c r="CM826" s="540"/>
      <c r="CN826" s="540"/>
      <c r="CO826" s="540"/>
      <c r="CP826" s="540"/>
      <c r="CQ826" s="540"/>
      <c r="CR826" s="540"/>
      <c r="CS826" s="540"/>
      <c r="CT826" s="540"/>
      <c r="CU826" s="540"/>
      <c r="CV826" s="540"/>
      <c r="CW826" s="540"/>
      <c r="CX826" s="540"/>
      <c r="CY826" s="540"/>
      <c r="CZ826" s="540"/>
      <c r="DA826" s="540"/>
      <c r="DB826" s="540"/>
      <c r="DC826" s="540"/>
      <c r="DD826" s="540"/>
      <c r="DE826" s="540"/>
    </row>
    <row r="827" spans="1:109" s="116" customFormat="1" x14ac:dyDescent="0.2">
      <c r="A827" s="435"/>
      <c r="B827" s="435"/>
      <c r="C827" s="435"/>
      <c r="D827" s="435"/>
      <c r="AB827" s="540"/>
      <c r="AU827" s="540"/>
      <c r="AV827" s="540"/>
      <c r="AW827" s="540"/>
      <c r="AX827" s="540"/>
      <c r="AY827" s="540"/>
      <c r="AZ827" s="540"/>
      <c r="BA827" s="540"/>
      <c r="BB827" s="540"/>
      <c r="BC827" s="540"/>
      <c r="BD827" s="540"/>
      <c r="BE827" s="540"/>
      <c r="BF827" s="540"/>
      <c r="BG827" s="540"/>
      <c r="BH827" s="540"/>
      <c r="BI827" s="540"/>
      <c r="BJ827" s="540"/>
      <c r="BK827" s="540"/>
      <c r="BL827" s="540"/>
      <c r="BM827" s="540"/>
      <c r="BN827" s="540"/>
      <c r="BO827" s="540"/>
      <c r="BP827" s="540"/>
      <c r="BQ827" s="540"/>
      <c r="BR827" s="540"/>
      <c r="BS827" s="540"/>
      <c r="BT827" s="540"/>
      <c r="BU827" s="540"/>
      <c r="BV827" s="540"/>
      <c r="BW827" s="540"/>
      <c r="BX827" s="540"/>
      <c r="BY827" s="540"/>
      <c r="BZ827" s="540"/>
      <c r="CA827" s="540"/>
      <c r="CB827" s="540"/>
      <c r="CC827" s="540"/>
      <c r="CD827" s="540"/>
      <c r="CE827" s="540"/>
      <c r="CF827" s="540"/>
      <c r="CG827" s="540"/>
      <c r="CH827" s="540"/>
      <c r="CI827" s="540"/>
      <c r="CJ827" s="540"/>
      <c r="CK827" s="540"/>
      <c r="CL827" s="540"/>
      <c r="CM827" s="540"/>
      <c r="CN827" s="540"/>
      <c r="CO827" s="540"/>
      <c r="CP827" s="540"/>
      <c r="CQ827" s="540"/>
      <c r="CR827" s="540"/>
      <c r="CS827" s="540"/>
      <c r="CT827" s="540"/>
      <c r="CU827" s="540"/>
      <c r="CV827" s="540"/>
      <c r="CW827" s="540"/>
      <c r="CX827" s="540"/>
      <c r="CY827" s="540"/>
      <c r="CZ827" s="540"/>
      <c r="DA827" s="540"/>
      <c r="DB827" s="540"/>
      <c r="DC827" s="540"/>
      <c r="DD827" s="540"/>
      <c r="DE827" s="540"/>
    </row>
    <row r="828" spans="1:109" s="116" customFormat="1" x14ac:dyDescent="0.2">
      <c r="A828" s="435"/>
      <c r="B828" s="435"/>
      <c r="C828" s="435"/>
      <c r="D828" s="435"/>
      <c r="AB828" s="540"/>
      <c r="AU828" s="540"/>
      <c r="AV828" s="540"/>
      <c r="AW828" s="540"/>
      <c r="AX828" s="540"/>
      <c r="AY828" s="540"/>
      <c r="AZ828" s="540"/>
      <c r="BA828" s="540"/>
      <c r="BB828" s="540"/>
      <c r="BC828" s="540"/>
      <c r="BD828" s="540"/>
      <c r="BE828" s="540"/>
      <c r="BF828" s="540"/>
      <c r="BG828" s="540"/>
      <c r="BH828" s="540"/>
      <c r="BI828" s="540"/>
      <c r="BJ828" s="540"/>
      <c r="BK828" s="540"/>
      <c r="BL828" s="540"/>
      <c r="BM828" s="540"/>
      <c r="BN828" s="540"/>
      <c r="BO828" s="540"/>
      <c r="BP828" s="540"/>
      <c r="BQ828" s="540"/>
      <c r="BR828" s="540"/>
      <c r="BS828" s="540"/>
      <c r="BT828" s="540"/>
      <c r="BU828" s="540"/>
      <c r="BV828" s="540"/>
      <c r="BW828" s="540"/>
      <c r="BX828" s="540"/>
      <c r="BY828" s="540"/>
      <c r="BZ828" s="540"/>
      <c r="CA828" s="540"/>
      <c r="CB828" s="540"/>
      <c r="CC828" s="540"/>
      <c r="CD828" s="540"/>
      <c r="CE828" s="540"/>
      <c r="CF828" s="540"/>
      <c r="CG828" s="540"/>
      <c r="CH828" s="540"/>
      <c r="CI828" s="540"/>
      <c r="CJ828" s="540"/>
      <c r="CK828" s="540"/>
      <c r="CL828" s="540"/>
      <c r="CM828" s="540"/>
      <c r="CN828" s="540"/>
      <c r="CO828" s="540"/>
      <c r="CP828" s="540"/>
      <c r="CQ828" s="540"/>
      <c r="CR828" s="540"/>
      <c r="CS828" s="540"/>
      <c r="CT828" s="540"/>
      <c r="CU828" s="540"/>
      <c r="CV828" s="540"/>
      <c r="CW828" s="540"/>
      <c r="CX828" s="540"/>
      <c r="CY828" s="540"/>
      <c r="CZ828" s="540"/>
      <c r="DA828" s="540"/>
      <c r="DB828" s="540"/>
      <c r="DC828" s="540"/>
      <c r="DD828" s="540"/>
      <c r="DE828" s="540"/>
    </row>
    <row r="829" spans="1:109" s="116" customFormat="1" x14ac:dyDescent="0.2">
      <c r="A829" s="435"/>
      <c r="B829" s="435"/>
      <c r="C829" s="435"/>
      <c r="D829" s="435"/>
      <c r="AB829" s="540"/>
      <c r="AU829" s="540"/>
      <c r="AV829" s="540"/>
      <c r="AW829" s="540"/>
      <c r="AX829" s="540"/>
      <c r="AY829" s="540"/>
      <c r="AZ829" s="540"/>
      <c r="BA829" s="540"/>
      <c r="BB829" s="540"/>
      <c r="BC829" s="540"/>
      <c r="BD829" s="540"/>
      <c r="BE829" s="540"/>
      <c r="BF829" s="540"/>
      <c r="BG829" s="540"/>
      <c r="BH829" s="540"/>
      <c r="BI829" s="540"/>
      <c r="BJ829" s="540"/>
      <c r="BK829" s="540"/>
      <c r="BL829" s="540"/>
      <c r="BM829" s="540"/>
      <c r="BN829" s="540"/>
      <c r="BO829" s="540"/>
      <c r="BP829" s="540"/>
      <c r="BQ829" s="540"/>
      <c r="BR829" s="540"/>
      <c r="BS829" s="540"/>
      <c r="BT829" s="540"/>
      <c r="BU829" s="540"/>
      <c r="BV829" s="540"/>
      <c r="BW829" s="540"/>
      <c r="BX829" s="540"/>
      <c r="BY829" s="540"/>
      <c r="BZ829" s="540"/>
      <c r="CA829" s="540"/>
      <c r="CB829" s="540"/>
      <c r="CC829" s="540"/>
      <c r="CD829" s="540"/>
      <c r="CE829" s="540"/>
      <c r="CF829" s="540"/>
      <c r="CG829" s="540"/>
      <c r="CH829" s="540"/>
      <c r="CI829" s="540"/>
      <c r="CJ829" s="540"/>
      <c r="CK829" s="540"/>
      <c r="CL829" s="540"/>
      <c r="CM829" s="540"/>
      <c r="CN829" s="540"/>
      <c r="CO829" s="540"/>
      <c r="CP829" s="540"/>
      <c r="CQ829" s="540"/>
      <c r="CR829" s="540"/>
      <c r="CS829" s="540"/>
      <c r="CT829" s="540"/>
      <c r="CU829" s="540"/>
      <c r="CV829" s="540"/>
      <c r="CW829" s="540"/>
      <c r="CX829" s="540"/>
      <c r="CY829" s="540"/>
      <c r="CZ829" s="540"/>
      <c r="DA829" s="540"/>
      <c r="DB829" s="540"/>
      <c r="DC829" s="540"/>
      <c r="DD829" s="540"/>
      <c r="DE829" s="540"/>
    </row>
    <row r="830" spans="1:109" s="116" customFormat="1" x14ac:dyDescent="0.2">
      <c r="A830" s="435"/>
      <c r="B830" s="435"/>
      <c r="C830" s="435"/>
      <c r="D830" s="435"/>
      <c r="AB830" s="540"/>
      <c r="AU830" s="540"/>
      <c r="AV830" s="540"/>
      <c r="AW830" s="540"/>
      <c r="AX830" s="540"/>
      <c r="AY830" s="540"/>
      <c r="AZ830" s="540"/>
      <c r="BA830" s="540"/>
      <c r="BB830" s="540"/>
      <c r="BC830" s="540"/>
      <c r="BD830" s="540"/>
      <c r="BE830" s="540"/>
      <c r="BF830" s="540"/>
      <c r="BG830" s="540"/>
      <c r="BH830" s="540"/>
      <c r="BI830" s="540"/>
      <c r="BJ830" s="540"/>
      <c r="BK830" s="540"/>
      <c r="BL830" s="540"/>
      <c r="BM830" s="540"/>
      <c r="BN830" s="540"/>
      <c r="BO830" s="540"/>
      <c r="BP830" s="540"/>
      <c r="BQ830" s="540"/>
      <c r="BR830" s="540"/>
      <c r="BS830" s="540"/>
      <c r="BT830" s="540"/>
      <c r="BU830" s="540"/>
      <c r="BV830" s="540"/>
      <c r="BW830" s="540"/>
      <c r="BX830" s="540"/>
      <c r="BY830" s="540"/>
      <c r="BZ830" s="540"/>
      <c r="CA830" s="540"/>
      <c r="CB830" s="540"/>
      <c r="CC830" s="540"/>
      <c r="CD830" s="540"/>
      <c r="CE830" s="540"/>
      <c r="CF830" s="540"/>
      <c r="CG830" s="540"/>
      <c r="CH830" s="540"/>
      <c r="CI830" s="540"/>
      <c r="CJ830" s="540"/>
      <c r="CK830" s="540"/>
      <c r="CL830" s="540"/>
      <c r="CM830" s="540"/>
      <c r="CN830" s="540"/>
      <c r="CO830" s="540"/>
      <c r="CP830" s="540"/>
      <c r="CQ830" s="540"/>
      <c r="CR830" s="540"/>
      <c r="CS830" s="540"/>
      <c r="CT830" s="540"/>
      <c r="CU830" s="540"/>
      <c r="CV830" s="540"/>
      <c r="CW830" s="540"/>
      <c r="CX830" s="540"/>
      <c r="CY830" s="540"/>
      <c r="CZ830" s="540"/>
      <c r="DA830" s="540"/>
      <c r="DB830" s="540"/>
      <c r="DC830" s="540"/>
      <c r="DD830" s="540"/>
      <c r="DE830" s="540"/>
    </row>
    <row r="831" spans="1:109" s="116" customFormat="1" x14ac:dyDescent="0.2">
      <c r="A831" s="435"/>
      <c r="B831" s="435"/>
      <c r="C831" s="435"/>
      <c r="D831" s="435"/>
      <c r="AB831" s="540"/>
      <c r="AU831" s="540"/>
      <c r="AV831" s="540"/>
      <c r="AW831" s="540"/>
      <c r="AX831" s="540"/>
      <c r="AY831" s="540"/>
      <c r="AZ831" s="540"/>
      <c r="BA831" s="540"/>
      <c r="BB831" s="540"/>
      <c r="BC831" s="540"/>
      <c r="BD831" s="540"/>
      <c r="BE831" s="540"/>
      <c r="BF831" s="540"/>
      <c r="BG831" s="540"/>
      <c r="BH831" s="540"/>
      <c r="BI831" s="540"/>
      <c r="BJ831" s="540"/>
      <c r="BK831" s="540"/>
      <c r="BL831" s="540"/>
      <c r="BM831" s="540"/>
      <c r="BN831" s="540"/>
      <c r="BO831" s="540"/>
      <c r="BP831" s="540"/>
      <c r="BQ831" s="540"/>
      <c r="BR831" s="540"/>
      <c r="BS831" s="540"/>
      <c r="BT831" s="540"/>
      <c r="BU831" s="540"/>
      <c r="BV831" s="540"/>
      <c r="BW831" s="540"/>
      <c r="BX831" s="540"/>
      <c r="BY831" s="540"/>
      <c r="BZ831" s="540"/>
      <c r="CA831" s="540"/>
      <c r="CB831" s="540"/>
      <c r="CC831" s="540"/>
      <c r="CD831" s="540"/>
      <c r="CE831" s="540"/>
      <c r="CF831" s="540"/>
      <c r="CG831" s="540"/>
      <c r="CH831" s="540"/>
      <c r="CI831" s="540"/>
      <c r="CJ831" s="540"/>
      <c r="CK831" s="540"/>
      <c r="CL831" s="540"/>
      <c r="CM831" s="540"/>
      <c r="CN831" s="540"/>
      <c r="CO831" s="540"/>
      <c r="CP831" s="540"/>
      <c r="CQ831" s="540"/>
      <c r="CR831" s="540"/>
      <c r="CS831" s="540"/>
      <c r="CT831" s="540"/>
      <c r="CU831" s="540"/>
      <c r="CV831" s="540"/>
      <c r="CW831" s="540"/>
      <c r="CX831" s="540"/>
      <c r="CY831" s="540"/>
      <c r="CZ831" s="540"/>
      <c r="DA831" s="540"/>
      <c r="DB831" s="540"/>
      <c r="DC831" s="540"/>
      <c r="DD831" s="540"/>
      <c r="DE831" s="540"/>
    </row>
    <row r="832" spans="1:109" s="116" customFormat="1" x14ac:dyDescent="0.2">
      <c r="A832" s="435"/>
      <c r="B832" s="435"/>
      <c r="C832" s="435"/>
      <c r="D832" s="435"/>
      <c r="AB832" s="540"/>
      <c r="AU832" s="540"/>
      <c r="AV832" s="540"/>
      <c r="AW832" s="540"/>
      <c r="AX832" s="540"/>
      <c r="AY832" s="540"/>
      <c r="AZ832" s="540"/>
      <c r="BA832" s="540"/>
      <c r="BB832" s="540"/>
      <c r="BC832" s="540"/>
      <c r="BD832" s="540"/>
      <c r="BE832" s="540"/>
      <c r="BF832" s="540"/>
      <c r="BG832" s="540"/>
      <c r="BH832" s="540"/>
      <c r="BI832" s="540"/>
      <c r="BJ832" s="540"/>
      <c r="BK832" s="540"/>
      <c r="BL832" s="540"/>
      <c r="BM832" s="540"/>
      <c r="BN832" s="540"/>
      <c r="BO832" s="540"/>
      <c r="BP832" s="540"/>
      <c r="BQ832" s="540"/>
      <c r="BR832" s="540"/>
      <c r="BS832" s="540"/>
      <c r="BT832" s="540"/>
      <c r="BU832" s="540"/>
      <c r="BV832" s="540"/>
      <c r="BW832" s="540"/>
      <c r="BX832" s="540"/>
      <c r="BY832" s="540"/>
      <c r="BZ832" s="540"/>
      <c r="CA832" s="540"/>
      <c r="CB832" s="540"/>
      <c r="CC832" s="540"/>
      <c r="CD832" s="540"/>
      <c r="CE832" s="540"/>
      <c r="CF832" s="540"/>
      <c r="CG832" s="540"/>
      <c r="CH832" s="540"/>
      <c r="CI832" s="540"/>
      <c r="CJ832" s="540"/>
      <c r="CK832" s="540"/>
      <c r="CL832" s="540"/>
      <c r="CM832" s="540"/>
      <c r="CN832" s="540"/>
      <c r="CO832" s="540"/>
      <c r="CP832" s="540"/>
      <c r="CQ832" s="540"/>
      <c r="CR832" s="540"/>
      <c r="CS832" s="540"/>
      <c r="CT832" s="540"/>
      <c r="CU832" s="540"/>
      <c r="CV832" s="540"/>
      <c r="CW832" s="540"/>
      <c r="CX832" s="540"/>
      <c r="CY832" s="540"/>
      <c r="CZ832" s="540"/>
      <c r="DA832" s="540"/>
      <c r="DB832" s="540"/>
      <c r="DC832" s="540"/>
      <c r="DD832" s="540"/>
      <c r="DE832" s="540"/>
    </row>
    <row r="833" spans="1:109" s="116" customFormat="1" x14ac:dyDescent="0.2">
      <c r="A833" s="435"/>
      <c r="B833" s="435"/>
      <c r="C833" s="435"/>
      <c r="D833" s="435"/>
      <c r="AB833" s="540"/>
      <c r="AU833" s="540"/>
      <c r="AV833" s="540"/>
      <c r="AW833" s="540"/>
      <c r="AX833" s="540"/>
      <c r="AY833" s="540"/>
      <c r="AZ833" s="540"/>
      <c r="BA833" s="540"/>
      <c r="BB833" s="540"/>
      <c r="BC833" s="540"/>
      <c r="BD833" s="540"/>
      <c r="BE833" s="540"/>
      <c r="BF833" s="540"/>
      <c r="BG833" s="540"/>
      <c r="BH833" s="540"/>
      <c r="BI833" s="540"/>
      <c r="BJ833" s="540"/>
      <c r="BK833" s="540"/>
      <c r="BL833" s="540"/>
      <c r="BM833" s="540"/>
      <c r="BN833" s="540"/>
      <c r="BO833" s="540"/>
      <c r="BP833" s="540"/>
      <c r="BQ833" s="540"/>
      <c r="BR833" s="540"/>
      <c r="BS833" s="540"/>
      <c r="BT833" s="540"/>
      <c r="BU833" s="540"/>
      <c r="BV833" s="540"/>
      <c r="BW833" s="540"/>
      <c r="BX833" s="540"/>
      <c r="BY833" s="540"/>
      <c r="BZ833" s="540"/>
      <c r="CA833" s="540"/>
      <c r="CB833" s="540"/>
      <c r="CC833" s="540"/>
      <c r="CD833" s="540"/>
      <c r="CE833" s="540"/>
      <c r="CF833" s="540"/>
      <c r="CG833" s="540"/>
      <c r="CH833" s="540"/>
      <c r="CI833" s="540"/>
      <c r="CJ833" s="540"/>
      <c r="CK833" s="540"/>
      <c r="CL833" s="540"/>
      <c r="CM833" s="540"/>
      <c r="CN833" s="540"/>
      <c r="CO833" s="540"/>
      <c r="CP833" s="540"/>
      <c r="CQ833" s="540"/>
      <c r="CR833" s="540"/>
      <c r="CS833" s="540"/>
      <c r="CT833" s="540"/>
      <c r="CU833" s="540"/>
      <c r="CV833" s="540"/>
      <c r="CW833" s="540"/>
      <c r="CX833" s="540"/>
      <c r="CY833" s="540"/>
      <c r="CZ833" s="540"/>
      <c r="DA833" s="540"/>
      <c r="DB833" s="540"/>
      <c r="DC833" s="540"/>
      <c r="DD833" s="540"/>
      <c r="DE833" s="540"/>
    </row>
    <row r="834" spans="1:109" s="116" customFormat="1" x14ac:dyDescent="0.2">
      <c r="A834" s="435"/>
      <c r="B834" s="435"/>
      <c r="C834" s="435"/>
      <c r="D834" s="435"/>
      <c r="AB834" s="540"/>
      <c r="AU834" s="540"/>
      <c r="AV834" s="540"/>
      <c r="AW834" s="540"/>
      <c r="AX834" s="540"/>
      <c r="AY834" s="540"/>
      <c r="AZ834" s="540"/>
      <c r="BA834" s="540"/>
      <c r="BB834" s="540"/>
      <c r="BC834" s="540"/>
      <c r="BD834" s="540"/>
      <c r="BE834" s="540"/>
      <c r="BF834" s="540"/>
      <c r="BG834" s="540"/>
      <c r="BH834" s="540"/>
      <c r="BI834" s="540"/>
      <c r="BJ834" s="540"/>
      <c r="BK834" s="540"/>
      <c r="BL834" s="540"/>
      <c r="BM834" s="540"/>
      <c r="BN834" s="540"/>
      <c r="BO834" s="540"/>
      <c r="BP834" s="540"/>
      <c r="BQ834" s="540"/>
      <c r="BR834" s="540"/>
      <c r="BS834" s="540"/>
      <c r="BT834" s="540"/>
      <c r="BU834" s="540"/>
      <c r="BV834" s="540"/>
      <c r="BW834" s="540"/>
      <c r="BX834" s="540"/>
      <c r="BY834" s="540"/>
      <c r="BZ834" s="540"/>
      <c r="CA834" s="540"/>
      <c r="CB834" s="540"/>
      <c r="CC834" s="540"/>
      <c r="CD834" s="540"/>
      <c r="CE834" s="540"/>
      <c r="CF834" s="540"/>
      <c r="CG834" s="540"/>
      <c r="CH834" s="540"/>
      <c r="CI834" s="540"/>
      <c r="CJ834" s="540"/>
      <c r="CK834" s="540"/>
      <c r="CL834" s="540"/>
      <c r="CM834" s="540"/>
      <c r="CN834" s="540"/>
      <c r="CO834" s="540"/>
      <c r="CP834" s="540"/>
      <c r="CQ834" s="540"/>
      <c r="CR834" s="540"/>
      <c r="CS834" s="540"/>
      <c r="CT834" s="540"/>
      <c r="CU834" s="540"/>
      <c r="CV834" s="540"/>
      <c r="CW834" s="540"/>
      <c r="CX834" s="540"/>
      <c r="CY834" s="540"/>
      <c r="CZ834" s="540"/>
      <c r="DA834" s="540"/>
      <c r="DB834" s="540"/>
      <c r="DC834" s="540"/>
      <c r="DD834" s="540"/>
      <c r="DE834" s="540"/>
    </row>
    <row r="835" spans="1:109" s="116" customFormat="1" x14ac:dyDescent="0.2">
      <c r="A835" s="435"/>
      <c r="B835" s="435"/>
      <c r="C835" s="435"/>
      <c r="D835" s="435"/>
      <c r="AB835" s="540"/>
      <c r="AU835" s="540"/>
      <c r="AV835" s="540"/>
      <c r="AW835" s="540"/>
      <c r="AX835" s="540"/>
      <c r="AY835" s="540"/>
      <c r="AZ835" s="540"/>
      <c r="BA835" s="540"/>
      <c r="BB835" s="540"/>
      <c r="BC835" s="540"/>
      <c r="BD835" s="540"/>
      <c r="BE835" s="540"/>
      <c r="BF835" s="540"/>
      <c r="BG835" s="540"/>
      <c r="BH835" s="540"/>
      <c r="BI835" s="540"/>
      <c r="BJ835" s="540"/>
      <c r="BK835" s="540"/>
      <c r="BL835" s="540"/>
      <c r="BM835" s="540"/>
      <c r="BN835" s="540"/>
      <c r="BO835" s="540"/>
      <c r="BP835" s="540"/>
      <c r="BQ835" s="540"/>
      <c r="BR835" s="540"/>
      <c r="BS835" s="540"/>
      <c r="BT835" s="540"/>
      <c r="BU835" s="540"/>
      <c r="BV835" s="540"/>
      <c r="BW835" s="540"/>
      <c r="BX835" s="540"/>
      <c r="BY835" s="540"/>
      <c r="BZ835" s="540"/>
      <c r="CA835" s="540"/>
      <c r="CB835" s="540"/>
      <c r="CC835" s="540"/>
      <c r="CD835" s="540"/>
      <c r="CE835" s="540"/>
      <c r="CF835" s="540"/>
      <c r="CG835" s="540"/>
      <c r="CH835" s="540"/>
      <c r="CI835" s="540"/>
      <c r="CJ835" s="540"/>
      <c r="CK835" s="540"/>
      <c r="CL835" s="540"/>
      <c r="CM835" s="540"/>
      <c r="CN835" s="540"/>
      <c r="CO835" s="540"/>
      <c r="CP835" s="540"/>
      <c r="CQ835" s="540"/>
      <c r="CR835" s="540"/>
      <c r="CS835" s="540"/>
      <c r="CT835" s="540"/>
      <c r="CU835" s="540"/>
      <c r="CV835" s="540"/>
      <c r="CW835" s="540"/>
      <c r="CX835" s="540"/>
      <c r="CY835" s="540"/>
      <c r="CZ835" s="540"/>
      <c r="DA835" s="540"/>
      <c r="DB835" s="540"/>
      <c r="DC835" s="540"/>
      <c r="DD835" s="540"/>
      <c r="DE835" s="540"/>
    </row>
    <row r="836" spans="1:109" s="116" customFormat="1" x14ac:dyDescent="0.2">
      <c r="A836" s="435"/>
      <c r="B836" s="435"/>
      <c r="C836" s="435"/>
      <c r="D836" s="435"/>
      <c r="AB836" s="540"/>
      <c r="AU836" s="540"/>
      <c r="AV836" s="540"/>
      <c r="AW836" s="540"/>
      <c r="AX836" s="540"/>
      <c r="AY836" s="540"/>
      <c r="AZ836" s="540"/>
      <c r="BA836" s="540"/>
      <c r="BB836" s="540"/>
      <c r="BC836" s="540"/>
      <c r="BD836" s="540"/>
      <c r="BE836" s="540"/>
      <c r="BF836" s="540"/>
      <c r="BG836" s="540"/>
      <c r="BH836" s="540"/>
      <c r="BI836" s="540"/>
      <c r="BJ836" s="540"/>
      <c r="BK836" s="540"/>
      <c r="BL836" s="540"/>
      <c r="BM836" s="540"/>
      <c r="BN836" s="540"/>
      <c r="BO836" s="540"/>
      <c r="BP836" s="540"/>
      <c r="BQ836" s="540"/>
      <c r="BR836" s="540"/>
      <c r="BS836" s="540"/>
      <c r="BT836" s="540"/>
      <c r="BU836" s="540"/>
      <c r="BV836" s="540"/>
      <c r="BW836" s="540"/>
      <c r="BX836" s="540"/>
      <c r="BY836" s="540"/>
      <c r="BZ836" s="540"/>
      <c r="CA836" s="540"/>
      <c r="CB836" s="540"/>
      <c r="CC836" s="540"/>
      <c r="CD836" s="540"/>
      <c r="CE836" s="540"/>
      <c r="CF836" s="540"/>
      <c r="CG836" s="540"/>
      <c r="CH836" s="540"/>
      <c r="CI836" s="540"/>
      <c r="CJ836" s="540"/>
      <c r="CK836" s="540"/>
      <c r="CL836" s="540"/>
      <c r="CM836" s="540"/>
      <c r="CN836" s="540"/>
      <c r="CO836" s="540"/>
      <c r="CP836" s="540"/>
      <c r="CQ836" s="540"/>
      <c r="CR836" s="540"/>
      <c r="CS836" s="540"/>
      <c r="CT836" s="540"/>
      <c r="CU836" s="540"/>
      <c r="CV836" s="540"/>
      <c r="CW836" s="540"/>
      <c r="CX836" s="540"/>
      <c r="CY836" s="540"/>
      <c r="CZ836" s="540"/>
      <c r="DA836" s="540"/>
      <c r="DB836" s="540"/>
      <c r="DC836" s="540"/>
      <c r="DD836" s="540"/>
      <c r="DE836" s="540"/>
    </row>
    <row r="837" spans="1:109" s="116" customFormat="1" x14ac:dyDescent="0.2">
      <c r="A837" s="435"/>
      <c r="B837" s="435"/>
      <c r="C837" s="435"/>
      <c r="D837" s="435"/>
      <c r="AB837" s="540"/>
      <c r="AU837" s="540"/>
      <c r="AV837" s="540"/>
      <c r="AW837" s="540"/>
      <c r="AX837" s="540"/>
      <c r="AY837" s="540"/>
      <c r="AZ837" s="540"/>
      <c r="BA837" s="540"/>
      <c r="BB837" s="540"/>
      <c r="BC837" s="540"/>
      <c r="BD837" s="540"/>
      <c r="BE837" s="540"/>
      <c r="BF837" s="540"/>
      <c r="BG837" s="540"/>
      <c r="BH837" s="540"/>
      <c r="BI837" s="540"/>
      <c r="BJ837" s="540"/>
      <c r="BK837" s="540"/>
      <c r="BL837" s="540"/>
      <c r="BM837" s="540"/>
      <c r="BN837" s="540"/>
      <c r="BO837" s="540"/>
      <c r="BP837" s="540"/>
      <c r="BQ837" s="540"/>
      <c r="BR837" s="540"/>
      <c r="BS837" s="540"/>
      <c r="BT837" s="540"/>
      <c r="BU837" s="540"/>
      <c r="BV837" s="540"/>
      <c r="BW837" s="540"/>
      <c r="BX837" s="540"/>
      <c r="BY837" s="540"/>
      <c r="BZ837" s="540"/>
      <c r="CA837" s="540"/>
      <c r="CB837" s="540"/>
      <c r="CC837" s="540"/>
      <c r="CD837" s="540"/>
      <c r="CE837" s="540"/>
      <c r="CF837" s="540"/>
      <c r="CG837" s="540"/>
      <c r="CH837" s="540"/>
      <c r="CI837" s="540"/>
      <c r="CJ837" s="540"/>
      <c r="CK837" s="540"/>
      <c r="CL837" s="540"/>
      <c r="CM837" s="540"/>
      <c r="CN837" s="540"/>
      <c r="CO837" s="540"/>
      <c r="CP837" s="540"/>
      <c r="CQ837" s="540"/>
      <c r="CR837" s="540"/>
      <c r="CS837" s="540"/>
      <c r="CT837" s="540"/>
      <c r="CU837" s="540"/>
      <c r="CV837" s="540"/>
      <c r="CW837" s="540"/>
      <c r="CX837" s="540"/>
      <c r="CY837" s="540"/>
      <c r="CZ837" s="540"/>
      <c r="DA837" s="540"/>
      <c r="DB837" s="540"/>
      <c r="DC837" s="540"/>
      <c r="DD837" s="540"/>
      <c r="DE837" s="540"/>
    </row>
    <row r="838" spans="1:109" s="116" customFormat="1" x14ac:dyDescent="0.2">
      <c r="A838" s="435"/>
      <c r="B838" s="435"/>
      <c r="C838" s="435"/>
      <c r="D838" s="435"/>
      <c r="AB838" s="540"/>
      <c r="AU838" s="540"/>
      <c r="AV838" s="540"/>
      <c r="AW838" s="540"/>
      <c r="AX838" s="540"/>
      <c r="AY838" s="540"/>
      <c r="AZ838" s="540"/>
      <c r="BA838" s="540"/>
      <c r="BB838" s="540"/>
      <c r="BC838" s="540"/>
      <c r="BD838" s="540"/>
      <c r="BE838" s="540"/>
      <c r="BF838" s="540"/>
      <c r="BG838" s="540"/>
      <c r="BH838" s="540"/>
      <c r="BI838" s="540"/>
      <c r="BJ838" s="540"/>
      <c r="BK838" s="540"/>
      <c r="BL838" s="540"/>
      <c r="BM838" s="540"/>
      <c r="BN838" s="540"/>
      <c r="BO838" s="540"/>
      <c r="BP838" s="540"/>
      <c r="BQ838" s="540"/>
      <c r="BR838" s="540"/>
      <c r="BS838" s="540"/>
      <c r="BT838" s="540"/>
      <c r="BU838" s="540"/>
      <c r="BV838" s="540"/>
      <c r="BW838" s="540"/>
      <c r="BX838" s="540"/>
      <c r="BY838" s="540"/>
      <c r="BZ838" s="540"/>
      <c r="CA838" s="540"/>
      <c r="CB838" s="540"/>
      <c r="CC838" s="540"/>
      <c r="CD838" s="540"/>
      <c r="CE838" s="540"/>
      <c r="CF838" s="540"/>
      <c r="CG838" s="540"/>
      <c r="CH838" s="540"/>
      <c r="CI838" s="540"/>
      <c r="CJ838" s="540"/>
      <c r="CK838" s="540"/>
      <c r="CL838" s="540"/>
      <c r="CM838" s="540"/>
      <c r="CN838" s="540"/>
      <c r="CO838" s="540"/>
      <c r="CP838" s="540"/>
      <c r="CQ838" s="540"/>
      <c r="CR838" s="540"/>
      <c r="CS838" s="540"/>
      <c r="CT838" s="540"/>
      <c r="CU838" s="540"/>
      <c r="CV838" s="540"/>
      <c r="CW838" s="540"/>
      <c r="CX838" s="540"/>
      <c r="CY838" s="540"/>
      <c r="CZ838" s="540"/>
      <c r="DA838" s="540"/>
      <c r="DB838" s="540"/>
      <c r="DC838" s="540"/>
      <c r="DD838" s="540"/>
      <c r="DE838" s="540"/>
    </row>
    <row r="839" spans="1:109" s="116" customFormat="1" x14ac:dyDescent="0.2">
      <c r="A839" s="435"/>
      <c r="B839" s="435"/>
      <c r="C839" s="435"/>
      <c r="D839" s="435"/>
      <c r="AB839" s="540"/>
      <c r="AU839" s="540"/>
      <c r="AV839" s="540"/>
      <c r="AW839" s="540"/>
      <c r="AX839" s="540"/>
      <c r="AY839" s="540"/>
      <c r="AZ839" s="540"/>
      <c r="BA839" s="540"/>
      <c r="BB839" s="540"/>
      <c r="BC839" s="540"/>
      <c r="BD839" s="540"/>
      <c r="BE839" s="540"/>
      <c r="BF839" s="540"/>
      <c r="BG839" s="540"/>
      <c r="BH839" s="540"/>
      <c r="BI839" s="540"/>
      <c r="BJ839" s="540"/>
      <c r="BK839" s="540"/>
      <c r="BL839" s="540"/>
      <c r="BM839" s="540"/>
      <c r="BN839" s="540"/>
      <c r="BO839" s="540"/>
      <c r="BP839" s="540"/>
      <c r="BQ839" s="540"/>
      <c r="BR839" s="540"/>
      <c r="BS839" s="540"/>
      <c r="BT839" s="540"/>
      <c r="BU839" s="540"/>
      <c r="BV839" s="540"/>
      <c r="BW839" s="540"/>
      <c r="BX839" s="540"/>
      <c r="BY839" s="540"/>
      <c r="BZ839" s="540"/>
      <c r="CA839" s="540"/>
      <c r="CB839" s="540"/>
      <c r="CC839" s="540"/>
      <c r="CD839" s="540"/>
      <c r="CE839" s="540"/>
      <c r="CF839" s="540"/>
      <c r="CG839" s="540"/>
      <c r="CH839" s="540"/>
      <c r="CI839" s="540"/>
      <c r="CJ839" s="540"/>
      <c r="CK839" s="540"/>
      <c r="CL839" s="540"/>
      <c r="CM839" s="540"/>
      <c r="CN839" s="540"/>
      <c r="CO839" s="540"/>
      <c r="CP839" s="540"/>
      <c r="CQ839" s="540"/>
      <c r="CR839" s="540"/>
      <c r="CS839" s="540"/>
      <c r="CT839" s="540"/>
      <c r="CU839" s="540"/>
      <c r="CV839" s="540"/>
      <c r="CW839" s="540"/>
      <c r="CX839" s="540"/>
      <c r="CY839" s="540"/>
      <c r="CZ839" s="540"/>
      <c r="DA839" s="540"/>
      <c r="DB839" s="540"/>
      <c r="DC839" s="540"/>
      <c r="DD839" s="540"/>
      <c r="DE839" s="540"/>
    </row>
    <row r="840" spans="1:109" s="116" customFormat="1" x14ac:dyDescent="0.2">
      <c r="A840" s="435"/>
      <c r="B840" s="435"/>
      <c r="C840" s="435"/>
      <c r="D840" s="435"/>
      <c r="AB840" s="540"/>
      <c r="AU840" s="540"/>
      <c r="AV840" s="540"/>
      <c r="AW840" s="540"/>
      <c r="AX840" s="540"/>
      <c r="AY840" s="540"/>
      <c r="AZ840" s="540"/>
      <c r="BA840" s="540"/>
      <c r="BB840" s="540"/>
      <c r="BC840" s="540"/>
      <c r="BD840" s="540"/>
      <c r="BE840" s="540"/>
      <c r="BF840" s="540"/>
      <c r="BG840" s="540"/>
      <c r="BH840" s="540"/>
      <c r="BI840" s="540"/>
      <c r="BJ840" s="540"/>
      <c r="BK840" s="540"/>
      <c r="BL840" s="540"/>
      <c r="BM840" s="540"/>
      <c r="BN840" s="540"/>
      <c r="BO840" s="540"/>
      <c r="BP840" s="540"/>
      <c r="BQ840" s="540"/>
      <c r="BR840" s="540"/>
      <c r="BS840" s="540"/>
      <c r="BT840" s="540"/>
      <c r="BU840" s="540"/>
      <c r="BV840" s="540"/>
      <c r="BW840" s="540"/>
      <c r="BX840" s="540"/>
      <c r="BY840" s="540"/>
      <c r="BZ840" s="540"/>
      <c r="CA840" s="540"/>
      <c r="CB840" s="540"/>
      <c r="CC840" s="540"/>
      <c r="CD840" s="540"/>
      <c r="CE840" s="540"/>
      <c r="CF840" s="540"/>
      <c r="CG840" s="540"/>
      <c r="CH840" s="540"/>
      <c r="CI840" s="540"/>
      <c r="CJ840" s="540"/>
      <c r="CK840" s="540"/>
      <c r="CL840" s="540"/>
      <c r="CM840" s="540"/>
      <c r="CN840" s="540"/>
      <c r="CO840" s="540"/>
      <c r="CP840" s="540"/>
      <c r="CQ840" s="540"/>
      <c r="CR840" s="540"/>
      <c r="CS840" s="540"/>
      <c r="CT840" s="540"/>
      <c r="CU840" s="540"/>
      <c r="CV840" s="540"/>
      <c r="CW840" s="540"/>
      <c r="CX840" s="540"/>
      <c r="CY840" s="540"/>
      <c r="CZ840" s="540"/>
      <c r="DA840" s="540"/>
      <c r="DB840" s="540"/>
      <c r="DC840" s="540"/>
      <c r="DD840" s="540"/>
      <c r="DE840" s="540"/>
    </row>
    <row r="841" spans="1:109" s="116" customFormat="1" x14ac:dyDescent="0.2">
      <c r="A841" s="435"/>
      <c r="B841" s="435"/>
      <c r="C841" s="435"/>
      <c r="D841" s="435"/>
      <c r="AB841" s="540"/>
      <c r="AU841" s="540"/>
      <c r="AV841" s="540"/>
      <c r="AW841" s="540"/>
      <c r="AX841" s="540"/>
      <c r="AY841" s="540"/>
      <c r="AZ841" s="540"/>
      <c r="BA841" s="540"/>
      <c r="BB841" s="540"/>
      <c r="BC841" s="540"/>
      <c r="BD841" s="540"/>
      <c r="BE841" s="540"/>
      <c r="BF841" s="540"/>
      <c r="BG841" s="540"/>
      <c r="BH841" s="540"/>
      <c r="BI841" s="540"/>
      <c r="BJ841" s="540"/>
      <c r="BK841" s="540"/>
      <c r="BL841" s="540"/>
      <c r="BM841" s="540"/>
      <c r="BN841" s="540"/>
      <c r="BO841" s="540"/>
      <c r="BP841" s="540"/>
      <c r="BQ841" s="540"/>
      <c r="BR841" s="540"/>
      <c r="BS841" s="540"/>
      <c r="BT841" s="540"/>
      <c r="BU841" s="540"/>
      <c r="BV841" s="540"/>
      <c r="BW841" s="540"/>
      <c r="BX841" s="540"/>
      <c r="BY841" s="540"/>
      <c r="BZ841" s="540"/>
      <c r="CA841" s="540"/>
      <c r="CB841" s="540"/>
      <c r="CC841" s="540"/>
      <c r="CD841" s="540"/>
      <c r="CE841" s="540"/>
      <c r="CF841" s="540"/>
      <c r="CG841" s="540"/>
      <c r="CH841" s="540"/>
      <c r="CI841" s="540"/>
      <c r="CJ841" s="540"/>
      <c r="CK841" s="540"/>
      <c r="CL841" s="540"/>
      <c r="CM841" s="540"/>
      <c r="CN841" s="540"/>
      <c r="CO841" s="540"/>
      <c r="CP841" s="540"/>
      <c r="CQ841" s="540"/>
      <c r="CR841" s="540"/>
      <c r="CS841" s="540"/>
      <c r="CT841" s="540"/>
      <c r="CU841" s="540"/>
      <c r="CV841" s="540"/>
      <c r="CW841" s="540"/>
      <c r="CX841" s="540"/>
      <c r="CY841" s="540"/>
      <c r="CZ841" s="540"/>
      <c r="DA841" s="540"/>
      <c r="DB841" s="540"/>
      <c r="DC841" s="540"/>
      <c r="DD841" s="540"/>
      <c r="DE841" s="540"/>
    </row>
    <row r="842" spans="1:109" s="116" customFormat="1" x14ac:dyDescent="0.2">
      <c r="A842" s="435"/>
      <c r="B842" s="435"/>
      <c r="C842" s="435"/>
      <c r="D842" s="435"/>
      <c r="AB842" s="540"/>
      <c r="AU842" s="540"/>
      <c r="AV842" s="540"/>
      <c r="AW842" s="540"/>
      <c r="AX842" s="540"/>
      <c r="AY842" s="540"/>
      <c r="AZ842" s="540"/>
      <c r="BA842" s="540"/>
      <c r="BB842" s="540"/>
      <c r="BC842" s="540"/>
      <c r="BD842" s="540"/>
      <c r="BE842" s="540"/>
      <c r="BF842" s="540"/>
      <c r="BG842" s="540"/>
      <c r="BH842" s="540"/>
      <c r="BI842" s="540"/>
      <c r="BJ842" s="540"/>
      <c r="BK842" s="540"/>
      <c r="BL842" s="540"/>
      <c r="BM842" s="540"/>
      <c r="BN842" s="540"/>
      <c r="BO842" s="540"/>
      <c r="BP842" s="540"/>
      <c r="BQ842" s="540"/>
      <c r="BR842" s="540"/>
      <c r="BS842" s="540"/>
      <c r="BT842" s="540"/>
      <c r="BU842" s="540"/>
      <c r="BV842" s="540"/>
      <c r="BW842" s="540"/>
      <c r="BX842" s="540"/>
      <c r="BY842" s="540"/>
      <c r="BZ842" s="540"/>
      <c r="CA842" s="540"/>
      <c r="CB842" s="540"/>
      <c r="CC842" s="540"/>
      <c r="CD842" s="540"/>
      <c r="CE842" s="540"/>
      <c r="CF842" s="540"/>
      <c r="CG842" s="540"/>
      <c r="CH842" s="540"/>
      <c r="CI842" s="540"/>
      <c r="CJ842" s="540"/>
      <c r="CK842" s="540"/>
      <c r="CL842" s="540"/>
      <c r="CM842" s="540"/>
      <c r="CN842" s="540"/>
      <c r="CO842" s="540"/>
      <c r="CP842" s="540"/>
      <c r="CQ842" s="540"/>
      <c r="CR842" s="540"/>
      <c r="CS842" s="540"/>
      <c r="CT842" s="540"/>
      <c r="CU842" s="540"/>
      <c r="CV842" s="540"/>
      <c r="CW842" s="540"/>
      <c r="CX842" s="540"/>
      <c r="CY842" s="540"/>
      <c r="CZ842" s="540"/>
      <c r="DA842" s="540"/>
      <c r="DB842" s="540"/>
      <c r="DC842" s="540"/>
      <c r="DD842" s="540"/>
      <c r="DE842" s="540"/>
    </row>
    <row r="843" spans="1:109" s="116" customFormat="1" x14ac:dyDescent="0.2">
      <c r="A843" s="435"/>
      <c r="B843" s="435"/>
      <c r="C843" s="435"/>
      <c r="D843" s="435"/>
      <c r="AB843" s="540"/>
      <c r="AU843" s="540"/>
      <c r="AV843" s="540"/>
      <c r="AW843" s="540"/>
      <c r="AX843" s="540"/>
      <c r="AY843" s="540"/>
      <c r="AZ843" s="540"/>
      <c r="BA843" s="540"/>
      <c r="BB843" s="540"/>
      <c r="BC843" s="540"/>
      <c r="BD843" s="540"/>
      <c r="BE843" s="540"/>
      <c r="BF843" s="540"/>
      <c r="BG843" s="540"/>
      <c r="BH843" s="540"/>
      <c r="BI843" s="540"/>
      <c r="BJ843" s="540"/>
      <c r="BK843" s="540"/>
      <c r="BL843" s="540"/>
      <c r="BM843" s="540"/>
      <c r="BN843" s="540"/>
      <c r="BO843" s="540"/>
      <c r="BP843" s="540"/>
      <c r="BQ843" s="540"/>
      <c r="BR843" s="540"/>
      <c r="BS843" s="540"/>
      <c r="BT843" s="540"/>
      <c r="BU843" s="540"/>
      <c r="BV843" s="540"/>
      <c r="BW843" s="540"/>
      <c r="BX843" s="540"/>
      <c r="BY843" s="540"/>
      <c r="BZ843" s="540"/>
      <c r="CA843" s="540"/>
      <c r="CB843" s="540"/>
      <c r="CC843" s="540"/>
      <c r="CD843" s="540"/>
      <c r="CE843" s="540"/>
      <c r="CF843" s="540"/>
      <c r="CG843" s="540"/>
      <c r="CH843" s="540"/>
      <c r="CI843" s="540"/>
      <c r="CJ843" s="540"/>
      <c r="CK843" s="540"/>
      <c r="CL843" s="540"/>
      <c r="CM843" s="540"/>
      <c r="CN843" s="540"/>
      <c r="CO843" s="540"/>
      <c r="CP843" s="540"/>
      <c r="CQ843" s="540"/>
      <c r="CR843" s="540"/>
      <c r="CS843" s="540"/>
      <c r="CT843" s="540"/>
      <c r="CU843" s="540"/>
      <c r="CV843" s="540"/>
      <c r="CW843" s="540"/>
      <c r="CX843" s="540"/>
      <c r="CY843" s="540"/>
      <c r="CZ843" s="540"/>
      <c r="DA843" s="540"/>
      <c r="DB843" s="540"/>
      <c r="DC843" s="540"/>
      <c r="DD843" s="540"/>
      <c r="DE843" s="540"/>
    </row>
    <row r="844" spans="1:109" s="116" customFormat="1" x14ac:dyDescent="0.2">
      <c r="A844" s="435"/>
      <c r="B844" s="435"/>
      <c r="C844" s="435"/>
      <c r="D844" s="435"/>
      <c r="AB844" s="540"/>
      <c r="AU844" s="540"/>
      <c r="AV844" s="540"/>
      <c r="AW844" s="540"/>
      <c r="AX844" s="540"/>
      <c r="AY844" s="540"/>
      <c r="AZ844" s="540"/>
      <c r="BA844" s="540"/>
      <c r="BB844" s="540"/>
      <c r="BC844" s="540"/>
      <c r="BD844" s="540"/>
      <c r="BE844" s="540"/>
      <c r="BF844" s="540"/>
      <c r="BG844" s="540"/>
      <c r="BH844" s="540"/>
      <c r="BI844" s="540"/>
      <c r="BJ844" s="540"/>
      <c r="BK844" s="540"/>
      <c r="BL844" s="540"/>
      <c r="BM844" s="540"/>
      <c r="BN844" s="540"/>
      <c r="BO844" s="540"/>
      <c r="BP844" s="540"/>
      <c r="BQ844" s="540"/>
      <c r="BR844" s="540"/>
      <c r="BS844" s="540"/>
      <c r="BT844" s="540"/>
      <c r="BU844" s="540"/>
      <c r="BV844" s="540"/>
      <c r="BW844" s="540"/>
      <c r="BX844" s="540"/>
      <c r="BY844" s="540"/>
      <c r="BZ844" s="540"/>
      <c r="CA844" s="540"/>
      <c r="CB844" s="540"/>
      <c r="CC844" s="540"/>
      <c r="CD844" s="540"/>
      <c r="CE844" s="540"/>
      <c r="CF844" s="540"/>
      <c r="CG844" s="540"/>
      <c r="CH844" s="540"/>
      <c r="CI844" s="540"/>
      <c r="CJ844" s="540"/>
      <c r="CK844" s="540"/>
      <c r="CL844" s="540"/>
      <c r="CM844" s="540"/>
      <c r="CN844" s="540"/>
      <c r="CO844" s="540"/>
      <c r="CP844" s="540"/>
      <c r="CQ844" s="540"/>
      <c r="CR844" s="540"/>
      <c r="CS844" s="540"/>
      <c r="CT844" s="540"/>
      <c r="CU844" s="540"/>
      <c r="CV844" s="540"/>
      <c r="CW844" s="540"/>
      <c r="CX844" s="540"/>
      <c r="CY844" s="540"/>
      <c r="CZ844" s="540"/>
      <c r="DA844" s="540"/>
      <c r="DB844" s="540"/>
      <c r="DC844" s="540"/>
      <c r="DD844" s="540"/>
      <c r="DE844" s="540"/>
    </row>
    <row r="845" spans="1:109" s="116" customFormat="1" x14ac:dyDescent="0.2">
      <c r="A845" s="435"/>
      <c r="B845" s="435"/>
      <c r="C845" s="435"/>
      <c r="D845" s="435"/>
      <c r="AB845" s="540"/>
      <c r="AU845" s="540"/>
      <c r="AV845" s="540"/>
      <c r="AW845" s="540"/>
      <c r="AX845" s="540"/>
      <c r="AY845" s="540"/>
      <c r="AZ845" s="540"/>
      <c r="BA845" s="540"/>
      <c r="BB845" s="540"/>
      <c r="BC845" s="540"/>
      <c r="BD845" s="540"/>
      <c r="BE845" s="540"/>
      <c r="BF845" s="540"/>
      <c r="BG845" s="540"/>
      <c r="BH845" s="540"/>
      <c r="BI845" s="540"/>
      <c r="BJ845" s="540"/>
      <c r="BK845" s="540"/>
      <c r="BL845" s="540"/>
      <c r="BM845" s="540"/>
      <c r="BN845" s="540"/>
      <c r="BO845" s="540"/>
      <c r="BP845" s="540"/>
      <c r="BQ845" s="540"/>
      <c r="BR845" s="540"/>
      <c r="BS845" s="540"/>
      <c r="BT845" s="540"/>
      <c r="BU845" s="540"/>
      <c r="BV845" s="540"/>
      <c r="BW845" s="540"/>
      <c r="BX845" s="540"/>
      <c r="BY845" s="540"/>
      <c r="BZ845" s="540"/>
      <c r="CA845" s="540"/>
      <c r="CB845" s="540"/>
      <c r="CC845" s="540"/>
      <c r="CD845" s="540"/>
      <c r="CE845" s="540"/>
      <c r="CF845" s="540"/>
      <c r="CG845" s="540"/>
      <c r="CH845" s="540"/>
      <c r="CI845" s="540"/>
      <c r="CJ845" s="540"/>
      <c r="CK845" s="540"/>
      <c r="CL845" s="540"/>
      <c r="CM845" s="540"/>
      <c r="CN845" s="540"/>
      <c r="CO845" s="540"/>
      <c r="CP845" s="540"/>
      <c r="CQ845" s="540"/>
      <c r="CR845" s="540"/>
      <c r="CS845" s="540"/>
      <c r="CT845" s="540"/>
      <c r="CU845" s="540"/>
      <c r="CV845" s="540"/>
      <c r="CW845" s="540"/>
      <c r="CX845" s="540"/>
      <c r="CY845" s="540"/>
      <c r="CZ845" s="540"/>
      <c r="DA845" s="540"/>
      <c r="DB845" s="540"/>
      <c r="DC845" s="540"/>
      <c r="DD845" s="540"/>
      <c r="DE845" s="540"/>
    </row>
    <row r="846" spans="1:109" s="116" customFormat="1" x14ac:dyDescent="0.2">
      <c r="A846" s="435"/>
      <c r="B846" s="435"/>
      <c r="C846" s="435"/>
      <c r="D846" s="435"/>
      <c r="AB846" s="540"/>
      <c r="AU846" s="540"/>
      <c r="AV846" s="540"/>
      <c r="AW846" s="540"/>
      <c r="AX846" s="540"/>
      <c r="AY846" s="540"/>
      <c r="AZ846" s="540"/>
      <c r="BA846" s="540"/>
      <c r="BB846" s="540"/>
      <c r="BC846" s="540"/>
      <c r="BD846" s="540"/>
      <c r="BE846" s="540"/>
      <c r="BF846" s="540"/>
      <c r="BG846" s="540"/>
      <c r="BH846" s="540"/>
      <c r="BI846" s="540"/>
      <c r="BJ846" s="540"/>
      <c r="BK846" s="540"/>
      <c r="BL846" s="540"/>
      <c r="BM846" s="540"/>
      <c r="BN846" s="540"/>
      <c r="BO846" s="540"/>
      <c r="BP846" s="540"/>
      <c r="BQ846" s="540"/>
      <c r="BR846" s="540"/>
      <c r="BS846" s="540"/>
      <c r="BT846" s="540"/>
      <c r="BU846" s="540"/>
      <c r="BV846" s="540"/>
      <c r="BW846" s="540"/>
      <c r="BX846" s="540"/>
      <c r="BY846" s="540"/>
      <c r="BZ846" s="540"/>
      <c r="CA846" s="540"/>
      <c r="CB846" s="540"/>
      <c r="CC846" s="540"/>
      <c r="CD846" s="540"/>
      <c r="CE846" s="540"/>
      <c r="CF846" s="540"/>
      <c r="CG846" s="540"/>
      <c r="CH846" s="540"/>
      <c r="CI846" s="540"/>
      <c r="CJ846" s="540"/>
      <c r="CK846" s="540"/>
      <c r="CL846" s="540"/>
      <c r="CM846" s="540"/>
      <c r="CN846" s="540"/>
      <c r="CO846" s="540"/>
      <c r="CP846" s="540"/>
      <c r="CQ846" s="540"/>
      <c r="CR846" s="540"/>
      <c r="CS846" s="540"/>
      <c r="CT846" s="540"/>
      <c r="CU846" s="540"/>
      <c r="CV846" s="540"/>
      <c r="CW846" s="540"/>
      <c r="CX846" s="540"/>
      <c r="CY846" s="540"/>
      <c r="CZ846" s="540"/>
      <c r="DA846" s="540"/>
      <c r="DB846" s="540"/>
      <c r="DC846" s="540"/>
      <c r="DD846" s="540"/>
      <c r="DE846" s="540"/>
    </row>
    <row r="847" spans="1:109" s="116" customFormat="1" x14ac:dyDescent="0.2">
      <c r="A847" s="435"/>
      <c r="B847" s="435"/>
      <c r="C847" s="435"/>
      <c r="D847" s="435"/>
      <c r="AB847" s="540"/>
      <c r="AU847" s="540"/>
      <c r="AV847" s="540"/>
      <c r="AW847" s="540"/>
      <c r="AX847" s="540"/>
      <c r="AY847" s="540"/>
      <c r="AZ847" s="540"/>
      <c r="BA847" s="540"/>
      <c r="BB847" s="540"/>
      <c r="BC847" s="540"/>
      <c r="BD847" s="540"/>
      <c r="BE847" s="540"/>
      <c r="BF847" s="540"/>
      <c r="BG847" s="540"/>
      <c r="BH847" s="540"/>
      <c r="BI847" s="540"/>
      <c r="BJ847" s="540"/>
      <c r="BK847" s="540"/>
      <c r="BL847" s="540"/>
      <c r="BM847" s="540"/>
      <c r="BN847" s="540"/>
      <c r="BO847" s="540"/>
      <c r="BP847" s="540"/>
      <c r="BQ847" s="540"/>
      <c r="BR847" s="540"/>
      <c r="BS847" s="540"/>
      <c r="BT847" s="540"/>
      <c r="BU847" s="540"/>
      <c r="BV847" s="540"/>
      <c r="BW847" s="540"/>
      <c r="BX847" s="540"/>
      <c r="BY847" s="540"/>
      <c r="BZ847" s="540"/>
      <c r="CA847" s="540"/>
      <c r="CB847" s="540"/>
      <c r="CC847" s="540"/>
      <c r="CD847" s="540"/>
      <c r="CE847" s="540"/>
      <c r="CF847" s="540"/>
      <c r="CG847" s="540"/>
      <c r="CH847" s="540"/>
      <c r="CI847" s="540"/>
      <c r="CJ847" s="540"/>
      <c r="CK847" s="540"/>
      <c r="CL847" s="540"/>
      <c r="CM847" s="540"/>
      <c r="CN847" s="540"/>
      <c r="CO847" s="540"/>
      <c r="CP847" s="540"/>
      <c r="CQ847" s="540"/>
      <c r="CR847" s="540"/>
      <c r="CS847" s="540"/>
      <c r="CT847" s="540"/>
      <c r="CU847" s="540"/>
      <c r="CV847" s="540"/>
      <c r="CW847" s="540"/>
      <c r="CX847" s="540"/>
      <c r="CY847" s="540"/>
      <c r="CZ847" s="540"/>
      <c r="DA847" s="540"/>
      <c r="DB847" s="540"/>
      <c r="DC847" s="540"/>
      <c r="DD847" s="540"/>
      <c r="DE847" s="540"/>
    </row>
    <row r="848" spans="1:109" s="116" customFormat="1" x14ac:dyDescent="0.2">
      <c r="A848" s="435"/>
      <c r="B848" s="435"/>
      <c r="C848" s="435"/>
      <c r="D848" s="435"/>
      <c r="AB848" s="540"/>
      <c r="AU848" s="540"/>
      <c r="AV848" s="540"/>
      <c r="AW848" s="540"/>
      <c r="AX848" s="540"/>
      <c r="AY848" s="540"/>
      <c r="AZ848" s="540"/>
      <c r="BA848" s="540"/>
      <c r="BB848" s="540"/>
      <c r="BC848" s="540"/>
      <c r="BD848" s="540"/>
      <c r="BE848" s="540"/>
      <c r="BF848" s="540"/>
      <c r="BG848" s="540"/>
      <c r="BH848" s="540"/>
      <c r="BI848" s="540"/>
      <c r="BJ848" s="540"/>
      <c r="BK848" s="540"/>
      <c r="BL848" s="540"/>
      <c r="BM848" s="540"/>
      <c r="BN848" s="540"/>
      <c r="BO848" s="540"/>
      <c r="BP848" s="540"/>
      <c r="BQ848" s="540"/>
      <c r="BR848" s="540"/>
      <c r="BS848" s="540"/>
      <c r="BT848" s="540"/>
      <c r="BU848" s="540"/>
      <c r="BV848" s="540"/>
      <c r="BW848" s="540"/>
      <c r="BX848" s="540"/>
      <c r="BY848" s="540"/>
      <c r="BZ848" s="540"/>
      <c r="CA848" s="540"/>
      <c r="CB848" s="540"/>
      <c r="CC848" s="540"/>
      <c r="CD848" s="540"/>
      <c r="CE848" s="540"/>
      <c r="CF848" s="540"/>
      <c r="CG848" s="540"/>
      <c r="CH848" s="540"/>
      <c r="CI848" s="540"/>
      <c r="CJ848" s="540"/>
      <c r="CK848" s="540"/>
      <c r="CL848" s="540"/>
      <c r="CM848" s="540"/>
      <c r="CN848" s="540"/>
      <c r="CO848" s="540"/>
      <c r="CP848" s="540"/>
      <c r="CQ848" s="540"/>
      <c r="CR848" s="540"/>
      <c r="CS848" s="540"/>
      <c r="CT848" s="540"/>
      <c r="CU848" s="540"/>
      <c r="CV848" s="540"/>
      <c r="CW848" s="540"/>
      <c r="CX848" s="540"/>
      <c r="CY848" s="540"/>
      <c r="CZ848" s="540"/>
      <c r="DA848" s="540"/>
      <c r="DB848" s="540"/>
      <c r="DC848" s="540"/>
      <c r="DD848" s="540"/>
      <c r="DE848" s="540"/>
    </row>
    <row r="849" spans="1:109" s="116" customFormat="1" x14ac:dyDescent="0.2">
      <c r="A849" s="435"/>
      <c r="B849" s="435"/>
      <c r="C849" s="435"/>
      <c r="D849" s="435"/>
      <c r="AB849" s="540"/>
      <c r="AU849" s="540"/>
      <c r="AV849" s="540"/>
      <c r="AW849" s="540"/>
      <c r="AX849" s="540"/>
      <c r="AY849" s="540"/>
      <c r="AZ849" s="540"/>
      <c r="BA849" s="540"/>
      <c r="BB849" s="540"/>
      <c r="BC849" s="540"/>
      <c r="BD849" s="540"/>
      <c r="BE849" s="540"/>
      <c r="BF849" s="540"/>
      <c r="BG849" s="540"/>
      <c r="BH849" s="540"/>
      <c r="BI849" s="540"/>
      <c r="BJ849" s="540"/>
      <c r="BK849" s="540"/>
      <c r="BL849" s="540"/>
      <c r="BM849" s="540"/>
      <c r="BN849" s="540"/>
      <c r="BO849" s="540"/>
      <c r="BP849" s="540"/>
      <c r="BQ849" s="540"/>
      <c r="BR849" s="540"/>
      <c r="BS849" s="540"/>
      <c r="BT849" s="540"/>
      <c r="BU849" s="540"/>
      <c r="BV849" s="540"/>
      <c r="BW849" s="540"/>
      <c r="BX849" s="540"/>
      <c r="BY849" s="540"/>
      <c r="BZ849" s="540"/>
      <c r="CA849" s="540"/>
      <c r="CB849" s="540"/>
      <c r="CC849" s="540"/>
      <c r="CD849" s="540"/>
      <c r="CE849" s="540"/>
      <c r="CF849" s="540"/>
      <c r="CG849" s="540"/>
      <c r="CH849" s="540"/>
      <c r="CI849" s="540"/>
      <c r="CJ849" s="540"/>
      <c r="CK849" s="540"/>
      <c r="CL849" s="540"/>
      <c r="CM849" s="540"/>
      <c r="CN849" s="540"/>
      <c r="CO849" s="540"/>
      <c r="CP849" s="540"/>
      <c r="CQ849" s="540"/>
      <c r="CR849" s="540"/>
      <c r="CS849" s="540"/>
      <c r="CT849" s="540"/>
      <c r="CU849" s="540"/>
      <c r="CV849" s="540"/>
      <c r="CW849" s="540"/>
      <c r="CX849" s="540"/>
      <c r="CY849" s="540"/>
      <c r="CZ849" s="540"/>
      <c r="DA849" s="540"/>
      <c r="DB849" s="540"/>
      <c r="DC849" s="540"/>
      <c r="DD849" s="540"/>
      <c r="DE849" s="540"/>
    </row>
    <row r="850" spans="1:109" s="116" customFormat="1" x14ac:dyDescent="0.2">
      <c r="A850" s="435"/>
      <c r="B850" s="435"/>
      <c r="C850" s="435"/>
      <c r="D850" s="435"/>
      <c r="AB850" s="540"/>
      <c r="AU850" s="540"/>
      <c r="AV850" s="540"/>
      <c r="AW850" s="540"/>
      <c r="AX850" s="540"/>
      <c r="AY850" s="540"/>
      <c r="AZ850" s="540"/>
      <c r="BA850" s="540"/>
      <c r="BB850" s="540"/>
      <c r="BC850" s="540"/>
      <c r="BD850" s="540"/>
      <c r="BE850" s="540"/>
      <c r="BF850" s="540"/>
      <c r="BG850" s="540"/>
      <c r="BH850" s="540"/>
      <c r="BI850" s="540"/>
      <c r="BJ850" s="540"/>
      <c r="BK850" s="540"/>
      <c r="BL850" s="540"/>
      <c r="BM850" s="540"/>
      <c r="BN850" s="540"/>
      <c r="BO850" s="540"/>
      <c r="BP850" s="540"/>
      <c r="BQ850" s="540"/>
      <c r="BR850" s="540"/>
      <c r="BS850" s="540"/>
      <c r="BT850" s="540"/>
      <c r="BU850" s="540"/>
      <c r="BV850" s="540"/>
      <c r="BW850" s="540"/>
      <c r="BX850" s="540"/>
      <c r="BY850" s="540"/>
      <c r="BZ850" s="540"/>
      <c r="CA850" s="540"/>
      <c r="CB850" s="540"/>
      <c r="CC850" s="540"/>
      <c r="CD850" s="540"/>
      <c r="CE850" s="540"/>
      <c r="CF850" s="540"/>
      <c r="CG850" s="540"/>
      <c r="CH850" s="540"/>
      <c r="CI850" s="540"/>
      <c r="CJ850" s="540"/>
      <c r="CK850" s="540"/>
      <c r="CL850" s="540"/>
      <c r="CM850" s="540"/>
      <c r="CN850" s="540"/>
      <c r="CO850" s="540"/>
      <c r="CP850" s="540"/>
      <c r="CQ850" s="540"/>
      <c r="CR850" s="540"/>
      <c r="CS850" s="540"/>
      <c r="CT850" s="540"/>
      <c r="CU850" s="540"/>
      <c r="CV850" s="540"/>
      <c r="CW850" s="540"/>
      <c r="CX850" s="540"/>
      <c r="CY850" s="540"/>
      <c r="CZ850" s="540"/>
      <c r="DA850" s="540"/>
      <c r="DB850" s="540"/>
      <c r="DC850" s="540"/>
      <c r="DD850" s="540"/>
      <c r="DE850" s="540"/>
    </row>
    <row r="851" spans="1:109" s="116" customFormat="1" x14ac:dyDescent="0.2">
      <c r="A851" s="435"/>
      <c r="B851" s="435"/>
      <c r="C851" s="435"/>
      <c r="D851" s="435"/>
      <c r="AB851" s="540"/>
      <c r="AU851" s="540"/>
      <c r="AV851" s="540"/>
      <c r="AW851" s="540"/>
      <c r="AX851" s="540"/>
      <c r="AY851" s="540"/>
      <c r="AZ851" s="540"/>
      <c r="BA851" s="540"/>
      <c r="BB851" s="540"/>
      <c r="BC851" s="540"/>
      <c r="BD851" s="540"/>
      <c r="BE851" s="540"/>
      <c r="BF851" s="540"/>
      <c r="BG851" s="540"/>
      <c r="BH851" s="540"/>
      <c r="BI851" s="540"/>
      <c r="BJ851" s="540"/>
      <c r="BK851" s="540"/>
      <c r="BL851" s="540"/>
      <c r="BM851" s="540"/>
      <c r="BN851" s="540"/>
      <c r="BO851" s="540"/>
      <c r="BP851" s="540"/>
      <c r="BQ851" s="540"/>
      <c r="BR851" s="540"/>
      <c r="BS851" s="540"/>
      <c r="BT851" s="540"/>
      <c r="BU851" s="540"/>
      <c r="BV851" s="540"/>
      <c r="BW851" s="540"/>
      <c r="BX851" s="540"/>
      <c r="BY851" s="540"/>
      <c r="BZ851" s="540"/>
      <c r="CA851" s="540"/>
      <c r="CB851" s="540"/>
      <c r="CC851" s="540"/>
      <c r="CD851" s="540"/>
      <c r="CE851" s="540"/>
      <c r="CF851" s="540"/>
      <c r="CG851" s="540"/>
      <c r="CH851" s="540"/>
      <c r="CI851" s="540"/>
      <c r="CJ851" s="540"/>
      <c r="CK851" s="540"/>
      <c r="CL851" s="540"/>
      <c r="CM851" s="540"/>
      <c r="CN851" s="540"/>
      <c r="CO851" s="540"/>
      <c r="CP851" s="540"/>
      <c r="CQ851" s="540"/>
      <c r="CR851" s="540"/>
      <c r="CS851" s="540"/>
      <c r="CT851" s="540"/>
      <c r="CU851" s="540"/>
      <c r="CV851" s="540"/>
      <c r="CW851" s="540"/>
      <c r="CX851" s="540"/>
      <c r="CY851" s="540"/>
      <c r="CZ851" s="540"/>
      <c r="DA851" s="540"/>
      <c r="DB851" s="540"/>
      <c r="DC851" s="540"/>
      <c r="DD851" s="540"/>
      <c r="DE851" s="540"/>
    </row>
    <row r="852" spans="1:109" s="116" customFormat="1" x14ac:dyDescent="0.2">
      <c r="A852" s="435"/>
      <c r="B852" s="435"/>
      <c r="C852" s="435"/>
      <c r="D852" s="435"/>
      <c r="AB852" s="540"/>
      <c r="AU852" s="540"/>
      <c r="AV852" s="540"/>
      <c r="AW852" s="540"/>
      <c r="AX852" s="540"/>
      <c r="AY852" s="540"/>
      <c r="AZ852" s="540"/>
      <c r="BA852" s="540"/>
      <c r="BB852" s="540"/>
      <c r="BC852" s="540"/>
      <c r="BD852" s="540"/>
      <c r="BE852" s="540"/>
      <c r="BF852" s="540"/>
      <c r="BG852" s="540"/>
      <c r="BH852" s="540"/>
      <c r="BI852" s="540"/>
      <c r="BJ852" s="540"/>
      <c r="BK852" s="540"/>
      <c r="BL852" s="540"/>
      <c r="BM852" s="540"/>
      <c r="BN852" s="540"/>
      <c r="BO852" s="540"/>
      <c r="BP852" s="540"/>
      <c r="BQ852" s="540"/>
      <c r="BR852" s="540"/>
      <c r="BS852" s="540"/>
      <c r="BT852" s="540"/>
      <c r="BU852" s="540"/>
      <c r="BV852" s="540"/>
      <c r="BW852" s="540"/>
      <c r="BX852" s="540"/>
      <c r="BY852" s="540"/>
      <c r="BZ852" s="540"/>
      <c r="CA852" s="540"/>
      <c r="CB852" s="540"/>
      <c r="CC852" s="540"/>
      <c r="CD852" s="540"/>
      <c r="CE852" s="540"/>
      <c r="CF852" s="540"/>
      <c r="CG852" s="540"/>
      <c r="CH852" s="540"/>
      <c r="CI852" s="540"/>
      <c r="CJ852" s="540"/>
      <c r="CK852" s="540"/>
      <c r="CL852" s="540"/>
      <c r="CM852" s="540"/>
      <c r="CN852" s="540"/>
      <c r="CO852" s="540"/>
      <c r="CP852" s="540"/>
      <c r="CQ852" s="540"/>
      <c r="CR852" s="540"/>
      <c r="CS852" s="540"/>
      <c r="CT852" s="540"/>
      <c r="CU852" s="540"/>
      <c r="CV852" s="540"/>
      <c r="CW852" s="540"/>
      <c r="CX852" s="540"/>
      <c r="CY852" s="540"/>
      <c r="CZ852" s="540"/>
      <c r="DA852" s="540"/>
      <c r="DB852" s="540"/>
      <c r="DC852" s="540"/>
      <c r="DD852" s="540"/>
      <c r="DE852" s="540"/>
    </row>
    <row r="853" spans="1:109" s="116" customFormat="1" x14ac:dyDescent="0.2">
      <c r="A853" s="435"/>
      <c r="B853" s="435"/>
      <c r="C853" s="435"/>
      <c r="D853" s="435"/>
      <c r="AB853" s="540"/>
      <c r="AU853" s="540"/>
      <c r="AV853" s="540"/>
      <c r="AW853" s="540"/>
      <c r="AX853" s="540"/>
      <c r="AY853" s="540"/>
      <c r="AZ853" s="540"/>
      <c r="BA853" s="540"/>
      <c r="BB853" s="540"/>
      <c r="BC853" s="540"/>
      <c r="BD853" s="540"/>
      <c r="BE853" s="540"/>
      <c r="BF853" s="540"/>
      <c r="BG853" s="540"/>
      <c r="BH853" s="540"/>
      <c r="BI853" s="540"/>
      <c r="BJ853" s="540"/>
      <c r="BK853" s="540"/>
      <c r="BL853" s="540"/>
      <c r="BM853" s="540"/>
      <c r="BN853" s="540"/>
      <c r="BO853" s="540"/>
      <c r="BP853" s="540"/>
      <c r="BQ853" s="540"/>
      <c r="BR853" s="540"/>
      <c r="BS853" s="540"/>
      <c r="BT853" s="540"/>
      <c r="BU853" s="540"/>
      <c r="BV853" s="540"/>
      <c r="BW853" s="540"/>
      <c r="BX853" s="540"/>
      <c r="BY853" s="540"/>
      <c r="BZ853" s="540"/>
      <c r="CA853" s="540"/>
      <c r="CB853" s="540"/>
      <c r="CC853" s="540"/>
      <c r="CD853" s="540"/>
      <c r="CE853" s="540"/>
      <c r="CF853" s="540"/>
      <c r="CG853" s="540"/>
      <c r="CH853" s="540"/>
      <c r="CI853" s="540"/>
      <c r="CJ853" s="540"/>
      <c r="CK853" s="540"/>
      <c r="CL853" s="540"/>
      <c r="CM853" s="540"/>
      <c r="CN853" s="540"/>
      <c r="CO853" s="540"/>
      <c r="CP853" s="540"/>
      <c r="CQ853" s="540"/>
      <c r="CR853" s="540"/>
      <c r="CS853" s="540"/>
      <c r="CT853" s="540"/>
      <c r="CU853" s="540"/>
      <c r="CV853" s="540"/>
      <c r="CW853" s="540"/>
      <c r="CX853" s="540"/>
      <c r="CY853" s="540"/>
      <c r="CZ853" s="540"/>
      <c r="DA853" s="540"/>
      <c r="DB853" s="540"/>
      <c r="DC853" s="540"/>
      <c r="DD853" s="540"/>
      <c r="DE853" s="540"/>
    </row>
    <row r="854" spans="1:109" s="116" customFormat="1" x14ac:dyDescent="0.2">
      <c r="A854" s="435"/>
      <c r="B854" s="435"/>
      <c r="C854" s="435"/>
      <c r="D854" s="435"/>
      <c r="AB854" s="540"/>
      <c r="AU854" s="540"/>
      <c r="AV854" s="540"/>
      <c r="AW854" s="540"/>
      <c r="AX854" s="540"/>
      <c r="AY854" s="540"/>
      <c r="AZ854" s="540"/>
      <c r="BA854" s="540"/>
      <c r="BB854" s="540"/>
      <c r="BC854" s="540"/>
      <c r="BD854" s="540"/>
      <c r="BE854" s="540"/>
      <c r="BF854" s="540"/>
      <c r="BG854" s="540"/>
      <c r="BH854" s="540"/>
      <c r="BI854" s="540"/>
      <c r="BJ854" s="540"/>
      <c r="BK854" s="540"/>
      <c r="BL854" s="540"/>
      <c r="BM854" s="540"/>
      <c r="BN854" s="540"/>
      <c r="BO854" s="540"/>
      <c r="BP854" s="540"/>
      <c r="BQ854" s="540"/>
      <c r="BR854" s="540"/>
      <c r="BS854" s="540"/>
      <c r="BT854" s="540"/>
      <c r="BU854" s="540"/>
      <c r="BV854" s="540"/>
      <c r="BW854" s="540"/>
      <c r="BX854" s="540"/>
      <c r="BY854" s="540"/>
      <c r="BZ854" s="540"/>
      <c r="CA854" s="540"/>
      <c r="CB854" s="540"/>
      <c r="CC854" s="540"/>
      <c r="CD854" s="540"/>
      <c r="CE854" s="540"/>
      <c r="CF854" s="540"/>
      <c r="CG854" s="540"/>
      <c r="CH854" s="540"/>
      <c r="CI854" s="540"/>
      <c r="CJ854" s="540"/>
      <c r="CK854" s="540"/>
      <c r="CL854" s="540"/>
      <c r="CM854" s="540"/>
      <c r="CN854" s="540"/>
      <c r="CO854" s="540"/>
      <c r="CP854" s="540"/>
      <c r="CQ854" s="540"/>
      <c r="CR854" s="540"/>
      <c r="CS854" s="540"/>
      <c r="CT854" s="540"/>
      <c r="CU854" s="540"/>
      <c r="CV854" s="540"/>
      <c r="CW854" s="540"/>
      <c r="CX854" s="540"/>
      <c r="CY854" s="540"/>
      <c r="CZ854" s="540"/>
      <c r="DA854" s="540"/>
      <c r="DB854" s="540"/>
      <c r="DC854" s="540"/>
      <c r="DD854" s="540"/>
      <c r="DE854" s="540"/>
    </row>
    <row r="855" spans="1:109" s="116" customFormat="1" x14ac:dyDescent="0.2">
      <c r="A855" s="435"/>
      <c r="B855" s="435"/>
      <c r="C855" s="435"/>
      <c r="D855" s="435"/>
      <c r="AB855" s="540"/>
      <c r="AU855" s="540"/>
      <c r="AV855" s="540"/>
      <c r="AW855" s="540"/>
      <c r="AX855" s="540"/>
      <c r="AY855" s="540"/>
      <c r="AZ855" s="540"/>
      <c r="BA855" s="540"/>
      <c r="BB855" s="540"/>
      <c r="BC855" s="540"/>
      <c r="BD855" s="540"/>
      <c r="BE855" s="540"/>
      <c r="BF855" s="540"/>
      <c r="BG855" s="540"/>
      <c r="BH855" s="540"/>
      <c r="BI855" s="540"/>
      <c r="BJ855" s="540"/>
      <c r="BK855" s="540"/>
      <c r="BL855" s="540"/>
      <c r="BM855" s="540"/>
      <c r="BN855" s="540"/>
      <c r="BO855" s="540"/>
      <c r="BP855" s="540"/>
      <c r="BQ855" s="540"/>
      <c r="BR855" s="540"/>
      <c r="BS855" s="540"/>
      <c r="BT855" s="540"/>
      <c r="BU855" s="540"/>
      <c r="BV855" s="540"/>
      <c r="BW855" s="540"/>
      <c r="BX855" s="540"/>
      <c r="BY855" s="540"/>
      <c r="BZ855" s="540"/>
      <c r="CA855" s="540"/>
      <c r="CB855" s="540"/>
      <c r="CC855" s="540"/>
      <c r="CD855" s="540"/>
      <c r="CE855" s="540"/>
      <c r="CF855" s="540"/>
      <c r="CG855" s="540"/>
      <c r="CH855" s="540"/>
      <c r="CI855" s="540"/>
      <c r="CJ855" s="540"/>
      <c r="CK855" s="540"/>
      <c r="CL855" s="540"/>
      <c r="CM855" s="540"/>
      <c r="CN855" s="540"/>
      <c r="CO855" s="540"/>
      <c r="CP855" s="540"/>
      <c r="CQ855" s="540"/>
      <c r="CR855" s="540"/>
      <c r="CS855" s="540"/>
      <c r="CT855" s="540"/>
      <c r="CU855" s="540"/>
      <c r="CV855" s="540"/>
      <c r="CW855" s="540"/>
      <c r="CX855" s="540"/>
      <c r="CY855" s="540"/>
      <c r="CZ855" s="540"/>
      <c r="DA855" s="540"/>
      <c r="DB855" s="540"/>
      <c r="DC855" s="540"/>
      <c r="DD855" s="540"/>
      <c r="DE855" s="540"/>
    </row>
    <row r="856" spans="1:109" s="116" customFormat="1" x14ac:dyDescent="0.2">
      <c r="A856" s="435"/>
      <c r="B856" s="435"/>
      <c r="C856" s="435"/>
      <c r="D856" s="435"/>
      <c r="AB856" s="540"/>
      <c r="AU856" s="540"/>
      <c r="AV856" s="540"/>
      <c r="AW856" s="540"/>
      <c r="AX856" s="540"/>
      <c r="AY856" s="540"/>
      <c r="AZ856" s="540"/>
      <c r="BA856" s="540"/>
      <c r="BB856" s="540"/>
      <c r="BC856" s="540"/>
      <c r="BD856" s="540"/>
      <c r="BE856" s="540"/>
      <c r="BF856" s="540"/>
      <c r="BG856" s="540"/>
      <c r="BH856" s="540"/>
      <c r="BI856" s="540"/>
      <c r="BJ856" s="540"/>
      <c r="BK856" s="540"/>
      <c r="BL856" s="540"/>
      <c r="BM856" s="540"/>
      <c r="BN856" s="540"/>
      <c r="BO856" s="540"/>
      <c r="BP856" s="540"/>
      <c r="BQ856" s="540"/>
      <c r="BR856" s="540"/>
      <c r="BS856" s="540"/>
      <c r="BT856" s="540"/>
      <c r="BU856" s="540"/>
      <c r="BV856" s="540"/>
      <c r="BW856" s="540"/>
      <c r="BX856" s="540"/>
      <c r="BY856" s="540"/>
      <c r="BZ856" s="540"/>
      <c r="CA856" s="540"/>
      <c r="CB856" s="540"/>
      <c r="CC856" s="540"/>
      <c r="CD856" s="540"/>
      <c r="CE856" s="540"/>
      <c r="CF856" s="540"/>
      <c r="CG856" s="540"/>
      <c r="CH856" s="540"/>
      <c r="CI856" s="540"/>
      <c r="CJ856" s="540"/>
      <c r="CK856" s="540"/>
      <c r="CL856" s="540"/>
      <c r="CM856" s="540"/>
      <c r="CN856" s="540"/>
      <c r="CO856" s="540"/>
      <c r="CP856" s="540"/>
      <c r="CQ856" s="540"/>
      <c r="CR856" s="540"/>
      <c r="CS856" s="540"/>
      <c r="CT856" s="540"/>
      <c r="CU856" s="540"/>
      <c r="CV856" s="540"/>
      <c r="CW856" s="540"/>
      <c r="CX856" s="540"/>
      <c r="CY856" s="540"/>
      <c r="CZ856" s="540"/>
      <c r="DA856" s="540"/>
      <c r="DB856" s="540"/>
      <c r="DC856" s="540"/>
      <c r="DD856" s="540"/>
      <c r="DE856" s="540"/>
    </row>
    <row r="857" spans="1:109" s="116" customFormat="1" x14ac:dyDescent="0.2">
      <c r="A857" s="435"/>
      <c r="B857" s="435"/>
      <c r="C857" s="435"/>
      <c r="D857" s="435"/>
      <c r="AB857" s="540"/>
      <c r="AU857" s="540"/>
      <c r="AV857" s="540"/>
      <c r="AW857" s="540"/>
      <c r="AX857" s="540"/>
      <c r="AY857" s="540"/>
      <c r="AZ857" s="540"/>
      <c r="BA857" s="540"/>
      <c r="BB857" s="540"/>
      <c r="BC857" s="540"/>
      <c r="BD857" s="540"/>
      <c r="BE857" s="540"/>
      <c r="BF857" s="540"/>
      <c r="BG857" s="540"/>
      <c r="BH857" s="540"/>
      <c r="BI857" s="540"/>
      <c r="BJ857" s="540"/>
      <c r="BK857" s="540"/>
      <c r="BL857" s="540"/>
      <c r="BM857" s="540"/>
      <c r="BN857" s="540"/>
      <c r="BO857" s="540"/>
      <c r="BP857" s="540"/>
      <c r="BQ857" s="540"/>
      <c r="BR857" s="540"/>
      <c r="BS857" s="540"/>
      <c r="BT857" s="540"/>
      <c r="BU857" s="540"/>
      <c r="BV857" s="540"/>
      <c r="BW857" s="540"/>
      <c r="BX857" s="540"/>
      <c r="BY857" s="540"/>
      <c r="BZ857" s="540"/>
      <c r="CA857" s="540"/>
      <c r="CB857" s="540"/>
      <c r="CC857" s="540"/>
      <c r="CD857" s="540"/>
      <c r="CE857" s="540"/>
      <c r="CF857" s="540"/>
      <c r="CG857" s="540"/>
      <c r="CH857" s="540"/>
      <c r="CI857" s="540"/>
      <c r="CJ857" s="540"/>
      <c r="CK857" s="540"/>
      <c r="CL857" s="540"/>
      <c r="CM857" s="540"/>
      <c r="CN857" s="540"/>
      <c r="CO857" s="540"/>
      <c r="CP857" s="540"/>
      <c r="CQ857" s="540"/>
      <c r="CR857" s="540"/>
      <c r="CS857" s="540"/>
      <c r="CT857" s="540"/>
      <c r="CU857" s="540"/>
      <c r="CV857" s="540"/>
      <c r="CW857" s="540"/>
      <c r="CX857" s="540"/>
      <c r="CY857" s="540"/>
      <c r="CZ857" s="540"/>
      <c r="DA857" s="540"/>
      <c r="DB857" s="540"/>
      <c r="DC857" s="540"/>
      <c r="DD857" s="540"/>
      <c r="DE857" s="540"/>
    </row>
    <row r="858" spans="1:109" s="116" customFormat="1" x14ac:dyDescent="0.2">
      <c r="A858" s="435"/>
      <c r="B858" s="435"/>
      <c r="C858" s="435"/>
      <c r="D858" s="435"/>
      <c r="AB858" s="540"/>
      <c r="AU858" s="540"/>
      <c r="AV858" s="540"/>
      <c r="AW858" s="540"/>
      <c r="AX858" s="540"/>
      <c r="AY858" s="540"/>
      <c r="AZ858" s="540"/>
      <c r="BA858" s="540"/>
      <c r="BB858" s="540"/>
      <c r="BC858" s="540"/>
      <c r="BD858" s="540"/>
      <c r="BE858" s="540"/>
      <c r="BF858" s="540"/>
      <c r="BG858" s="540"/>
      <c r="BH858" s="540"/>
      <c r="BI858" s="540"/>
      <c r="BJ858" s="540"/>
      <c r="BK858" s="540"/>
      <c r="BL858" s="540"/>
      <c r="BM858" s="540"/>
      <c r="BN858" s="540"/>
      <c r="BO858" s="540"/>
      <c r="BP858" s="540"/>
      <c r="BQ858" s="540"/>
      <c r="BR858" s="540"/>
      <c r="BS858" s="540"/>
      <c r="BT858" s="540"/>
      <c r="BU858" s="540"/>
      <c r="BV858" s="540"/>
      <c r="BW858" s="540"/>
      <c r="BX858" s="540"/>
      <c r="BY858" s="540"/>
      <c r="BZ858" s="540"/>
      <c r="CA858" s="540"/>
      <c r="CB858" s="540"/>
      <c r="CC858" s="540"/>
      <c r="CD858" s="540"/>
      <c r="CE858" s="540"/>
      <c r="CF858" s="540"/>
      <c r="CG858" s="540"/>
      <c r="CH858" s="540"/>
      <c r="CI858" s="540"/>
      <c r="CJ858" s="540"/>
      <c r="CK858" s="540"/>
      <c r="CL858" s="540"/>
      <c r="CM858" s="540"/>
      <c r="CN858" s="540"/>
      <c r="CO858" s="540"/>
      <c r="CP858" s="540"/>
      <c r="CQ858" s="540"/>
      <c r="CR858" s="540"/>
      <c r="CS858" s="540"/>
      <c r="CT858" s="540"/>
      <c r="CU858" s="540"/>
      <c r="CV858" s="540"/>
      <c r="CW858" s="540"/>
      <c r="CX858" s="540"/>
      <c r="CY858" s="540"/>
      <c r="CZ858" s="540"/>
      <c r="DA858" s="540"/>
      <c r="DB858" s="540"/>
      <c r="DC858" s="540"/>
      <c r="DD858" s="540"/>
      <c r="DE858" s="540"/>
    </row>
    <row r="859" spans="1:109" s="116" customFormat="1" x14ac:dyDescent="0.2">
      <c r="A859" s="435"/>
      <c r="B859" s="435"/>
      <c r="C859" s="435"/>
      <c r="D859" s="435"/>
      <c r="AB859" s="540"/>
      <c r="AU859" s="540"/>
      <c r="AV859" s="540"/>
      <c r="AW859" s="540"/>
      <c r="AX859" s="540"/>
      <c r="AY859" s="540"/>
      <c r="AZ859" s="540"/>
      <c r="BA859" s="540"/>
      <c r="BB859" s="540"/>
      <c r="BC859" s="540"/>
      <c r="BD859" s="540"/>
      <c r="BE859" s="540"/>
      <c r="BF859" s="540"/>
      <c r="BG859" s="540"/>
      <c r="BH859" s="540"/>
      <c r="BI859" s="540"/>
      <c r="BJ859" s="540"/>
      <c r="BK859" s="540"/>
      <c r="BL859" s="540"/>
      <c r="BM859" s="540"/>
      <c r="BN859" s="540"/>
      <c r="BO859" s="540"/>
      <c r="BP859" s="540"/>
      <c r="BQ859" s="540"/>
      <c r="BR859" s="540"/>
      <c r="BS859" s="540"/>
      <c r="BT859" s="540"/>
      <c r="BU859" s="540"/>
      <c r="BV859" s="540"/>
      <c r="BW859" s="540"/>
      <c r="BX859" s="540"/>
      <c r="BY859" s="540"/>
      <c r="BZ859" s="540"/>
      <c r="CA859" s="540"/>
      <c r="CB859" s="540"/>
      <c r="CC859" s="540"/>
      <c r="CD859" s="540"/>
      <c r="CE859" s="540"/>
      <c r="CF859" s="540"/>
      <c r="CG859" s="540"/>
      <c r="CH859" s="540"/>
      <c r="CI859" s="540"/>
      <c r="CJ859" s="540"/>
      <c r="CK859" s="540"/>
      <c r="CL859" s="540"/>
      <c r="CM859" s="540"/>
      <c r="CN859" s="540"/>
      <c r="CO859" s="540"/>
      <c r="CP859" s="540"/>
      <c r="CQ859" s="540"/>
      <c r="CR859" s="540"/>
      <c r="CS859" s="540"/>
      <c r="CT859" s="540"/>
      <c r="CU859" s="540"/>
      <c r="CV859" s="540"/>
      <c r="CW859" s="540"/>
      <c r="CX859" s="540"/>
      <c r="CY859" s="540"/>
      <c r="CZ859" s="540"/>
      <c r="DA859" s="540"/>
      <c r="DB859" s="540"/>
      <c r="DC859" s="540"/>
      <c r="DD859" s="540"/>
      <c r="DE859" s="540"/>
    </row>
    <row r="860" spans="1:109" s="116" customFormat="1" x14ac:dyDescent="0.2">
      <c r="A860" s="435"/>
      <c r="B860" s="435"/>
      <c r="C860" s="435"/>
      <c r="D860" s="435"/>
      <c r="AB860" s="540"/>
      <c r="AU860" s="540"/>
      <c r="AV860" s="540"/>
      <c r="AW860" s="540"/>
      <c r="AX860" s="540"/>
      <c r="AY860" s="540"/>
      <c r="AZ860" s="540"/>
      <c r="BA860" s="540"/>
      <c r="BB860" s="540"/>
      <c r="BC860" s="540"/>
      <c r="BD860" s="540"/>
      <c r="BE860" s="540"/>
      <c r="BF860" s="540"/>
      <c r="BG860" s="540"/>
      <c r="BH860" s="540"/>
      <c r="BI860" s="540"/>
      <c r="BJ860" s="540"/>
      <c r="BK860" s="540"/>
      <c r="BL860" s="540"/>
      <c r="BM860" s="540"/>
      <c r="BN860" s="540"/>
      <c r="BO860" s="540"/>
      <c r="BP860" s="540"/>
      <c r="BQ860" s="540"/>
      <c r="BR860" s="540"/>
      <c r="BS860" s="540"/>
      <c r="BT860" s="540"/>
      <c r="BU860" s="540"/>
      <c r="BV860" s="540"/>
      <c r="BW860" s="540"/>
      <c r="BX860" s="540"/>
      <c r="BY860" s="540"/>
      <c r="BZ860" s="540"/>
      <c r="CA860" s="540"/>
      <c r="CB860" s="540"/>
      <c r="CC860" s="540"/>
      <c r="CD860" s="540"/>
      <c r="CE860" s="540"/>
      <c r="CF860" s="540"/>
      <c r="CG860" s="540"/>
      <c r="CH860" s="540"/>
      <c r="CI860" s="540"/>
      <c r="CJ860" s="540"/>
      <c r="CK860" s="540"/>
      <c r="CL860" s="540"/>
      <c r="CM860" s="540"/>
      <c r="CN860" s="540"/>
      <c r="CO860" s="540"/>
      <c r="CP860" s="540"/>
      <c r="CQ860" s="540"/>
      <c r="CR860" s="540"/>
      <c r="CS860" s="540"/>
      <c r="CT860" s="540"/>
      <c r="CU860" s="540"/>
      <c r="CV860" s="540"/>
      <c r="CW860" s="540"/>
      <c r="CX860" s="540"/>
      <c r="CY860" s="540"/>
      <c r="CZ860" s="540"/>
      <c r="DA860" s="540"/>
      <c r="DB860" s="540"/>
      <c r="DC860" s="540"/>
      <c r="DD860" s="540"/>
      <c r="DE860" s="540"/>
    </row>
    <row r="861" spans="1:109" s="116" customFormat="1" x14ac:dyDescent="0.2">
      <c r="A861" s="435"/>
      <c r="B861" s="435"/>
      <c r="C861" s="435"/>
      <c r="D861" s="435"/>
      <c r="AB861" s="540"/>
      <c r="AU861" s="540"/>
      <c r="AV861" s="540"/>
      <c r="AW861" s="540"/>
      <c r="AX861" s="540"/>
      <c r="AY861" s="540"/>
      <c r="AZ861" s="540"/>
      <c r="BA861" s="540"/>
      <c r="BB861" s="540"/>
      <c r="BC861" s="540"/>
      <c r="BD861" s="540"/>
      <c r="BE861" s="540"/>
      <c r="BF861" s="540"/>
      <c r="BG861" s="540"/>
      <c r="BH861" s="540"/>
      <c r="BI861" s="540"/>
      <c r="BJ861" s="540"/>
      <c r="BK861" s="540"/>
      <c r="BL861" s="540"/>
      <c r="BM861" s="540"/>
      <c r="BN861" s="540"/>
      <c r="BO861" s="540"/>
      <c r="BP861" s="540"/>
      <c r="BQ861" s="540"/>
      <c r="BR861" s="540"/>
      <c r="BS861" s="540"/>
      <c r="BT861" s="540"/>
      <c r="BU861" s="540"/>
      <c r="BV861" s="540"/>
      <c r="BW861" s="540"/>
      <c r="BX861" s="540"/>
      <c r="BY861" s="540"/>
      <c r="BZ861" s="540"/>
      <c r="CA861" s="540"/>
      <c r="CB861" s="540"/>
      <c r="CC861" s="540"/>
      <c r="CD861" s="540"/>
      <c r="CE861" s="540"/>
      <c r="CF861" s="540"/>
      <c r="CG861" s="540"/>
      <c r="CH861" s="540"/>
      <c r="CI861" s="540"/>
      <c r="CJ861" s="540"/>
      <c r="CK861" s="540"/>
      <c r="CL861" s="540"/>
      <c r="CM861" s="540"/>
      <c r="CN861" s="540"/>
      <c r="CO861" s="540"/>
      <c r="CP861" s="540"/>
      <c r="CQ861" s="540"/>
      <c r="CR861" s="540"/>
      <c r="CS861" s="540"/>
      <c r="CT861" s="540"/>
      <c r="CU861" s="540"/>
      <c r="CV861" s="540"/>
      <c r="CW861" s="540"/>
      <c r="CX861" s="540"/>
      <c r="CY861" s="540"/>
      <c r="CZ861" s="540"/>
      <c r="DA861" s="540"/>
      <c r="DB861" s="540"/>
      <c r="DC861" s="540"/>
      <c r="DD861" s="540"/>
      <c r="DE861" s="540"/>
    </row>
    <row r="862" spans="1:109" s="116" customFormat="1" x14ac:dyDescent="0.2">
      <c r="A862" s="435"/>
      <c r="B862" s="435"/>
      <c r="C862" s="435"/>
      <c r="D862" s="435"/>
      <c r="AB862" s="540"/>
      <c r="AU862" s="540"/>
      <c r="AV862" s="540"/>
      <c r="AW862" s="540"/>
      <c r="AX862" s="540"/>
      <c r="AY862" s="540"/>
      <c r="AZ862" s="540"/>
      <c r="BA862" s="540"/>
      <c r="BB862" s="540"/>
      <c r="BC862" s="540"/>
      <c r="BD862" s="540"/>
      <c r="BE862" s="540"/>
      <c r="BF862" s="540"/>
      <c r="BG862" s="540"/>
      <c r="BH862" s="540"/>
      <c r="BI862" s="540"/>
      <c r="BJ862" s="540"/>
      <c r="BK862" s="540"/>
      <c r="BL862" s="540"/>
      <c r="BM862" s="540"/>
      <c r="BN862" s="540"/>
      <c r="BO862" s="540"/>
      <c r="BP862" s="540"/>
      <c r="BQ862" s="540"/>
      <c r="BR862" s="540"/>
      <c r="BS862" s="540"/>
      <c r="BT862" s="540"/>
      <c r="BU862" s="540"/>
      <c r="BV862" s="540"/>
      <c r="BW862" s="540"/>
      <c r="BX862" s="540"/>
      <c r="BY862" s="540"/>
      <c r="BZ862" s="540"/>
      <c r="CA862" s="540"/>
      <c r="CB862" s="540"/>
      <c r="CC862" s="540"/>
      <c r="CD862" s="540"/>
      <c r="CE862" s="540"/>
      <c r="CF862" s="540"/>
      <c r="CG862" s="540"/>
      <c r="CH862" s="540"/>
      <c r="CI862" s="540"/>
      <c r="CJ862" s="540"/>
      <c r="CK862" s="540"/>
      <c r="CL862" s="540"/>
      <c r="CM862" s="540"/>
      <c r="CN862" s="540"/>
      <c r="CO862" s="540"/>
      <c r="CP862" s="540"/>
      <c r="CQ862" s="540"/>
      <c r="CR862" s="540"/>
      <c r="CS862" s="540"/>
      <c r="CT862" s="540"/>
      <c r="CU862" s="540"/>
      <c r="CV862" s="540"/>
      <c r="CW862" s="540"/>
      <c r="CX862" s="540"/>
      <c r="CY862" s="540"/>
      <c r="CZ862" s="540"/>
      <c r="DA862" s="540"/>
      <c r="DB862" s="540"/>
      <c r="DC862" s="540"/>
      <c r="DD862" s="540"/>
      <c r="DE862" s="540"/>
    </row>
    <row r="863" spans="1:109" s="116" customFormat="1" x14ac:dyDescent="0.2">
      <c r="A863" s="435"/>
      <c r="B863" s="435"/>
      <c r="C863" s="435"/>
      <c r="D863" s="435"/>
      <c r="AB863" s="540"/>
      <c r="AU863" s="540"/>
      <c r="AV863" s="540"/>
      <c r="AW863" s="540"/>
      <c r="AX863" s="540"/>
      <c r="AY863" s="540"/>
      <c r="AZ863" s="540"/>
      <c r="BA863" s="540"/>
      <c r="BB863" s="540"/>
      <c r="BC863" s="540"/>
      <c r="BD863" s="540"/>
      <c r="BE863" s="540"/>
      <c r="BF863" s="540"/>
      <c r="BG863" s="540"/>
      <c r="BH863" s="540"/>
      <c r="BI863" s="540"/>
      <c r="BJ863" s="540"/>
      <c r="BK863" s="540"/>
      <c r="BL863" s="540"/>
      <c r="BM863" s="540"/>
      <c r="BN863" s="540"/>
      <c r="BO863" s="540"/>
      <c r="BP863" s="540"/>
      <c r="BQ863" s="540"/>
      <c r="BR863" s="540"/>
      <c r="BS863" s="540"/>
      <c r="BT863" s="540"/>
      <c r="BU863" s="540"/>
      <c r="BV863" s="540"/>
      <c r="BW863" s="540"/>
      <c r="BX863" s="540"/>
      <c r="BY863" s="540"/>
      <c r="BZ863" s="540"/>
      <c r="CA863" s="540"/>
      <c r="CB863" s="540"/>
      <c r="CC863" s="540"/>
      <c r="CD863" s="540"/>
      <c r="CE863" s="540"/>
      <c r="CF863" s="540"/>
      <c r="CG863" s="540"/>
      <c r="CH863" s="540"/>
      <c r="CI863" s="540"/>
      <c r="CJ863" s="540"/>
      <c r="CK863" s="540"/>
      <c r="CL863" s="540"/>
      <c r="CM863" s="540"/>
      <c r="CN863" s="540"/>
      <c r="CO863" s="540"/>
      <c r="CP863" s="540"/>
      <c r="CQ863" s="540"/>
      <c r="CR863" s="540"/>
      <c r="CS863" s="540"/>
      <c r="CT863" s="540"/>
      <c r="CU863" s="540"/>
      <c r="CV863" s="540"/>
      <c r="CW863" s="540"/>
      <c r="CX863" s="540"/>
      <c r="CY863" s="540"/>
      <c r="CZ863" s="540"/>
      <c r="DA863" s="540"/>
      <c r="DB863" s="540"/>
      <c r="DC863" s="540"/>
      <c r="DD863" s="540"/>
      <c r="DE863" s="540"/>
    </row>
    <row r="864" spans="1:109" s="116" customFormat="1" x14ac:dyDescent="0.2">
      <c r="A864" s="435"/>
      <c r="B864" s="435"/>
      <c r="C864" s="435"/>
      <c r="D864" s="435"/>
      <c r="AB864" s="540"/>
      <c r="AU864" s="540"/>
      <c r="AV864" s="540"/>
      <c r="AW864" s="540"/>
      <c r="AX864" s="540"/>
      <c r="AY864" s="540"/>
      <c r="AZ864" s="540"/>
      <c r="BA864" s="540"/>
      <c r="BB864" s="540"/>
      <c r="BC864" s="540"/>
      <c r="BD864" s="540"/>
      <c r="BE864" s="540"/>
      <c r="BF864" s="540"/>
      <c r="BG864" s="540"/>
      <c r="BH864" s="540"/>
      <c r="BI864" s="540"/>
      <c r="BJ864" s="540"/>
      <c r="BK864" s="540"/>
      <c r="BL864" s="540"/>
      <c r="BM864" s="540"/>
      <c r="BN864" s="540"/>
      <c r="BO864" s="540"/>
      <c r="BP864" s="540"/>
      <c r="BQ864" s="540"/>
      <c r="BR864" s="540"/>
      <c r="BS864" s="540"/>
      <c r="BT864" s="540"/>
      <c r="BU864" s="540"/>
      <c r="BV864" s="540"/>
      <c r="BW864" s="540"/>
      <c r="BX864" s="540"/>
      <c r="BY864" s="540"/>
      <c r="BZ864" s="540"/>
      <c r="CA864" s="540"/>
      <c r="CB864" s="540"/>
      <c r="CC864" s="540"/>
      <c r="CD864" s="540"/>
      <c r="CE864" s="540"/>
      <c r="CF864" s="540"/>
      <c r="CG864" s="540"/>
      <c r="CH864" s="540"/>
      <c r="CI864" s="540"/>
      <c r="CJ864" s="540"/>
      <c r="CK864" s="540"/>
      <c r="CL864" s="540"/>
      <c r="CM864" s="540"/>
      <c r="CN864" s="540"/>
      <c r="CO864" s="540"/>
      <c r="CP864" s="540"/>
      <c r="CQ864" s="540"/>
      <c r="CR864" s="540"/>
      <c r="CS864" s="540"/>
      <c r="CT864" s="540"/>
      <c r="CU864" s="540"/>
      <c r="CV864" s="540"/>
      <c r="CW864" s="540"/>
      <c r="CX864" s="540"/>
      <c r="CY864" s="540"/>
      <c r="CZ864" s="540"/>
      <c r="DA864" s="540"/>
      <c r="DB864" s="540"/>
      <c r="DC864" s="540"/>
      <c r="DD864" s="540"/>
      <c r="DE864" s="540"/>
    </row>
    <row r="865" spans="1:109" s="116" customFormat="1" x14ac:dyDescent="0.2">
      <c r="A865" s="435"/>
      <c r="B865" s="435"/>
      <c r="C865" s="435"/>
      <c r="D865" s="435"/>
      <c r="AB865" s="540"/>
      <c r="AU865" s="540"/>
      <c r="AV865" s="540"/>
      <c r="AW865" s="540"/>
      <c r="AX865" s="540"/>
      <c r="AY865" s="540"/>
      <c r="AZ865" s="540"/>
      <c r="BA865" s="540"/>
      <c r="BB865" s="540"/>
      <c r="BC865" s="540"/>
      <c r="BD865" s="540"/>
      <c r="BE865" s="540"/>
      <c r="BF865" s="540"/>
      <c r="BG865" s="540"/>
      <c r="BH865" s="540"/>
      <c r="BI865" s="540"/>
      <c r="BJ865" s="540"/>
      <c r="BK865" s="540"/>
      <c r="BL865" s="540"/>
      <c r="BM865" s="540"/>
      <c r="BN865" s="540"/>
      <c r="BO865" s="540"/>
      <c r="BP865" s="540"/>
      <c r="BQ865" s="540"/>
      <c r="BR865" s="540"/>
      <c r="BS865" s="540"/>
      <c r="BT865" s="540"/>
      <c r="BU865" s="540"/>
      <c r="BV865" s="540"/>
      <c r="BW865" s="540"/>
      <c r="BX865" s="540"/>
      <c r="BY865" s="540"/>
      <c r="BZ865" s="540"/>
      <c r="CA865" s="540"/>
      <c r="CB865" s="540"/>
      <c r="CC865" s="540"/>
      <c r="CD865" s="540"/>
      <c r="CE865" s="540"/>
      <c r="CF865" s="540"/>
      <c r="CG865" s="540"/>
      <c r="CH865" s="540"/>
      <c r="CI865" s="540"/>
      <c r="CJ865" s="540"/>
      <c r="CK865" s="540"/>
      <c r="CL865" s="540"/>
      <c r="CM865" s="540"/>
      <c r="CN865" s="540"/>
      <c r="CO865" s="540"/>
      <c r="CP865" s="540"/>
      <c r="CQ865" s="540"/>
      <c r="CR865" s="540"/>
      <c r="CS865" s="540"/>
      <c r="CT865" s="540"/>
      <c r="CU865" s="540"/>
      <c r="CV865" s="540"/>
      <c r="CW865" s="540"/>
      <c r="CX865" s="540"/>
      <c r="CY865" s="540"/>
      <c r="CZ865" s="540"/>
      <c r="DA865" s="540"/>
      <c r="DB865" s="540"/>
      <c r="DC865" s="540"/>
      <c r="DD865" s="540"/>
      <c r="DE865" s="540"/>
    </row>
    <row r="866" spans="1:109" s="116" customFormat="1" x14ac:dyDescent="0.2">
      <c r="A866" s="435"/>
      <c r="B866" s="435"/>
      <c r="C866" s="435"/>
      <c r="D866" s="435"/>
      <c r="AB866" s="540"/>
      <c r="AU866" s="540"/>
      <c r="AV866" s="540"/>
      <c r="AW866" s="540"/>
      <c r="AX866" s="540"/>
      <c r="AY866" s="540"/>
      <c r="AZ866" s="540"/>
      <c r="BA866" s="540"/>
      <c r="BB866" s="540"/>
      <c r="BC866" s="540"/>
      <c r="BD866" s="540"/>
      <c r="BE866" s="540"/>
      <c r="BF866" s="540"/>
      <c r="BG866" s="540"/>
      <c r="BH866" s="540"/>
      <c r="BI866" s="540"/>
      <c r="BJ866" s="540"/>
      <c r="BK866" s="540"/>
      <c r="BL866" s="540"/>
      <c r="BM866" s="540"/>
      <c r="BN866" s="540"/>
      <c r="BO866" s="540"/>
      <c r="BP866" s="540"/>
      <c r="BQ866" s="540"/>
      <c r="BR866" s="540"/>
      <c r="BS866" s="540"/>
      <c r="BT866" s="540"/>
      <c r="BU866" s="540"/>
      <c r="BV866" s="540"/>
      <c r="BW866" s="540"/>
      <c r="BX866" s="540"/>
      <c r="BY866" s="540"/>
      <c r="BZ866" s="540"/>
      <c r="CA866" s="540"/>
      <c r="CB866" s="540"/>
      <c r="CC866" s="540"/>
      <c r="CD866" s="540"/>
      <c r="CE866" s="540"/>
      <c r="CF866" s="540"/>
      <c r="CG866" s="540"/>
      <c r="CH866" s="540"/>
      <c r="CI866" s="540"/>
      <c r="CJ866" s="540"/>
      <c r="CK866" s="540"/>
      <c r="CL866" s="540"/>
      <c r="CM866" s="540"/>
      <c r="CN866" s="540"/>
      <c r="CO866" s="540"/>
      <c r="CP866" s="540"/>
      <c r="CQ866" s="540"/>
      <c r="CR866" s="540"/>
      <c r="CS866" s="540"/>
      <c r="CT866" s="540"/>
      <c r="CU866" s="540"/>
      <c r="CV866" s="540"/>
      <c r="CW866" s="540"/>
      <c r="CX866" s="540"/>
      <c r="CY866" s="540"/>
      <c r="CZ866" s="540"/>
      <c r="DA866" s="540"/>
      <c r="DB866" s="540"/>
      <c r="DC866" s="540"/>
      <c r="DD866" s="540"/>
      <c r="DE866" s="540"/>
    </row>
    <row r="867" spans="1:109" s="116" customFormat="1" x14ac:dyDescent="0.2">
      <c r="A867" s="435"/>
      <c r="B867" s="435"/>
      <c r="C867" s="435"/>
      <c r="D867" s="435"/>
      <c r="AB867" s="540"/>
      <c r="AU867" s="540"/>
      <c r="AV867" s="540"/>
      <c r="AW867" s="540"/>
      <c r="AX867" s="540"/>
      <c r="AY867" s="540"/>
      <c r="AZ867" s="540"/>
      <c r="BA867" s="540"/>
      <c r="BB867" s="540"/>
      <c r="BC867" s="540"/>
      <c r="BD867" s="540"/>
      <c r="BE867" s="540"/>
      <c r="BF867" s="540"/>
      <c r="BG867" s="540"/>
      <c r="BH867" s="540"/>
      <c r="BI867" s="540"/>
      <c r="BJ867" s="540"/>
      <c r="BK867" s="540"/>
      <c r="BL867" s="540"/>
      <c r="BM867" s="540"/>
      <c r="BN867" s="540"/>
      <c r="BO867" s="540"/>
      <c r="BP867" s="540"/>
      <c r="BQ867" s="540"/>
      <c r="BR867" s="540"/>
      <c r="BS867" s="540"/>
      <c r="BT867" s="540"/>
      <c r="BU867" s="540"/>
      <c r="BV867" s="540"/>
      <c r="BW867" s="540"/>
      <c r="BX867" s="540"/>
      <c r="BY867" s="540"/>
      <c r="BZ867" s="540"/>
      <c r="CA867" s="540"/>
      <c r="CB867" s="540"/>
      <c r="CC867" s="540"/>
      <c r="CD867" s="540"/>
      <c r="CE867" s="540"/>
      <c r="CF867" s="540"/>
      <c r="CG867" s="540"/>
      <c r="CH867" s="540"/>
      <c r="CI867" s="540"/>
      <c r="CJ867" s="540"/>
      <c r="CK867" s="540"/>
      <c r="CL867" s="540"/>
      <c r="CM867" s="540"/>
      <c r="CN867" s="540"/>
      <c r="CO867" s="540"/>
      <c r="CP867" s="540"/>
      <c r="CQ867" s="540"/>
      <c r="CR867" s="540"/>
      <c r="CS867" s="540"/>
      <c r="CT867" s="540"/>
      <c r="CU867" s="540"/>
      <c r="CV867" s="540"/>
      <c r="CW867" s="540"/>
      <c r="CX867" s="540"/>
      <c r="CY867" s="540"/>
      <c r="CZ867" s="540"/>
      <c r="DA867" s="540"/>
      <c r="DB867" s="540"/>
      <c r="DC867" s="540"/>
      <c r="DD867" s="540"/>
      <c r="DE867" s="540"/>
    </row>
    <row r="868" spans="1:109" s="116" customFormat="1" x14ac:dyDescent="0.2">
      <c r="A868" s="435"/>
      <c r="B868" s="435"/>
      <c r="C868" s="435"/>
      <c r="D868" s="435"/>
      <c r="AB868" s="540"/>
      <c r="AU868" s="540"/>
      <c r="AV868" s="540"/>
      <c r="AW868" s="540"/>
      <c r="AX868" s="540"/>
      <c r="AY868" s="540"/>
      <c r="AZ868" s="540"/>
      <c r="BA868" s="540"/>
      <c r="BB868" s="540"/>
      <c r="BC868" s="540"/>
      <c r="BD868" s="540"/>
      <c r="BE868" s="540"/>
      <c r="BF868" s="540"/>
      <c r="BG868" s="540"/>
      <c r="BH868" s="540"/>
      <c r="BI868" s="540"/>
      <c r="BJ868" s="540"/>
      <c r="BK868" s="540"/>
      <c r="BL868" s="540"/>
      <c r="BM868" s="540"/>
      <c r="BN868" s="540"/>
      <c r="BO868" s="540"/>
      <c r="BP868" s="540"/>
      <c r="BQ868" s="540"/>
      <c r="BR868" s="540"/>
      <c r="BS868" s="540"/>
      <c r="BT868" s="540"/>
      <c r="BU868" s="540"/>
      <c r="BV868" s="540"/>
      <c r="BW868" s="540"/>
      <c r="BX868" s="540"/>
      <c r="BY868" s="540"/>
      <c r="BZ868" s="540"/>
      <c r="CA868" s="540"/>
      <c r="CB868" s="540"/>
      <c r="CC868" s="540"/>
      <c r="CD868" s="540"/>
      <c r="CE868" s="540"/>
      <c r="CF868" s="540"/>
      <c r="CG868" s="540"/>
      <c r="CH868" s="540"/>
      <c r="CI868" s="540"/>
      <c r="CJ868" s="540"/>
      <c r="CK868" s="540"/>
      <c r="CL868" s="540"/>
      <c r="CM868" s="540"/>
      <c r="CN868" s="540"/>
      <c r="CO868" s="540"/>
      <c r="CP868" s="540"/>
      <c r="CQ868" s="540"/>
      <c r="CR868" s="540"/>
      <c r="CS868" s="540"/>
      <c r="CT868" s="540"/>
      <c r="CU868" s="540"/>
      <c r="CV868" s="540"/>
      <c r="CW868" s="540"/>
      <c r="CX868" s="540"/>
      <c r="CY868" s="540"/>
      <c r="CZ868" s="540"/>
      <c r="DA868" s="540"/>
      <c r="DB868" s="540"/>
      <c r="DC868" s="540"/>
      <c r="DD868" s="540"/>
      <c r="DE868" s="540"/>
    </row>
    <row r="869" spans="1:109" s="116" customFormat="1" x14ac:dyDescent="0.2">
      <c r="A869" s="435"/>
      <c r="B869" s="435"/>
      <c r="C869" s="435"/>
      <c r="D869" s="435"/>
      <c r="AB869" s="540"/>
      <c r="AU869" s="540"/>
      <c r="AV869" s="540"/>
      <c r="AW869" s="540"/>
      <c r="AX869" s="540"/>
      <c r="AY869" s="540"/>
      <c r="AZ869" s="540"/>
      <c r="BA869" s="540"/>
      <c r="BB869" s="540"/>
      <c r="BC869" s="540"/>
      <c r="BD869" s="540"/>
      <c r="BE869" s="540"/>
      <c r="BF869" s="540"/>
      <c r="BG869" s="540"/>
      <c r="BH869" s="540"/>
      <c r="BI869" s="540"/>
      <c r="BJ869" s="540"/>
      <c r="BK869" s="540"/>
      <c r="BL869" s="540"/>
      <c r="BM869" s="540"/>
      <c r="BN869" s="540"/>
      <c r="BO869" s="540"/>
      <c r="BP869" s="540"/>
      <c r="BQ869" s="540"/>
      <c r="BR869" s="540"/>
      <c r="BS869" s="540"/>
      <c r="BT869" s="540"/>
      <c r="BU869" s="540"/>
      <c r="BV869" s="540"/>
      <c r="BW869" s="540"/>
      <c r="BX869" s="540"/>
      <c r="BY869" s="540"/>
      <c r="BZ869" s="540"/>
      <c r="CA869" s="540"/>
      <c r="CB869" s="540"/>
      <c r="CC869" s="540"/>
      <c r="CD869" s="540"/>
      <c r="CE869" s="540"/>
      <c r="CF869" s="540"/>
      <c r="CG869" s="540"/>
      <c r="CH869" s="540"/>
      <c r="CI869" s="540"/>
      <c r="CJ869" s="540"/>
      <c r="CK869" s="540"/>
      <c r="CL869" s="540"/>
      <c r="CM869" s="540"/>
      <c r="CN869" s="540"/>
      <c r="CO869" s="540"/>
      <c r="CP869" s="540"/>
      <c r="CQ869" s="540"/>
      <c r="CR869" s="540"/>
      <c r="CS869" s="540"/>
      <c r="CT869" s="540"/>
      <c r="CU869" s="540"/>
      <c r="CV869" s="540"/>
      <c r="CW869" s="540"/>
      <c r="CX869" s="540"/>
      <c r="CY869" s="540"/>
      <c r="CZ869" s="540"/>
      <c r="DA869" s="540"/>
      <c r="DB869" s="540"/>
      <c r="DC869" s="540"/>
      <c r="DD869" s="540"/>
      <c r="DE869" s="540"/>
    </row>
    <row r="870" spans="1:109" s="116" customFormat="1" x14ac:dyDescent="0.2">
      <c r="A870" s="435"/>
      <c r="B870" s="435"/>
      <c r="C870" s="435"/>
      <c r="D870" s="435"/>
      <c r="AB870" s="540"/>
      <c r="AU870" s="540"/>
      <c r="AV870" s="540"/>
      <c r="AW870" s="540"/>
      <c r="AX870" s="540"/>
      <c r="AY870" s="540"/>
      <c r="AZ870" s="540"/>
      <c r="BA870" s="540"/>
      <c r="BB870" s="540"/>
      <c r="BC870" s="540"/>
      <c r="BD870" s="540"/>
      <c r="BE870" s="540"/>
      <c r="BF870" s="540"/>
      <c r="BG870" s="540"/>
      <c r="BH870" s="540"/>
      <c r="BI870" s="540"/>
      <c r="BJ870" s="540"/>
      <c r="BK870" s="540"/>
      <c r="BL870" s="540"/>
      <c r="BM870" s="540"/>
      <c r="BN870" s="540"/>
      <c r="BO870" s="540"/>
      <c r="BP870" s="540"/>
      <c r="BQ870" s="540"/>
      <c r="BR870" s="540"/>
      <c r="BS870" s="540"/>
      <c r="BT870" s="540"/>
      <c r="BU870" s="540"/>
      <c r="BV870" s="540"/>
      <c r="BW870" s="540"/>
      <c r="BX870" s="540"/>
      <c r="BY870" s="540"/>
      <c r="BZ870" s="540"/>
      <c r="CA870" s="540"/>
      <c r="CB870" s="540"/>
      <c r="CC870" s="540"/>
      <c r="CD870" s="540"/>
      <c r="CE870" s="540"/>
      <c r="CF870" s="540"/>
      <c r="CG870" s="540"/>
      <c r="CH870" s="540"/>
      <c r="CI870" s="540"/>
      <c r="CJ870" s="540"/>
      <c r="CK870" s="540"/>
      <c r="CL870" s="540"/>
      <c r="CM870" s="540"/>
      <c r="CN870" s="540"/>
      <c r="CO870" s="540"/>
      <c r="CP870" s="540"/>
      <c r="CQ870" s="540"/>
      <c r="CR870" s="540"/>
      <c r="CS870" s="540"/>
      <c r="CT870" s="540"/>
      <c r="CU870" s="540"/>
      <c r="CV870" s="540"/>
      <c r="CW870" s="540"/>
      <c r="CX870" s="540"/>
      <c r="CY870" s="540"/>
      <c r="CZ870" s="540"/>
      <c r="DA870" s="540"/>
      <c r="DB870" s="540"/>
      <c r="DC870" s="540"/>
      <c r="DD870" s="540"/>
      <c r="DE870" s="540"/>
    </row>
    <row r="871" spans="1:109" s="116" customFormat="1" x14ac:dyDescent="0.2">
      <c r="A871" s="435"/>
      <c r="B871" s="435"/>
      <c r="C871" s="435"/>
      <c r="D871" s="435"/>
      <c r="AB871" s="540"/>
      <c r="AU871" s="540"/>
      <c r="AV871" s="540"/>
      <c r="AW871" s="540"/>
      <c r="AX871" s="540"/>
      <c r="AY871" s="540"/>
      <c r="AZ871" s="540"/>
      <c r="BA871" s="540"/>
      <c r="BB871" s="540"/>
      <c r="BC871" s="540"/>
      <c r="BD871" s="540"/>
      <c r="BE871" s="540"/>
      <c r="BF871" s="540"/>
      <c r="BG871" s="540"/>
      <c r="BH871" s="540"/>
      <c r="BI871" s="540"/>
      <c r="BJ871" s="540"/>
      <c r="BK871" s="540"/>
      <c r="BL871" s="540"/>
      <c r="BM871" s="540"/>
      <c r="BN871" s="540"/>
      <c r="BO871" s="540"/>
      <c r="BP871" s="540"/>
      <c r="BQ871" s="540"/>
      <c r="BR871" s="540"/>
      <c r="BS871" s="540"/>
      <c r="BT871" s="540"/>
      <c r="BU871" s="540"/>
      <c r="BV871" s="540"/>
      <c r="BW871" s="540"/>
      <c r="BX871" s="540"/>
      <c r="BY871" s="540"/>
      <c r="BZ871" s="540"/>
      <c r="CA871" s="540"/>
      <c r="CB871" s="540"/>
      <c r="CC871" s="540"/>
      <c r="CD871" s="540"/>
      <c r="CE871" s="540"/>
      <c r="CF871" s="540"/>
      <c r="CG871" s="540"/>
      <c r="CH871" s="540"/>
      <c r="CI871" s="540"/>
      <c r="CJ871" s="540"/>
      <c r="CK871" s="540"/>
      <c r="CL871" s="540"/>
      <c r="CM871" s="540"/>
      <c r="CN871" s="540"/>
      <c r="CO871" s="540"/>
      <c r="CP871" s="540"/>
      <c r="CQ871" s="540"/>
      <c r="CR871" s="540"/>
      <c r="CS871" s="540"/>
      <c r="CT871" s="540"/>
      <c r="CU871" s="540"/>
      <c r="CV871" s="540"/>
      <c r="CW871" s="540"/>
      <c r="CX871" s="540"/>
      <c r="CY871" s="540"/>
      <c r="CZ871" s="540"/>
      <c r="DA871" s="540"/>
      <c r="DB871" s="540"/>
      <c r="DC871" s="540"/>
      <c r="DD871" s="540"/>
      <c r="DE871" s="540"/>
    </row>
    <row r="872" spans="1:109" s="116" customFormat="1" x14ac:dyDescent="0.2">
      <c r="A872" s="435"/>
      <c r="B872" s="435"/>
      <c r="C872" s="435"/>
      <c r="D872" s="435"/>
      <c r="AB872" s="540"/>
      <c r="AU872" s="540"/>
      <c r="AV872" s="540"/>
      <c r="AW872" s="540"/>
      <c r="AX872" s="540"/>
      <c r="AY872" s="540"/>
      <c r="AZ872" s="540"/>
      <c r="BA872" s="540"/>
      <c r="BB872" s="540"/>
      <c r="BC872" s="540"/>
      <c r="BD872" s="540"/>
      <c r="BE872" s="540"/>
      <c r="BF872" s="540"/>
      <c r="BG872" s="540"/>
      <c r="BH872" s="540"/>
      <c r="BI872" s="540"/>
      <c r="BJ872" s="540"/>
      <c r="BK872" s="540"/>
      <c r="BL872" s="540"/>
      <c r="BM872" s="540"/>
      <c r="BN872" s="540"/>
      <c r="BO872" s="540"/>
      <c r="BP872" s="540"/>
      <c r="BQ872" s="540"/>
      <c r="BR872" s="540"/>
      <c r="BS872" s="540"/>
      <c r="BT872" s="540"/>
      <c r="BU872" s="540"/>
      <c r="BV872" s="540"/>
      <c r="BW872" s="540"/>
      <c r="BX872" s="540"/>
      <c r="BY872" s="540"/>
      <c r="BZ872" s="540"/>
      <c r="CA872" s="540"/>
      <c r="CB872" s="540"/>
      <c r="CC872" s="540"/>
      <c r="CD872" s="540"/>
      <c r="CE872" s="540"/>
      <c r="CF872" s="540"/>
      <c r="CG872" s="540"/>
      <c r="CH872" s="540"/>
      <c r="CI872" s="540"/>
      <c r="CJ872" s="540"/>
      <c r="CK872" s="540"/>
      <c r="CL872" s="540"/>
      <c r="CM872" s="540"/>
      <c r="CN872" s="540"/>
      <c r="CO872" s="540"/>
      <c r="CP872" s="540"/>
      <c r="CQ872" s="540"/>
      <c r="CR872" s="540"/>
      <c r="CS872" s="540"/>
      <c r="CT872" s="540"/>
      <c r="CU872" s="540"/>
      <c r="CV872" s="540"/>
      <c r="CW872" s="540"/>
      <c r="CX872" s="540"/>
      <c r="CY872" s="540"/>
      <c r="CZ872" s="540"/>
      <c r="DA872" s="540"/>
      <c r="DB872" s="540"/>
      <c r="DC872" s="540"/>
      <c r="DD872" s="540"/>
      <c r="DE872" s="540"/>
    </row>
    <row r="873" spans="1:109" s="116" customFormat="1" x14ac:dyDescent="0.2">
      <c r="A873" s="435"/>
      <c r="B873" s="435"/>
      <c r="C873" s="435"/>
      <c r="D873" s="435"/>
      <c r="AB873" s="540"/>
      <c r="AU873" s="540"/>
      <c r="AV873" s="540"/>
      <c r="AW873" s="540"/>
      <c r="AX873" s="540"/>
      <c r="AY873" s="540"/>
      <c r="AZ873" s="540"/>
      <c r="BA873" s="540"/>
      <c r="BB873" s="540"/>
      <c r="BC873" s="540"/>
      <c r="BD873" s="540"/>
      <c r="BE873" s="540"/>
      <c r="BF873" s="540"/>
      <c r="BG873" s="540"/>
      <c r="BH873" s="540"/>
      <c r="BI873" s="540"/>
      <c r="BJ873" s="540"/>
      <c r="BK873" s="540"/>
      <c r="BL873" s="540"/>
      <c r="BM873" s="540"/>
      <c r="BN873" s="540"/>
      <c r="BO873" s="540"/>
      <c r="BP873" s="540"/>
      <c r="BQ873" s="540"/>
      <c r="BR873" s="540"/>
      <c r="BS873" s="540"/>
      <c r="BT873" s="540"/>
      <c r="BU873" s="540"/>
      <c r="BV873" s="540"/>
      <c r="BW873" s="540"/>
      <c r="BX873" s="540"/>
      <c r="BY873" s="540"/>
      <c r="BZ873" s="540"/>
      <c r="CA873" s="540"/>
      <c r="CB873" s="540"/>
      <c r="CC873" s="540"/>
      <c r="CD873" s="540"/>
      <c r="CE873" s="540"/>
      <c r="CF873" s="540"/>
      <c r="CG873" s="540"/>
      <c r="CH873" s="540"/>
      <c r="CI873" s="540"/>
      <c r="CJ873" s="540"/>
      <c r="CK873" s="540"/>
      <c r="CL873" s="540"/>
      <c r="CM873" s="540"/>
      <c r="CN873" s="540"/>
      <c r="CO873" s="540"/>
      <c r="CP873" s="540"/>
      <c r="CQ873" s="540"/>
      <c r="CR873" s="540"/>
      <c r="CS873" s="540"/>
      <c r="CT873" s="540"/>
      <c r="CU873" s="540"/>
      <c r="CV873" s="540"/>
      <c r="CW873" s="540"/>
      <c r="CX873" s="540"/>
      <c r="CY873" s="540"/>
      <c r="CZ873" s="540"/>
      <c r="DA873" s="540"/>
      <c r="DB873" s="540"/>
      <c r="DC873" s="540"/>
      <c r="DD873" s="540"/>
      <c r="DE873" s="540"/>
    </row>
    <row r="874" spans="1:109" s="116" customFormat="1" x14ac:dyDescent="0.2">
      <c r="A874" s="435"/>
      <c r="B874" s="435"/>
      <c r="C874" s="435"/>
      <c r="D874" s="435"/>
      <c r="AB874" s="540"/>
      <c r="AU874" s="540"/>
      <c r="AV874" s="540"/>
      <c r="AW874" s="540"/>
      <c r="AX874" s="540"/>
      <c r="AY874" s="540"/>
      <c r="AZ874" s="540"/>
      <c r="BA874" s="540"/>
      <c r="BB874" s="540"/>
      <c r="BC874" s="540"/>
      <c r="BD874" s="540"/>
      <c r="BE874" s="540"/>
      <c r="BF874" s="540"/>
      <c r="BG874" s="540"/>
      <c r="BH874" s="540"/>
      <c r="BI874" s="540"/>
      <c r="BJ874" s="540"/>
      <c r="BK874" s="540"/>
      <c r="BL874" s="540"/>
      <c r="BM874" s="540"/>
      <c r="BN874" s="540"/>
      <c r="BO874" s="540"/>
      <c r="BP874" s="540"/>
      <c r="BQ874" s="540"/>
      <c r="BR874" s="540"/>
      <c r="BS874" s="540"/>
      <c r="BT874" s="540"/>
      <c r="BU874" s="540"/>
      <c r="BV874" s="540"/>
      <c r="BW874" s="540"/>
      <c r="BX874" s="540"/>
      <c r="BY874" s="540"/>
      <c r="BZ874" s="540"/>
      <c r="CA874" s="540"/>
      <c r="CB874" s="540"/>
      <c r="CC874" s="540"/>
      <c r="CD874" s="540"/>
      <c r="CE874" s="540"/>
      <c r="CF874" s="540"/>
      <c r="CG874" s="540"/>
      <c r="CH874" s="540"/>
      <c r="CI874" s="540"/>
      <c r="CJ874" s="540"/>
      <c r="CK874" s="540"/>
      <c r="CL874" s="540"/>
      <c r="CM874" s="540"/>
      <c r="CN874" s="540"/>
      <c r="CO874" s="540"/>
      <c r="CP874" s="540"/>
      <c r="CQ874" s="540"/>
      <c r="CR874" s="540"/>
      <c r="CS874" s="540"/>
      <c r="CT874" s="540"/>
      <c r="CU874" s="540"/>
      <c r="CV874" s="540"/>
      <c r="CW874" s="540"/>
      <c r="CX874" s="540"/>
      <c r="CY874" s="540"/>
      <c r="CZ874" s="540"/>
      <c r="DA874" s="540"/>
      <c r="DB874" s="540"/>
      <c r="DC874" s="540"/>
      <c r="DD874" s="540"/>
      <c r="DE874" s="540"/>
    </row>
    <row r="875" spans="1:109" s="116" customFormat="1" x14ac:dyDescent="0.2">
      <c r="A875" s="435"/>
      <c r="B875" s="435"/>
      <c r="C875" s="435"/>
      <c r="D875" s="435"/>
      <c r="AB875" s="540"/>
      <c r="AU875" s="540"/>
      <c r="AV875" s="540"/>
      <c r="AW875" s="540"/>
      <c r="AX875" s="540"/>
      <c r="AY875" s="540"/>
      <c r="AZ875" s="540"/>
      <c r="BA875" s="540"/>
      <c r="BB875" s="540"/>
      <c r="BC875" s="540"/>
      <c r="BD875" s="540"/>
      <c r="BE875" s="540"/>
      <c r="BF875" s="540"/>
      <c r="BG875" s="540"/>
      <c r="BH875" s="540"/>
      <c r="BI875" s="540"/>
      <c r="BJ875" s="540"/>
      <c r="BK875" s="540"/>
      <c r="BL875" s="540"/>
      <c r="BM875" s="540"/>
      <c r="BN875" s="540"/>
      <c r="BO875" s="540"/>
      <c r="BP875" s="540"/>
      <c r="BQ875" s="540"/>
      <c r="BR875" s="540"/>
      <c r="BS875" s="540"/>
      <c r="BT875" s="540"/>
      <c r="BU875" s="540"/>
      <c r="BV875" s="540"/>
      <c r="BW875" s="540"/>
      <c r="BX875" s="540"/>
      <c r="BY875" s="540"/>
      <c r="BZ875" s="540"/>
      <c r="CA875" s="540"/>
      <c r="CB875" s="540"/>
      <c r="CC875" s="540"/>
      <c r="CD875" s="540"/>
      <c r="CE875" s="540"/>
      <c r="CF875" s="540"/>
      <c r="CG875" s="540"/>
      <c r="CH875" s="540"/>
      <c r="CI875" s="540"/>
      <c r="CJ875" s="540"/>
      <c r="CK875" s="540"/>
      <c r="CL875" s="540"/>
      <c r="CM875" s="540"/>
      <c r="CN875" s="540"/>
      <c r="CO875" s="540"/>
      <c r="CP875" s="540"/>
      <c r="CQ875" s="540"/>
      <c r="CR875" s="540"/>
      <c r="CS875" s="540"/>
      <c r="CT875" s="540"/>
      <c r="CU875" s="540"/>
      <c r="CV875" s="540"/>
      <c r="CW875" s="540"/>
      <c r="CX875" s="540"/>
      <c r="CY875" s="540"/>
      <c r="CZ875" s="540"/>
      <c r="DA875" s="540"/>
      <c r="DB875" s="540"/>
      <c r="DC875" s="540"/>
      <c r="DD875" s="540"/>
      <c r="DE875" s="540"/>
    </row>
    <row r="876" spans="1:109" s="116" customFormat="1" x14ac:dyDescent="0.2">
      <c r="A876" s="435"/>
      <c r="B876" s="435"/>
      <c r="C876" s="435"/>
      <c r="D876" s="435"/>
      <c r="AB876" s="540"/>
      <c r="AU876" s="540"/>
      <c r="AV876" s="540"/>
      <c r="AW876" s="540"/>
      <c r="AX876" s="540"/>
      <c r="AY876" s="540"/>
      <c r="AZ876" s="540"/>
      <c r="BA876" s="540"/>
      <c r="BB876" s="540"/>
      <c r="BC876" s="540"/>
      <c r="BD876" s="540"/>
      <c r="BE876" s="540"/>
      <c r="BF876" s="540"/>
      <c r="BG876" s="540"/>
      <c r="BH876" s="540"/>
      <c r="BI876" s="540"/>
      <c r="BJ876" s="540"/>
      <c r="BK876" s="540"/>
      <c r="BL876" s="540"/>
      <c r="BM876" s="540"/>
      <c r="BN876" s="540"/>
      <c r="BO876" s="540"/>
      <c r="BP876" s="540"/>
      <c r="BQ876" s="540"/>
      <c r="BR876" s="540"/>
      <c r="BS876" s="540"/>
      <c r="BT876" s="540"/>
      <c r="BU876" s="540"/>
      <c r="BV876" s="540"/>
      <c r="BW876" s="540"/>
      <c r="BX876" s="540"/>
      <c r="BY876" s="540"/>
      <c r="BZ876" s="540"/>
      <c r="CA876" s="540"/>
      <c r="CB876" s="540"/>
      <c r="CC876" s="540"/>
      <c r="CD876" s="540"/>
      <c r="CE876" s="540"/>
      <c r="CF876" s="540"/>
      <c r="CG876" s="540"/>
      <c r="CH876" s="540"/>
      <c r="CI876" s="540"/>
      <c r="CJ876" s="540"/>
      <c r="CK876" s="540"/>
      <c r="CL876" s="540"/>
      <c r="CM876" s="540"/>
      <c r="CN876" s="540"/>
      <c r="CO876" s="540"/>
      <c r="CP876" s="540"/>
      <c r="CQ876" s="540"/>
      <c r="CR876" s="540"/>
      <c r="CS876" s="540"/>
      <c r="CT876" s="540"/>
      <c r="CU876" s="540"/>
      <c r="CV876" s="540"/>
      <c r="CW876" s="540"/>
      <c r="CX876" s="540"/>
      <c r="CY876" s="540"/>
      <c r="CZ876" s="540"/>
      <c r="DA876" s="540"/>
      <c r="DB876" s="540"/>
      <c r="DC876" s="540"/>
      <c r="DD876" s="540"/>
      <c r="DE876" s="540"/>
    </row>
    <row r="877" spans="1:109" s="116" customFormat="1" x14ac:dyDescent="0.2">
      <c r="A877" s="435"/>
      <c r="B877" s="435"/>
      <c r="C877" s="435"/>
      <c r="D877" s="435"/>
      <c r="AB877" s="540"/>
      <c r="AU877" s="540"/>
      <c r="AV877" s="540"/>
      <c r="AW877" s="540"/>
      <c r="AX877" s="540"/>
      <c r="AY877" s="540"/>
      <c r="AZ877" s="540"/>
      <c r="BA877" s="540"/>
      <c r="BB877" s="540"/>
      <c r="BC877" s="540"/>
      <c r="BD877" s="540"/>
      <c r="BE877" s="540"/>
      <c r="BF877" s="540"/>
      <c r="BG877" s="540"/>
      <c r="BH877" s="540"/>
      <c r="BI877" s="540"/>
      <c r="BJ877" s="540"/>
      <c r="BK877" s="540"/>
      <c r="BL877" s="540"/>
      <c r="BM877" s="540"/>
      <c r="BN877" s="540"/>
      <c r="BO877" s="540"/>
      <c r="BP877" s="540"/>
      <c r="BQ877" s="540"/>
      <c r="BR877" s="540"/>
      <c r="BS877" s="540"/>
      <c r="BT877" s="540"/>
      <c r="BU877" s="540"/>
      <c r="BV877" s="540"/>
      <c r="BW877" s="540"/>
      <c r="BX877" s="540"/>
      <c r="BY877" s="540"/>
      <c r="BZ877" s="540"/>
      <c r="CA877" s="540"/>
      <c r="CB877" s="540"/>
      <c r="CC877" s="540"/>
      <c r="CD877" s="540"/>
      <c r="CE877" s="540"/>
      <c r="CF877" s="540"/>
      <c r="CG877" s="540"/>
      <c r="CH877" s="540"/>
      <c r="CI877" s="540"/>
      <c r="CJ877" s="540"/>
      <c r="CK877" s="540"/>
      <c r="CL877" s="540"/>
      <c r="CM877" s="540"/>
      <c r="CN877" s="540"/>
      <c r="CO877" s="540"/>
      <c r="CP877" s="540"/>
      <c r="CQ877" s="540"/>
      <c r="CR877" s="540"/>
      <c r="CS877" s="540"/>
      <c r="CT877" s="540"/>
      <c r="CU877" s="540"/>
      <c r="CV877" s="540"/>
      <c r="CW877" s="540"/>
      <c r="CX877" s="540"/>
      <c r="CY877" s="540"/>
      <c r="CZ877" s="540"/>
      <c r="DA877" s="540"/>
      <c r="DB877" s="540"/>
      <c r="DC877" s="540"/>
      <c r="DD877" s="540"/>
      <c r="DE877" s="540"/>
    </row>
    <row r="878" spans="1:109" s="116" customFormat="1" x14ac:dyDescent="0.2">
      <c r="A878" s="435"/>
      <c r="B878" s="435"/>
      <c r="C878" s="435"/>
      <c r="D878" s="435"/>
      <c r="AB878" s="540"/>
      <c r="AU878" s="540"/>
      <c r="AV878" s="540"/>
      <c r="AW878" s="540"/>
      <c r="AX878" s="540"/>
      <c r="AY878" s="540"/>
      <c r="AZ878" s="540"/>
      <c r="BA878" s="540"/>
      <c r="BB878" s="540"/>
      <c r="BC878" s="540"/>
      <c r="BD878" s="540"/>
      <c r="BE878" s="540"/>
      <c r="BF878" s="540"/>
      <c r="BG878" s="540"/>
      <c r="BH878" s="540"/>
      <c r="BI878" s="540"/>
      <c r="BJ878" s="540"/>
      <c r="BK878" s="540"/>
      <c r="BL878" s="540"/>
      <c r="BM878" s="540"/>
      <c r="BN878" s="540"/>
      <c r="BO878" s="540"/>
      <c r="BP878" s="540"/>
      <c r="BQ878" s="540"/>
      <c r="BR878" s="540"/>
      <c r="BS878" s="540"/>
      <c r="BT878" s="540"/>
      <c r="BU878" s="540"/>
      <c r="BV878" s="540"/>
      <c r="BW878" s="540"/>
      <c r="BX878" s="540"/>
      <c r="BY878" s="540"/>
      <c r="BZ878" s="540"/>
      <c r="CA878" s="540"/>
      <c r="CB878" s="540"/>
      <c r="CC878" s="540"/>
      <c r="CD878" s="540"/>
      <c r="CE878" s="540"/>
      <c r="CF878" s="540"/>
      <c r="CG878" s="540"/>
      <c r="CH878" s="540"/>
      <c r="CI878" s="540"/>
      <c r="CJ878" s="540"/>
      <c r="CK878" s="540"/>
      <c r="CL878" s="540"/>
      <c r="CM878" s="540"/>
      <c r="CN878" s="540"/>
      <c r="CO878" s="540"/>
      <c r="CP878" s="540"/>
      <c r="CQ878" s="540"/>
      <c r="CR878" s="540"/>
      <c r="CS878" s="540"/>
      <c r="CT878" s="540"/>
      <c r="CU878" s="540"/>
      <c r="CV878" s="540"/>
      <c r="CW878" s="540"/>
      <c r="CX878" s="540"/>
      <c r="CY878" s="540"/>
      <c r="CZ878" s="540"/>
      <c r="DA878" s="540"/>
      <c r="DB878" s="540"/>
      <c r="DC878" s="540"/>
      <c r="DD878" s="540"/>
      <c r="DE878" s="540"/>
    </row>
    <row r="879" spans="1:109" s="116" customFormat="1" x14ac:dyDescent="0.2">
      <c r="A879" s="435"/>
      <c r="B879" s="435"/>
      <c r="C879" s="435"/>
      <c r="D879" s="435"/>
      <c r="AB879" s="540"/>
      <c r="AU879" s="540"/>
      <c r="AV879" s="540"/>
      <c r="AW879" s="540"/>
      <c r="AX879" s="540"/>
      <c r="AY879" s="540"/>
      <c r="AZ879" s="540"/>
      <c r="BA879" s="540"/>
      <c r="BB879" s="540"/>
      <c r="BC879" s="540"/>
      <c r="BD879" s="540"/>
      <c r="BE879" s="540"/>
      <c r="BF879" s="540"/>
      <c r="BG879" s="540"/>
      <c r="BH879" s="540"/>
      <c r="BI879" s="540"/>
      <c r="BJ879" s="540"/>
      <c r="BK879" s="540"/>
      <c r="BL879" s="540"/>
      <c r="BM879" s="540"/>
      <c r="BN879" s="540"/>
      <c r="BO879" s="540"/>
      <c r="BP879" s="540"/>
      <c r="BQ879" s="540"/>
      <c r="BR879" s="540"/>
      <c r="BS879" s="540"/>
      <c r="BT879" s="540"/>
      <c r="BU879" s="540"/>
      <c r="BV879" s="540"/>
      <c r="BW879" s="540"/>
      <c r="BX879" s="540"/>
      <c r="BY879" s="540"/>
      <c r="BZ879" s="540"/>
      <c r="CA879" s="540"/>
      <c r="CB879" s="540"/>
      <c r="CC879" s="540"/>
      <c r="CD879" s="540"/>
      <c r="CE879" s="540"/>
      <c r="CF879" s="540"/>
      <c r="CG879" s="540"/>
      <c r="CH879" s="540"/>
      <c r="CI879" s="540"/>
      <c r="CJ879" s="540"/>
      <c r="CK879" s="540"/>
      <c r="CL879" s="540"/>
      <c r="CM879" s="540"/>
      <c r="CN879" s="540"/>
      <c r="CO879" s="540"/>
      <c r="CP879" s="540"/>
      <c r="CQ879" s="540"/>
      <c r="CR879" s="540"/>
      <c r="CS879" s="540"/>
      <c r="CT879" s="540"/>
      <c r="CU879" s="540"/>
      <c r="CV879" s="540"/>
      <c r="CW879" s="540"/>
      <c r="CX879" s="540"/>
      <c r="CY879" s="540"/>
      <c r="CZ879" s="540"/>
      <c r="DA879" s="540"/>
      <c r="DB879" s="540"/>
      <c r="DC879" s="540"/>
      <c r="DD879" s="540"/>
      <c r="DE879" s="540"/>
    </row>
    <row r="880" spans="1:109" s="116" customFormat="1" x14ac:dyDescent="0.2">
      <c r="A880" s="435"/>
      <c r="B880" s="435"/>
      <c r="C880" s="435"/>
      <c r="D880" s="435"/>
      <c r="AB880" s="540"/>
      <c r="AU880" s="540"/>
      <c r="AV880" s="540"/>
      <c r="AW880" s="540"/>
      <c r="AX880" s="540"/>
      <c r="AY880" s="540"/>
      <c r="AZ880" s="540"/>
      <c r="BA880" s="540"/>
      <c r="BB880" s="540"/>
      <c r="BC880" s="540"/>
      <c r="BD880" s="540"/>
      <c r="BE880" s="540"/>
      <c r="BF880" s="540"/>
      <c r="BG880" s="540"/>
      <c r="BH880" s="540"/>
      <c r="BI880" s="540"/>
      <c r="BJ880" s="540"/>
      <c r="BK880" s="540"/>
      <c r="BL880" s="540"/>
      <c r="BM880" s="540"/>
      <c r="BN880" s="540"/>
      <c r="BO880" s="540"/>
      <c r="BP880" s="540"/>
      <c r="BQ880" s="540"/>
      <c r="BR880" s="540"/>
      <c r="BS880" s="540"/>
      <c r="BT880" s="540"/>
      <c r="BU880" s="540"/>
      <c r="BV880" s="540"/>
      <c r="BW880" s="540"/>
      <c r="BX880" s="540"/>
      <c r="BY880" s="540"/>
      <c r="BZ880" s="540"/>
      <c r="CA880" s="540"/>
      <c r="CB880" s="540"/>
      <c r="CC880" s="540"/>
      <c r="CD880" s="540"/>
      <c r="CE880" s="540"/>
      <c r="CF880" s="540"/>
      <c r="CG880" s="540"/>
      <c r="CH880" s="540"/>
      <c r="CI880" s="540"/>
      <c r="CJ880" s="540"/>
      <c r="CK880" s="540"/>
      <c r="CL880" s="540"/>
      <c r="CM880" s="540"/>
      <c r="CN880" s="540"/>
      <c r="CO880" s="540"/>
      <c r="CP880" s="540"/>
      <c r="CQ880" s="540"/>
      <c r="CR880" s="540"/>
      <c r="CS880" s="540"/>
      <c r="CT880" s="540"/>
      <c r="CU880" s="540"/>
      <c r="CV880" s="540"/>
      <c r="CW880" s="540"/>
      <c r="CX880" s="540"/>
      <c r="CY880" s="540"/>
      <c r="CZ880" s="540"/>
      <c r="DA880" s="540"/>
      <c r="DB880" s="540"/>
      <c r="DC880" s="540"/>
      <c r="DD880" s="540"/>
      <c r="DE880" s="540"/>
    </row>
    <row r="881" spans="1:109" s="116" customFormat="1" x14ac:dyDescent="0.2">
      <c r="A881" s="435"/>
      <c r="B881" s="435"/>
      <c r="C881" s="435"/>
      <c r="D881" s="435"/>
      <c r="AB881" s="540"/>
      <c r="AU881" s="540"/>
      <c r="AV881" s="540"/>
      <c r="AW881" s="540"/>
      <c r="AX881" s="540"/>
      <c r="AY881" s="540"/>
      <c r="AZ881" s="540"/>
      <c r="BA881" s="540"/>
      <c r="BB881" s="540"/>
      <c r="BC881" s="540"/>
      <c r="BD881" s="540"/>
      <c r="BE881" s="540"/>
      <c r="BF881" s="540"/>
      <c r="BG881" s="540"/>
      <c r="BH881" s="540"/>
      <c r="BI881" s="540"/>
      <c r="BJ881" s="540"/>
      <c r="BK881" s="540"/>
      <c r="BL881" s="540"/>
      <c r="BM881" s="540"/>
      <c r="BN881" s="540"/>
      <c r="BO881" s="540"/>
      <c r="BP881" s="540"/>
      <c r="BQ881" s="540"/>
      <c r="BR881" s="540"/>
      <c r="BS881" s="540"/>
      <c r="BT881" s="540"/>
      <c r="BU881" s="540"/>
      <c r="BV881" s="540"/>
      <c r="BW881" s="540"/>
      <c r="BX881" s="540"/>
      <c r="BY881" s="540"/>
      <c r="BZ881" s="540"/>
      <c r="CA881" s="540"/>
      <c r="CB881" s="540"/>
      <c r="CC881" s="540"/>
      <c r="CD881" s="540"/>
      <c r="CE881" s="540"/>
      <c r="CF881" s="540"/>
      <c r="CG881" s="540"/>
      <c r="CH881" s="540"/>
      <c r="CI881" s="540"/>
      <c r="CJ881" s="540"/>
      <c r="CK881" s="540"/>
      <c r="CL881" s="540"/>
      <c r="CM881" s="540"/>
      <c r="CN881" s="540"/>
      <c r="CO881" s="540"/>
      <c r="CP881" s="540"/>
      <c r="CQ881" s="540"/>
      <c r="CR881" s="540"/>
      <c r="CS881" s="540"/>
      <c r="CT881" s="540"/>
      <c r="CU881" s="540"/>
      <c r="CV881" s="540"/>
      <c r="CW881" s="540"/>
      <c r="CX881" s="540"/>
      <c r="CY881" s="540"/>
      <c r="CZ881" s="540"/>
      <c r="DA881" s="540"/>
      <c r="DB881" s="540"/>
      <c r="DC881" s="540"/>
      <c r="DD881" s="540"/>
      <c r="DE881" s="540"/>
    </row>
    <row r="882" spans="1:109" s="116" customFormat="1" x14ac:dyDescent="0.2">
      <c r="A882" s="435"/>
      <c r="B882" s="435"/>
      <c r="C882" s="435"/>
      <c r="D882" s="435"/>
      <c r="AB882" s="540"/>
      <c r="AU882" s="540"/>
      <c r="AV882" s="540"/>
      <c r="AW882" s="540"/>
      <c r="AX882" s="540"/>
      <c r="AY882" s="540"/>
      <c r="AZ882" s="540"/>
      <c r="BA882" s="540"/>
      <c r="BB882" s="540"/>
      <c r="BC882" s="540"/>
      <c r="BD882" s="540"/>
      <c r="BE882" s="540"/>
      <c r="BF882" s="540"/>
      <c r="BG882" s="540"/>
      <c r="BH882" s="540"/>
      <c r="BI882" s="540"/>
      <c r="BJ882" s="540"/>
      <c r="BK882" s="540"/>
      <c r="BL882" s="540"/>
      <c r="BM882" s="540"/>
      <c r="BN882" s="540"/>
      <c r="BO882" s="540"/>
      <c r="BP882" s="540"/>
      <c r="BQ882" s="540"/>
      <c r="BR882" s="540"/>
      <c r="BS882" s="540"/>
      <c r="BT882" s="540"/>
      <c r="BU882" s="540"/>
      <c r="BV882" s="540"/>
      <c r="BW882" s="540"/>
      <c r="BX882" s="540"/>
      <c r="BY882" s="540"/>
      <c r="BZ882" s="540"/>
      <c r="CA882" s="540"/>
      <c r="CB882" s="540"/>
      <c r="CC882" s="540"/>
      <c r="CD882" s="540"/>
      <c r="CE882" s="540"/>
      <c r="CF882" s="540"/>
      <c r="CG882" s="540"/>
      <c r="CH882" s="540"/>
      <c r="CI882" s="540"/>
      <c r="CJ882" s="540"/>
      <c r="CK882" s="540"/>
      <c r="CL882" s="540"/>
      <c r="CM882" s="540"/>
      <c r="CN882" s="540"/>
      <c r="CO882" s="540"/>
      <c r="CP882" s="540"/>
      <c r="CQ882" s="540"/>
      <c r="CR882" s="540"/>
      <c r="CS882" s="540"/>
      <c r="CT882" s="540"/>
      <c r="CU882" s="540"/>
      <c r="CV882" s="540"/>
      <c r="CW882" s="540"/>
      <c r="CX882" s="540"/>
      <c r="CY882" s="540"/>
      <c r="CZ882" s="540"/>
      <c r="DA882" s="540"/>
      <c r="DB882" s="540"/>
      <c r="DC882" s="540"/>
      <c r="DD882" s="540"/>
      <c r="DE882" s="540"/>
    </row>
    <row r="883" spans="1:109" s="116" customFormat="1" x14ac:dyDescent="0.2">
      <c r="A883" s="435"/>
      <c r="B883" s="435"/>
      <c r="C883" s="435"/>
      <c r="D883" s="435"/>
      <c r="AB883" s="540"/>
      <c r="AU883" s="540"/>
      <c r="AV883" s="540"/>
      <c r="AW883" s="540"/>
      <c r="AX883" s="540"/>
      <c r="AY883" s="540"/>
      <c r="AZ883" s="540"/>
      <c r="BA883" s="540"/>
      <c r="BB883" s="540"/>
      <c r="BC883" s="540"/>
      <c r="BD883" s="540"/>
      <c r="BE883" s="540"/>
      <c r="BF883" s="540"/>
      <c r="BG883" s="540"/>
      <c r="BH883" s="540"/>
      <c r="BI883" s="540"/>
      <c r="BJ883" s="540"/>
      <c r="BK883" s="540"/>
      <c r="BL883" s="540"/>
      <c r="BM883" s="540"/>
      <c r="BN883" s="540"/>
      <c r="BO883" s="540"/>
      <c r="BP883" s="540"/>
      <c r="BQ883" s="540"/>
      <c r="BR883" s="540"/>
      <c r="BS883" s="540"/>
      <c r="BT883" s="540"/>
      <c r="BU883" s="540"/>
      <c r="BV883" s="540"/>
      <c r="BW883" s="540"/>
      <c r="BX883" s="540"/>
      <c r="BY883" s="540"/>
      <c r="BZ883" s="540"/>
      <c r="CA883" s="540"/>
      <c r="CB883" s="540"/>
      <c r="CC883" s="540"/>
      <c r="CD883" s="540"/>
      <c r="CE883" s="540"/>
      <c r="CF883" s="540"/>
      <c r="CG883" s="540"/>
      <c r="CH883" s="540"/>
      <c r="CI883" s="540"/>
      <c r="CJ883" s="540"/>
      <c r="CK883" s="540"/>
      <c r="CL883" s="540"/>
      <c r="CM883" s="540"/>
      <c r="CN883" s="540"/>
      <c r="CO883" s="540"/>
      <c r="CP883" s="540"/>
      <c r="CQ883" s="540"/>
      <c r="CR883" s="540"/>
      <c r="CS883" s="540"/>
      <c r="CT883" s="540"/>
      <c r="CU883" s="540"/>
      <c r="CV883" s="540"/>
      <c r="CW883" s="540"/>
      <c r="CX883" s="540"/>
      <c r="CY883" s="540"/>
      <c r="CZ883" s="540"/>
      <c r="DA883" s="540"/>
      <c r="DB883" s="540"/>
      <c r="DC883" s="540"/>
      <c r="DD883" s="540"/>
      <c r="DE883" s="540"/>
    </row>
    <row r="884" spans="1:109" s="116" customFormat="1" x14ac:dyDescent="0.2">
      <c r="A884" s="435"/>
      <c r="B884" s="435"/>
      <c r="C884" s="435"/>
      <c r="D884" s="435"/>
      <c r="AB884" s="540"/>
      <c r="AU884" s="540"/>
      <c r="AV884" s="540"/>
      <c r="AW884" s="540"/>
      <c r="AX884" s="540"/>
      <c r="AY884" s="540"/>
      <c r="AZ884" s="540"/>
      <c r="BA884" s="540"/>
      <c r="BB884" s="540"/>
      <c r="BC884" s="540"/>
      <c r="BD884" s="540"/>
      <c r="BE884" s="540"/>
      <c r="BF884" s="540"/>
      <c r="BG884" s="540"/>
      <c r="BH884" s="540"/>
      <c r="BI884" s="540"/>
      <c r="BJ884" s="540"/>
      <c r="BK884" s="540"/>
      <c r="BL884" s="540"/>
      <c r="BM884" s="540"/>
      <c r="BN884" s="540"/>
      <c r="BO884" s="540"/>
      <c r="BP884" s="540"/>
      <c r="BQ884" s="540"/>
      <c r="BR884" s="540"/>
      <c r="BS884" s="540"/>
      <c r="BT884" s="540"/>
      <c r="BU884" s="540"/>
      <c r="BV884" s="540"/>
      <c r="BW884" s="540"/>
      <c r="BX884" s="540"/>
      <c r="BY884" s="540"/>
      <c r="BZ884" s="540"/>
      <c r="CA884" s="540"/>
      <c r="CB884" s="540"/>
      <c r="CC884" s="540"/>
      <c r="CD884" s="540"/>
      <c r="CE884" s="540"/>
      <c r="CF884" s="540"/>
      <c r="CG884" s="540"/>
      <c r="CH884" s="540"/>
      <c r="CI884" s="540"/>
      <c r="CJ884" s="540"/>
      <c r="CK884" s="540"/>
      <c r="CL884" s="540"/>
      <c r="CM884" s="540"/>
      <c r="CN884" s="540"/>
      <c r="CO884" s="540"/>
      <c r="CP884" s="540"/>
      <c r="CQ884" s="540"/>
      <c r="CR884" s="540"/>
      <c r="CS884" s="540"/>
      <c r="CT884" s="540"/>
      <c r="CU884" s="540"/>
      <c r="CV884" s="540"/>
      <c r="CW884" s="540"/>
      <c r="CX884" s="540"/>
      <c r="CY884" s="540"/>
      <c r="CZ884" s="540"/>
      <c r="DA884" s="540"/>
      <c r="DB884" s="540"/>
      <c r="DC884" s="540"/>
      <c r="DD884" s="540"/>
      <c r="DE884" s="540"/>
    </row>
    <row r="885" spans="1:109" s="116" customFormat="1" x14ac:dyDescent="0.2">
      <c r="A885" s="435"/>
      <c r="B885" s="435"/>
      <c r="C885" s="435"/>
      <c r="D885" s="435"/>
      <c r="AB885" s="540"/>
      <c r="AU885" s="540"/>
      <c r="AV885" s="540"/>
      <c r="AW885" s="540"/>
      <c r="AX885" s="540"/>
      <c r="AY885" s="540"/>
      <c r="AZ885" s="540"/>
      <c r="BA885" s="540"/>
      <c r="BB885" s="540"/>
      <c r="BC885" s="540"/>
      <c r="BD885" s="540"/>
      <c r="BE885" s="540"/>
      <c r="BF885" s="540"/>
      <c r="BG885" s="540"/>
      <c r="BH885" s="540"/>
      <c r="BI885" s="540"/>
      <c r="BJ885" s="540"/>
      <c r="BK885" s="540"/>
      <c r="BL885" s="540"/>
      <c r="BM885" s="540"/>
      <c r="BN885" s="540"/>
      <c r="BO885" s="540"/>
      <c r="BP885" s="540"/>
      <c r="BQ885" s="540"/>
      <c r="BR885" s="540"/>
      <c r="BS885" s="540"/>
      <c r="BT885" s="540"/>
      <c r="BU885" s="540"/>
      <c r="BV885" s="540"/>
      <c r="BW885" s="540"/>
      <c r="BX885" s="540"/>
      <c r="BY885" s="540"/>
      <c r="BZ885" s="540"/>
      <c r="CA885" s="540"/>
      <c r="CB885" s="540"/>
      <c r="CC885" s="540"/>
      <c r="CD885" s="540"/>
      <c r="CE885" s="540"/>
      <c r="CF885" s="540"/>
      <c r="CG885" s="540"/>
      <c r="CH885" s="540"/>
      <c r="CI885" s="540"/>
      <c r="CJ885" s="540"/>
      <c r="CK885" s="540"/>
      <c r="CL885" s="540"/>
      <c r="CM885" s="540"/>
      <c r="CN885" s="540"/>
      <c r="CO885" s="540"/>
      <c r="CP885" s="540"/>
      <c r="CQ885" s="540"/>
      <c r="CR885" s="540"/>
      <c r="CS885" s="540"/>
      <c r="CT885" s="540"/>
      <c r="CU885" s="540"/>
      <c r="CV885" s="540"/>
      <c r="CW885" s="540"/>
      <c r="CX885" s="540"/>
      <c r="CY885" s="540"/>
      <c r="CZ885" s="540"/>
      <c r="DA885" s="540"/>
      <c r="DB885" s="540"/>
      <c r="DC885" s="540"/>
      <c r="DD885" s="540"/>
      <c r="DE885" s="540"/>
    </row>
    <row r="886" spans="1:109" s="116" customFormat="1" x14ac:dyDescent="0.2">
      <c r="A886" s="435"/>
      <c r="B886" s="435"/>
      <c r="C886" s="435"/>
      <c r="D886" s="435"/>
      <c r="AB886" s="540"/>
      <c r="AU886" s="540"/>
      <c r="AV886" s="540"/>
      <c r="AW886" s="540"/>
      <c r="AX886" s="540"/>
      <c r="AY886" s="540"/>
      <c r="AZ886" s="540"/>
      <c r="BA886" s="540"/>
      <c r="BB886" s="540"/>
      <c r="BC886" s="540"/>
      <c r="BD886" s="540"/>
      <c r="BE886" s="540"/>
      <c r="BF886" s="540"/>
      <c r="BG886" s="540"/>
      <c r="BH886" s="540"/>
      <c r="BI886" s="540"/>
      <c r="BJ886" s="540"/>
      <c r="BK886" s="540"/>
      <c r="BL886" s="540"/>
      <c r="BM886" s="540"/>
      <c r="BN886" s="540"/>
      <c r="BO886" s="540"/>
      <c r="BP886" s="540"/>
      <c r="BQ886" s="540"/>
      <c r="BR886" s="540"/>
      <c r="BS886" s="540"/>
      <c r="BT886" s="540"/>
      <c r="BU886" s="540"/>
      <c r="BV886" s="540"/>
      <c r="BW886" s="540"/>
      <c r="BX886" s="540"/>
      <c r="BY886" s="540"/>
      <c r="BZ886" s="540"/>
      <c r="CA886" s="540"/>
      <c r="CB886" s="540"/>
      <c r="CC886" s="540"/>
      <c r="CD886" s="540"/>
      <c r="CE886" s="540"/>
      <c r="CF886" s="540"/>
      <c r="CG886" s="540"/>
      <c r="CH886" s="540"/>
      <c r="CI886" s="540"/>
      <c r="CJ886" s="540"/>
      <c r="CK886" s="540"/>
      <c r="CL886" s="540"/>
      <c r="CM886" s="540"/>
      <c r="CN886" s="540"/>
      <c r="CO886" s="540"/>
      <c r="CP886" s="540"/>
      <c r="CQ886" s="540"/>
      <c r="CR886" s="540"/>
      <c r="CS886" s="540"/>
      <c r="CT886" s="540"/>
      <c r="CU886" s="540"/>
      <c r="CV886" s="540"/>
      <c r="CW886" s="540"/>
      <c r="CX886" s="540"/>
      <c r="CY886" s="540"/>
      <c r="CZ886" s="540"/>
      <c r="DA886" s="540"/>
      <c r="DB886" s="540"/>
      <c r="DC886" s="540"/>
      <c r="DD886" s="540"/>
      <c r="DE886" s="540"/>
    </row>
    <row r="887" spans="1:109" s="116" customFormat="1" x14ac:dyDescent="0.2">
      <c r="A887" s="435"/>
      <c r="B887" s="435"/>
      <c r="C887" s="435"/>
      <c r="D887" s="435"/>
      <c r="AB887" s="540"/>
      <c r="AU887" s="540"/>
      <c r="AV887" s="540"/>
      <c r="AW887" s="540"/>
      <c r="AX887" s="540"/>
      <c r="AY887" s="540"/>
      <c r="AZ887" s="540"/>
      <c r="BA887" s="540"/>
      <c r="BB887" s="540"/>
      <c r="BC887" s="540"/>
      <c r="BD887" s="540"/>
      <c r="BE887" s="540"/>
      <c r="BF887" s="540"/>
      <c r="BG887" s="540"/>
      <c r="BH887" s="540"/>
      <c r="BI887" s="540"/>
      <c r="BJ887" s="540"/>
      <c r="BK887" s="540"/>
      <c r="BL887" s="540"/>
      <c r="BM887" s="540"/>
      <c r="BN887" s="540"/>
      <c r="BO887" s="540"/>
      <c r="BP887" s="540"/>
      <c r="BQ887" s="540"/>
      <c r="BR887" s="540"/>
      <c r="BS887" s="540"/>
      <c r="BT887" s="540"/>
      <c r="BU887" s="540"/>
      <c r="BV887" s="540"/>
      <c r="BW887" s="540"/>
      <c r="BX887" s="540"/>
      <c r="BY887" s="540"/>
      <c r="BZ887" s="540"/>
      <c r="CA887" s="540"/>
      <c r="CB887" s="540"/>
      <c r="CC887" s="540"/>
      <c r="CD887" s="540"/>
      <c r="CE887" s="540"/>
      <c r="CF887" s="540"/>
      <c r="CG887" s="540"/>
      <c r="CH887" s="540"/>
      <c r="CI887" s="540"/>
      <c r="CJ887" s="540"/>
      <c r="CK887" s="540"/>
      <c r="CL887" s="540"/>
      <c r="CM887" s="540"/>
      <c r="CN887" s="540"/>
      <c r="CO887" s="540"/>
      <c r="CP887" s="540"/>
      <c r="CQ887" s="540"/>
      <c r="CR887" s="540"/>
      <c r="CS887" s="540"/>
      <c r="CT887" s="540"/>
      <c r="CU887" s="540"/>
      <c r="CV887" s="540"/>
      <c r="CW887" s="540"/>
      <c r="CX887" s="540"/>
      <c r="CY887" s="540"/>
      <c r="CZ887" s="540"/>
      <c r="DA887" s="540"/>
      <c r="DB887" s="540"/>
      <c r="DC887" s="540"/>
      <c r="DD887" s="540"/>
      <c r="DE887" s="540"/>
    </row>
    <row r="888" spans="1:109" s="116" customFormat="1" x14ac:dyDescent="0.2">
      <c r="A888" s="435"/>
      <c r="B888" s="435"/>
      <c r="C888" s="435"/>
      <c r="D888" s="435"/>
      <c r="AB888" s="540"/>
      <c r="AU888" s="540"/>
      <c r="AV888" s="540"/>
      <c r="AW888" s="540"/>
      <c r="AX888" s="540"/>
      <c r="AY888" s="540"/>
      <c r="AZ888" s="540"/>
      <c r="BA888" s="540"/>
      <c r="BB888" s="540"/>
      <c r="BC888" s="540"/>
      <c r="BD888" s="540"/>
      <c r="BE888" s="540"/>
      <c r="BF888" s="540"/>
      <c r="BG888" s="540"/>
      <c r="BH888" s="540"/>
      <c r="BI888" s="540"/>
      <c r="BJ888" s="540"/>
      <c r="BK888" s="540"/>
      <c r="BL888" s="540"/>
      <c r="BM888" s="540"/>
      <c r="BN888" s="540"/>
      <c r="BO888" s="540"/>
      <c r="BP888" s="540"/>
      <c r="BQ888" s="540"/>
      <c r="BR888" s="540"/>
      <c r="BS888" s="540"/>
      <c r="BT888" s="540"/>
      <c r="BU888" s="540"/>
      <c r="BV888" s="540"/>
      <c r="BW888" s="540"/>
      <c r="BX888" s="540"/>
      <c r="BY888" s="540"/>
      <c r="BZ888" s="540"/>
      <c r="CA888" s="540"/>
      <c r="CB888" s="540"/>
      <c r="CC888" s="540"/>
      <c r="CD888" s="540"/>
      <c r="CE888" s="540"/>
      <c r="CF888" s="540"/>
      <c r="CG888" s="540"/>
      <c r="CH888" s="540"/>
      <c r="CI888" s="540"/>
      <c r="CJ888" s="540"/>
      <c r="CK888" s="540"/>
      <c r="CL888" s="540"/>
      <c r="CM888" s="540"/>
      <c r="CN888" s="540"/>
      <c r="CO888" s="540"/>
      <c r="CP888" s="540"/>
      <c r="CQ888" s="540"/>
      <c r="CR888" s="540"/>
      <c r="CS888" s="540"/>
      <c r="CT888" s="540"/>
      <c r="CU888" s="540"/>
      <c r="CV888" s="540"/>
      <c r="CW888" s="540"/>
      <c r="CX888" s="540"/>
      <c r="CY888" s="540"/>
      <c r="CZ888" s="540"/>
      <c r="DA888" s="540"/>
      <c r="DB888" s="540"/>
      <c r="DC888" s="540"/>
      <c r="DD888" s="540"/>
      <c r="DE888" s="540"/>
    </row>
    <row r="889" spans="1:109" s="116" customFormat="1" x14ac:dyDescent="0.2">
      <c r="A889" s="435"/>
      <c r="B889" s="435"/>
      <c r="C889" s="435"/>
      <c r="D889" s="435"/>
      <c r="AB889" s="540"/>
      <c r="AU889" s="540"/>
      <c r="AV889" s="540"/>
      <c r="AW889" s="540"/>
      <c r="AX889" s="540"/>
      <c r="AY889" s="540"/>
      <c r="AZ889" s="540"/>
      <c r="BA889" s="540"/>
      <c r="BB889" s="540"/>
      <c r="BC889" s="540"/>
      <c r="BD889" s="540"/>
      <c r="BE889" s="540"/>
      <c r="BF889" s="540"/>
      <c r="BG889" s="540"/>
      <c r="BH889" s="540"/>
      <c r="BI889" s="540"/>
      <c r="BJ889" s="540"/>
      <c r="BK889" s="540"/>
      <c r="BL889" s="540"/>
      <c r="BM889" s="540"/>
      <c r="BN889" s="540"/>
      <c r="BO889" s="540"/>
      <c r="BP889" s="540"/>
      <c r="BQ889" s="540"/>
      <c r="BR889" s="540"/>
      <c r="BS889" s="540"/>
      <c r="BT889" s="540"/>
      <c r="BU889" s="540"/>
      <c r="BV889" s="540"/>
      <c r="BW889" s="540"/>
      <c r="BX889" s="540"/>
      <c r="BY889" s="540"/>
      <c r="BZ889" s="540"/>
      <c r="CA889" s="540"/>
      <c r="CB889" s="540"/>
      <c r="CC889" s="540"/>
      <c r="CD889" s="540"/>
      <c r="CE889" s="540"/>
      <c r="CF889" s="540"/>
      <c r="CG889" s="540"/>
      <c r="CH889" s="540"/>
      <c r="CI889" s="540"/>
      <c r="CJ889" s="540"/>
      <c r="CK889" s="540"/>
      <c r="CL889" s="540"/>
      <c r="CM889" s="540"/>
      <c r="CN889" s="540"/>
      <c r="CO889" s="540"/>
      <c r="CP889" s="540"/>
      <c r="CQ889" s="540"/>
      <c r="CR889" s="540"/>
      <c r="CS889" s="540"/>
      <c r="CT889" s="540"/>
      <c r="CU889" s="540"/>
      <c r="CV889" s="540"/>
      <c r="CW889" s="540"/>
      <c r="CX889" s="540"/>
      <c r="CY889" s="540"/>
      <c r="CZ889" s="540"/>
      <c r="DA889" s="540"/>
      <c r="DB889" s="540"/>
      <c r="DC889" s="540"/>
      <c r="DD889" s="540"/>
      <c r="DE889" s="540"/>
    </row>
    <row r="890" spans="1:109" s="116" customFormat="1" x14ac:dyDescent="0.2">
      <c r="A890" s="435"/>
      <c r="B890" s="435"/>
      <c r="C890" s="435"/>
      <c r="D890" s="435"/>
      <c r="AB890" s="540"/>
      <c r="AU890" s="540"/>
      <c r="AV890" s="540"/>
      <c r="AW890" s="540"/>
      <c r="AX890" s="540"/>
      <c r="AY890" s="540"/>
      <c r="AZ890" s="540"/>
      <c r="BA890" s="540"/>
      <c r="BB890" s="540"/>
      <c r="BC890" s="540"/>
      <c r="BD890" s="540"/>
      <c r="BE890" s="540"/>
      <c r="BF890" s="540"/>
      <c r="BG890" s="540"/>
      <c r="BH890" s="540"/>
      <c r="BI890" s="540"/>
      <c r="BJ890" s="540"/>
      <c r="BK890" s="540"/>
      <c r="BL890" s="540"/>
      <c r="BM890" s="540"/>
      <c r="BN890" s="540"/>
      <c r="BO890" s="540"/>
      <c r="BP890" s="540"/>
      <c r="BQ890" s="540"/>
      <c r="BR890" s="540"/>
      <c r="BS890" s="540"/>
      <c r="BT890" s="540"/>
      <c r="BU890" s="540"/>
      <c r="BV890" s="540"/>
      <c r="BW890" s="540"/>
      <c r="BX890" s="540"/>
      <c r="BY890" s="540"/>
      <c r="BZ890" s="540"/>
      <c r="CA890" s="540"/>
      <c r="CB890" s="540"/>
      <c r="CC890" s="540"/>
      <c r="CD890" s="540"/>
      <c r="CE890" s="540"/>
      <c r="CF890" s="540"/>
      <c r="CG890" s="540"/>
      <c r="CH890" s="540"/>
      <c r="CI890" s="540"/>
      <c r="CJ890" s="540"/>
      <c r="CK890" s="540"/>
      <c r="CL890" s="540"/>
      <c r="CM890" s="540"/>
      <c r="CN890" s="540"/>
      <c r="CO890" s="540"/>
      <c r="CP890" s="540"/>
      <c r="CQ890" s="540"/>
      <c r="CR890" s="540"/>
      <c r="CS890" s="540"/>
      <c r="CT890" s="540"/>
      <c r="CU890" s="540"/>
      <c r="CV890" s="540"/>
      <c r="CW890" s="540"/>
      <c r="CX890" s="540"/>
      <c r="CY890" s="540"/>
      <c r="CZ890" s="540"/>
      <c r="DA890" s="540"/>
      <c r="DB890" s="540"/>
      <c r="DC890" s="540"/>
      <c r="DD890" s="540"/>
      <c r="DE890" s="540"/>
    </row>
    <row r="891" spans="1:109" s="116" customFormat="1" x14ac:dyDescent="0.2">
      <c r="A891" s="435"/>
      <c r="B891" s="435"/>
      <c r="C891" s="435"/>
      <c r="D891" s="435"/>
      <c r="AB891" s="540"/>
      <c r="AU891" s="540"/>
      <c r="AV891" s="540"/>
      <c r="AW891" s="540"/>
      <c r="AX891" s="540"/>
      <c r="AY891" s="540"/>
      <c r="AZ891" s="540"/>
      <c r="BA891" s="540"/>
      <c r="BB891" s="540"/>
      <c r="BC891" s="540"/>
      <c r="BD891" s="540"/>
      <c r="BE891" s="540"/>
      <c r="BF891" s="540"/>
      <c r="BG891" s="540"/>
      <c r="BH891" s="540"/>
      <c r="BI891" s="540"/>
      <c r="BJ891" s="540"/>
      <c r="BK891" s="540"/>
      <c r="BL891" s="540"/>
      <c r="BM891" s="540"/>
      <c r="BN891" s="540"/>
      <c r="BO891" s="540"/>
      <c r="BP891" s="540"/>
      <c r="BQ891" s="540"/>
      <c r="BR891" s="540"/>
      <c r="BS891" s="540"/>
      <c r="BT891" s="540"/>
      <c r="BU891" s="540"/>
      <c r="BV891" s="540"/>
      <c r="BW891" s="540"/>
      <c r="BX891" s="540"/>
      <c r="BY891" s="540"/>
      <c r="BZ891" s="540"/>
      <c r="CA891" s="540"/>
      <c r="CB891" s="540"/>
      <c r="CC891" s="540"/>
      <c r="CD891" s="540"/>
      <c r="CE891" s="540"/>
      <c r="CF891" s="540"/>
      <c r="CG891" s="540"/>
      <c r="CH891" s="540"/>
      <c r="CI891" s="540"/>
      <c r="CJ891" s="540"/>
      <c r="CK891" s="540"/>
      <c r="CL891" s="540"/>
      <c r="CM891" s="540"/>
      <c r="CN891" s="540"/>
      <c r="CO891" s="540"/>
      <c r="CP891" s="540"/>
      <c r="CQ891" s="540"/>
      <c r="CR891" s="540"/>
      <c r="CS891" s="540"/>
      <c r="CT891" s="540"/>
      <c r="CU891" s="540"/>
      <c r="CV891" s="540"/>
      <c r="CW891" s="540"/>
      <c r="CX891" s="540"/>
      <c r="CY891" s="540"/>
      <c r="CZ891" s="540"/>
      <c r="DA891" s="540"/>
      <c r="DB891" s="540"/>
      <c r="DC891" s="540"/>
      <c r="DD891" s="540"/>
      <c r="DE891" s="540"/>
    </row>
    <row r="892" spans="1:109" s="116" customFormat="1" x14ac:dyDescent="0.2">
      <c r="A892" s="435"/>
      <c r="B892" s="435"/>
      <c r="C892" s="435"/>
      <c r="D892" s="435"/>
      <c r="AB892" s="540"/>
      <c r="AU892" s="540"/>
      <c r="AV892" s="540"/>
      <c r="AW892" s="540"/>
      <c r="AX892" s="540"/>
      <c r="AY892" s="540"/>
      <c r="AZ892" s="540"/>
      <c r="BA892" s="540"/>
      <c r="BB892" s="540"/>
      <c r="BC892" s="540"/>
      <c r="BD892" s="540"/>
      <c r="BE892" s="540"/>
      <c r="BF892" s="540"/>
      <c r="BG892" s="540"/>
      <c r="BH892" s="540"/>
      <c r="BI892" s="540"/>
      <c r="BJ892" s="540"/>
      <c r="BK892" s="540"/>
      <c r="BL892" s="540"/>
      <c r="BM892" s="540"/>
      <c r="BN892" s="540"/>
      <c r="BO892" s="540"/>
      <c r="BP892" s="540"/>
      <c r="BQ892" s="540"/>
      <c r="BR892" s="540"/>
      <c r="BS892" s="540"/>
      <c r="BT892" s="540"/>
      <c r="BU892" s="540"/>
      <c r="BV892" s="540"/>
      <c r="BW892" s="540"/>
      <c r="BX892" s="540"/>
      <c r="BY892" s="540"/>
      <c r="BZ892" s="540"/>
      <c r="CA892" s="540"/>
      <c r="CB892" s="540"/>
      <c r="CC892" s="540"/>
      <c r="CD892" s="540"/>
      <c r="CE892" s="540"/>
      <c r="CF892" s="540"/>
      <c r="CG892" s="540"/>
      <c r="CH892" s="540"/>
      <c r="CI892" s="540"/>
      <c r="CJ892" s="540"/>
      <c r="CK892" s="540"/>
      <c r="CL892" s="540"/>
      <c r="CM892" s="540"/>
      <c r="CN892" s="540"/>
      <c r="CO892" s="540"/>
      <c r="CP892" s="540"/>
      <c r="CQ892" s="540"/>
      <c r="CR892" s="540"/>
      <c r="CS892" s="540"/>
      <c r="CT892" s="540"/>
      <c r="CU892" s="540"/>
      <c r="CV892" s="540"/>
      <c r="CW892" s="540"/>
      <c r="CX892" s="540"/>
      <c r="CY892" s="540"/>
      <c r="CZ892" s="540"/>
      <c r="DA892" s="540"/>
      <c r="DB892" s="540"/>
      <c r="DC892" s="540"/>
      <c r="DD892" s="540"/>
      <c r="DE892" s="540"/>
    </row>
    <row r="893" spans="1:109" s="116" customFormat="1" x14ac:dyDescent="0.2">
      <c r="A893" s="435"/>
      <c r="B893" s="435"/>
      <c r="C893" s="435"/>
      <c r="D893" s="435"/>
      <c r="AB893" s="540"/>
      <c r="AU893" s="540"/>
      <c r="AV893" s="540"/>
      <c r="AW893" s="540"/>
      <c r="AX893" s="540"/>
      <c r="AY893" s="540"/>
      <c r="AZ893" s="540"/>
      <c r="BA893" s="540"/>
      <c r="BB893" s="540"/>
      <c r="BC893" s="540"/>
      <c r="BD893" s="540"/>
      <c r="BE893" s="540"/>
      <c r="BF893" s="540"/>
      <c r="BG893" s="540"/>
      <c r="BH893" s="540"/>
      <c r="BI893" s="540"/>
      <c r="BJ893" s="540"/>
      <c r="BK893" s="540"/>
      <c r="BL893" s="540"/>
      <c r="BM893" s="540"/>
      <c r="BN893" s="540"/>
      <c r="BO893" s="540"/>
      <c r="BP893" s="540"/>
      <c r="BQ893" s="540"/>
      <c r="BR893" s="540"/>
      <c r="BS893" s="540"/>
      <c r="BT893" s="540"/>
      <c r="BU893" s="540"/>
      <c r="BV893" s="540"/>
      <c r="BW893" s="540"/>
      <c r="BX893" s="540"/>
      <c r="BY893" s="540"/>
      <c r="BZ893" s="540"/>
      <c r="CA893" s="540"/>
      <c r="CB893" s="540"/>
      <c r="CC893" s="540"/>
      <c r="CD893" s="540"/>
      <c r="CE893" s="540"/>
      <c r="CF893" s="540"/>
      <c r="CG893" s="540"/>
      <c r="CH893" s="540"/>
      <c r="CI893" s="540"/>
      <c r="CJ893" s="540"/>
      <c r="CK893" s="540"/>
      <c r="CL893" s="540"/>
      <c r="CM893" s="540"/>
      <c r="CN893" s="540"/>
      <c r="CO893" s="540"/>
      <c r="CP893" s="540"/>
      <c r="CQ893" s="540"/>
      <c r="CR893" s="540"/>
      <c r="CS893" s="540"/>
      <c r="CT893" s="540"/>
      <c r="CU893" s="540"/>
      <c r="CV893" s="540"/>
      <c r="CW893" s="540"/>
      <c r="CX893" s="540"/>
      <c r="CY893" s="540"/>
      <c r="CZ893" s="540"/>
      <c r="DA893" s="540"/>
      <c r="DB893" s="540"/>
      <c r="DC893" s="540"/>
      <c r="DD893" s="540"/>
      <c r="DE893" s="540"/>
    </row>
    <row r="894" spans="1:109" s="116" customFormat="1" x14ac:dyDescent="0.2">
      <c r="A894" s="435"/>
      <c r="B894" s="435"/>
      <c r="C894" s="435"/>
      <c r="D894" s="435"/>
      <c r="AB894" s="540"/>
      <c r="AU894" s="540"/>
      <c r="AV894" s="540"/>
      <c r="AW894" s="540"/>
      <c r="AX894" s="540"/>
      <c r="AY894" s="540"/>
      <c r="AZ894" s="540"/>
      <c r="BA894" s="540"/>
      <c r="BB894" s="540"/>
      <c r="BC894" s="540"/>
      <c r="BD894" s="540"/>
      <c r="BE894" s="540"/>
      <c r="BF894" s="540"/>
      <c r="BG894" s="540"/>
      <c r="BH894" s="540"/>
      <c r="BI894" s="540"/>
      <c r="BJ894" s="540"/>
      <c r="BK894" s="540"/>
      <c r="BL894" s="540"/>
      <c r="BM894" s="540"/>
      <c r="BN894" s="540"/>
      <c r="BO894" s="540"/>
      <c r="BP894" s="540"/>
      <c r="BQ894" s="540"/>
      <c r="BR894" s="540"/>
      <c r="BS894" s="540"/>
      <c r="BT894" s="540"/>
      <c r="BU894" s="540"/>
      <c r="BV894" s="540"/>
      <c r="BW894" s="540"/>
      <c r="BX894" s="540"/>
      <c r="BY894" s="540"/>
      <c r="BZ894" s="540"/>
      <c r="CA894" s="540"/>
      <c r="CB894" s="540"/>
      <c r="CC894" s="540"/>
      <c r="CD894" s="540"/>
      <c r="CE894" s="540"/>
      <c r="CF894" s="540"/>
      <c r="CG894" s="540"/>
      <c r="CH894" s="540"/>
      <c r="CI894" s="540"/>
      <c r="CJ894" s="540"/>
      <c r="CK894" s="540"/>
      <c r="CL894" s="540"/>
      <c r="CM894" s="540"/>
      <c r="CN894" s="540"/>
      <c r="CO894" s="540"/>
      <c r="CP894" s="540"/>
      <c r="CQ894" s="540"/>
      <c r="CR894" s="540"/>
      <c r="CS894" s="540"/>
      <c r="CT894" s="540"/>
      <c r="CU894" s="540"/>
      <c r="CV894" s="540"/>
      <c r="CW894" s="540"/>
      <c r="CX894" s="540"/>
      <c r="CY894" s="540"/>
      <c r="CZ894" s="540"/>
      <c r="DA894" s="540"/>
      <c r="DB894" s="540"/>
      <c r="DC894" s="540"/>
      <c r="DD894" s="540"/>
      <c r="DE894" s="540"/>
    </row>
    <row r="895" spans="1:109" s="116" customFormat="1" x14ac:dyDescent="0.2">
      <c r="A895" s="435"/>
      <c r="B895" s="435"/>
      <c r="C895" s="435"/>
      <c r="D895" s="435"/>
      <c r="AB895" s="540"/>
      <c r="AU895" s="540"/>
      <c r="AV895" s="540"/>
      <c r="AW895" s="540"/>
      <c r="AX895" s="540"/>
      <c r="AY895" s="540"/>
      <c r="AZ895" s="540"/>
      <c r="BA895" s="540"/>
      <c r="BB895" s="540"/>
      <c r="BC895" s="540"/>
      <c r="BD895" s="540"/>
      <c r="BE895" s="540"/>
      <c r="BF895" s="540"/>
      <c r="BG895" s="540"/>
      <c r="BH895" s="540"/>
      <c r="BI895" s="540"/>
      <c r="BJ895" s="540"/>
      <c r="BK895" s="540"/>
      <c r="BL895" s="540"/>
      <c r="BM895" s="540"/>
      <c r="BN895" s="540"/>
      <c r="BO895" s="540"/>
      <c r="BP895" s="540"/>
      <c r="BQ895" s="540"/>
      <c r="BR895" s="540"/>
      <c r="BS895" s="540"/>
      <c r="BT895" s="540"/>
      <c r="BU895" s="540"/>
      <c r="BV895" s="540"/>
      <c r="BW895" s="540"/>
      <c r="BX895" s="540"/>
      <c r="BY895" s="540"/>
      <c r="BZ895" s="540"/>
      <c r="CA895" s="540"/>
      <c r="CB895" s="540"/>
      <c r="CC895" s="540"/>
      <c r="CD895" s="540"/>
      <c r="CE895" s="540"/>
      <c r="CF895" s="540"/>
      <c r="CG895" s="540"/>
      <c r="CH895" s="540"/>
      <c r="CI895" s="540"/>
      <c r="CJ895" s="540"/>
      <c r="CK895" s="540"/>
      <c r="CL895" s="540"/>
      <c r="CM895" s="540"/>
      <c r="CN895" s="540"/>
      <c r="CO895" s="540"/>
      <c r="CP895" s="540"/>
      <c r="CQ895" s="540"/>
      <c r="CR895" s="540"/>
      <c r="CS895" s="540"/>
      <c r="CT895" s="540"/>
      <c r="CU895" s="540"/>
      <c r="CV895" s="540"/>
      <c r="CW895" s="540"/>
      <c r="CX895" s="540"/>
      <c r="CY895" s="540"/>
      <c r="CZ895" s="540"/>
      <c r="DA895" s="540"/>
      <c r="DB895" s="540"/>
      <c r="DC895" s="540"/>
      <c r="DD895" s="540"/>
      <c r="DE895" s="540"/>
    </row>
    <row r="896" spans="1:109" s="116" customFormat="1" x14ac:dyDescent="0.2">
      <c r="A896" s="435"/>
      <c r="B896" s="435"/>
      <c r="C896" s="435"/>
      <c r="D896" s="435"/>
      <c r="AB896" s="540"/>
      <c r="AU896" s="540"/>
      <c r="AV896" s="540"/>
      <c r="AW896" s="540"/>
      <c r="AX896" s="540"/>
      <c r="AY896" s="540"/>
      <c r="AZ896" s="540"/>
      <c r="BA896" s="540"/>
      <c r="BB896" s="540"/>
      <c r="BC896" s="540"/>
      <c r="BD896" s="540"/>
      <c r="BE896" s="540"/>
      <c r="BF896" s="540"/>
      <c r="BG896" s="540"/>
      <c r="BH896" s="540"/>
      <c r="BI896" s="540"/>
      <c r="BJ896" s="540"/>
      <c r="BK896" s="540"/>
      <c r="BL896" s="540"/>
      <c r="BM896" s="540"/>
      <c r="BN896" s="540"/>
      <c r="BO896" s="540"/>
      <c r="BP896" s="540"/>
      <c r="BQ896" s="540"/>
      <c r="BR896" s="540"/>
      <c r="BS896" s="540"/>
      <c r="BT896" s="540"/>
      <c r="BU896" s="540"/>
      <c r="BV896" s="540"/>
      <c r="BW896" s="540"/>
      <c r="BX896" s="540"/>
      <c r="BY896" s="540"/>
      <c r="BZ896" s="540"/>
      <c r="CA896" s="540"/>
      <c r="CB896" s="540"/>
      <c r="CC896" s="540"/>
      <c r="CD896" s="540"/>
      <c r="CE896" s="540"/>
      <c r="CF896" s="540"/>
      <c r="CG896" s="540"/>
      <c r="CH896" s="540"/>
      <c r="CI896" s="540"/>
      <c r="CJ896" s="540"/>
      <c r="CK896" s="540"/>
      <c r="CL896" s="540"/>
      <c r="CM896" s="540"/>
      <c r="CN896" s="540"/>
      <c r="CO896" s="540"/>
      <c r="CP896" s="540"/>
      <c r="CQ896" s="540"/>
      <c r="CR896" s="540"/>
      <c r="CS896" s="540"/>
      <c r="CT896" s="540"/>
      <c r="CU896" s="540"/>
      <c r="CV896" s="540"/>
      <c r="CW896" s="540"/>
      <c r="CX896" s="540"/>
      <c r="CY896" s="540"/>
      <c r="CZ896" s="540"/>
      <c r="DA896" s="540"/>
      <c r="DB896" s="540"/>
      <c r="DC896" s="540"/>
      <c r="DD896" s="540"/>
      <c r="DE896" s="540"/>
    </row>
    <row r="897" spans="1:109" s="116" customFormat="1" x14ac:dyDescent="0.2">
      <c r="A897" s="435"/>
      <c r="B897" s="435"/>
      <c r="C897" s="435"/>
      <c r="D897" s="435"/>
      <c r="AB897" s="540"/>
      <c r="AU897" s="540"/>
      <c r="AV897" s="540"/>
      <c r="AW897" s="540"/>
      <c r="AX897" s="540"/>
      <c r="AY897" s="540"/>
      <c r="AZ897" s="540"/>
      <c r="BA897" s="540"/>
      <c r="BB897" s="540"/>
      <c r="BC897" s="540"/>
      <c r="BD897" s="540"/>
      <c r="BE897" s="540"/>
      <c r="BF897" s="540"/>
      <c r="BG897" s="540"/>
      <c r="BH897" s="540"/>
      <c r="BI897" s="540"/>
      <c r="BJ897" s="540"/>
      <c r="BK897" s="540"/>
      <c r="BL897" s="540"/>
      <c r="BM897" s="540"/>
      <c r="BN897" s="540"/>
      <c r="BO897" s="540"/>
      <c r="BP897" s="540"/>
      <c r="BQ897" s="540"/>
      <c r="BR897" s="540"/>
      <c r="BS897" s="540"/>
      <c r="BT897" s="540"/>
      <c r="BU897" s="540"/>
      <c r="BV897" s="540"/>
      <c r="BW897" s="540"/>
      <c r="BX897" s="540"/>
      <c r="BY897" s="540"/>
      <c r="BZ897" s="540"/>
      <c r="CA897" s="540"/>
      <c r="CB897" s="540"/>
      <c r="CC897" s="540"/>
      <c r="CD897" s="540"/>
      <c r="CE897" s="540"/>
      <c r="CF897" s="540"/>
      <c r="CG897" s="540"/>
      <c r="CH897" s="540"/>
      <c r="CI897" s="540"/>
      <c r="CJ897" s="540"/>
      <c r="CK897" s="540"/>
      <c r="CL897" s="540"/>
      <c r="CM897" s="540"/>
      <c r="CN897" s="540"/>
      <c r="CO897" s="540"/>
      <c r="CP897" s="540"/>
      <c r="CQ897" s="540"/>
      <c r="CR897" s="540"/>
      <c r="CS897" s="540"/>
      <c r="CT897" s="540"/>
      <c r="CU897" s="540"/>
      <c r="CV897" s="540"/>
      <c r="CW897" s="540"/>
      <c r="CX897" s="540"/>
      <c r="CY897" s="540"/>
      <c r="CZ897" s="540"/>
      <c r="DA897" s="540"/>
      <c r="DB897" s="540"/>
      <c r="DC897" s="540"/>
      <c r="DD897" s="540"/>
      <c r="DE897" s="540"/>
    </row>
    <row r="898" spans="1:109" s="116" customFormat="1" x14ac:dyDescent="0.2">
      <c r="A898" s="435"/>
      <c r="B898" s="435"/>
      <c r="C898" s="435"/>
      <c r="D898" s="435"/>
      <c r="AB898" s="540"/>
      <c r="AU898" s="540"/>
      <c r="AV898" s="540"/>
      <c r="AW898" s="540"/>
      <c r="AX898" s="540"/>
      <c r="AY898" s="540"/>
      <c r="AZ898" s="540"/>
      <c r="BA898" s="540"/>
      <c r="BB898" s="540"/>
      <c r="BC898" s="540"/>
      <c r="BD898" s="540"/>
      <c r="BE898" s="540"/>
      <c r="BF898" s="540"/>
      <c r="BG898" s="540"/>
      <c r="BH898" s="540"/>
      <c r="BI898" s="540"/>
      <c r="BJ898" s="540"/>
      <c r="BK898" s="540"/>
      <c r="BL898" s="540"/>
      <c r="BM898" s="540"/>
      <c r="BN898" s="540"/>
      <c r="BO898" s="540"/>
      <c r="BP898" s="540"/>
      <c r="BQ898" s="540"/>
      <c r="BR898" s="540"/>
      <c r="BS898" s="540"/>
      <c r="BT898" s="540"/>
      <c r="BU898" s="540"/>
      <c r="BV898" s="540"/>
      <c r="BW898" s="540"/>
      <c r="BX898" s="540"/>
      <c r="BY898" s="540"/>
      <c r="BZ898" s="540"/>
      <c r="CA898" s="540"/>
      <c r="CB898" s="540"/>
      <c r="CC898" s="540"/>
      <c r="CD898" s="540"/>
      <c r="CE898" s="540"/>
      <c r="CF898" s="540"/>
      <c r="CG898" s="540"/>
      <c r="CH898" s="540"/>
      <c r="CI898" s="540"/>
      <c r="CJ898" s="540"/>
      <c r="CK898" s="540"/>
      <c r="CL898" s="540"/>
      <c r="CM898" s="540"/>
      <c r="CN898" s="540"/>
      <c r="CO898" s="540"/>
      <c r="CP898" s="540"/>
      <c r="CQ898" s="540"/>
      <c r="CR898" s="540"/>
      <c r="CS898" s="540"/>
      <c r="CT898" s="540"/>
      <c r="CU898" s="540"/>
      <c r="CV898" s="540"/>
      <c r="CW898" s="540"/>
      <c r="CX898" s="540"/>
      <c r="CY898" s="540"/>
      <c r="CZ898" s="540"/>
      <c r="DA898" s="540"/>
      <c r="DB898" s="540"/>
      <c r="DC898" s="540"/>
      <c r="DD898" s="540"/>
      <c r="DE898" s="540"/>
    </row>
    <row r="899" spans="1:109" s="116" customFormat="1" x14ac:dyDescent="0.2">
      <c r="A899" s="435"/>
      <c r="B899" s="435"/>
      <c r="C899" s="435"/>
      <c r="D899" s="435"/>
      <c r="AB899" s="540"/>
      <c r="AU899" s="540"/>
      <c r="AV899" s="540"/>
      <c r="AW899" s="540"/>
      <c r="AX899" s="540"/>
      <c r="AY899" s="540"/>
      <c r="AZ899" s="540"/>
      <c r="BA899" s="540"/>
      <c r="BB899" s="540"/>
      <c r="BC899" s="540"/>
      <c r="BD899" s="540"/>
      <c r="BE899" s="540"/>
      <c r="BF899" s="540"/>
      <c r="BG899" s="540"/>
      <c r="BH899" s="540"/>
      <c r="BI899" s="540"/>
      <c r="BJ899" s="540"/>
      <c r="BK899" s="540"/>
      <c r="BL899" s="540"/>
      <c r="BM899" s="540"/>
      <c r="BN899" s="540"/>
      <c r="BO899" s="540"/>
      <c r="BP899" s="540"/>
      <c r="BQ899" s="540"/>
      <c r="BR899" s="540"/>
      <c r="BS899" s="540"/>
      <c r="BT899" s="540"/>
      <c r="BU899" s="540"/>
      <c r="BV899" s="540"/>
      <c r="BW899" s="540"/>
      <c r="BX899" s="540"/>
      <c r="BY899" s="540"/>
      <c r="BZ899" s="540"/>
      <c r="CA899" s="540"/>
      <c r="CB899" s="540"/>
      <c r="CC899" s="540"/>
      <c r="CD899" s="540"/>
      <c r="CE899" s="540"/>
      <c r="CF899" s="540"/>
      <c r="CG899" s="540"/>
      <c r="CH899" s="540"/>
      <c r="CI899" s="540"/>
      <c r="CJ899" s="540"/>
      <c r="CK899" s="540"/>
      <c r="CL899" s="540"/>
      <c r="CM899" s="540"/>
      <c r="CN899" s="540"/>
      <c r="CO899" s="540"/>
      <c r="CP899" s="540"/>
      <c r="CQ899" s="540"/>
      <c r="CR899" s="540"/>
      <c r="CS899" s="540"/>
      <c r="CT899" s="540"/>
      <c r="CU899" s="540"/>
      <c r="CV899" s="540"/>
      <c r="CW899" s="540"/>
      <c r="CX899" s="540"/>
      <c r="CY899" s="540"/>
      <c r="CZ899" s="540"/>
      <c r="DA899" s="540"/>
      <c r="DB899" s="540"/>
      <c r="DC899" s="540"/>
      <c r="DD899" s="540"/>
      <c r="DE899" s="540"/>
    </row>
    <row r="900" spans="1:109" s="116" customFormat="1" x14ac:dyDescent="0.2">
      <c r="A900" s="435"/>
      <c r="B900" s="435"/>
      <c r="C900" s="435"/>
      <c r="D900" s="435"/>
      <c r="AB900" s="540"/>
      <c r="AU900" s="540"/>
      <c r="AV900" s="540"/>
      <c r="AW900" s="540"/>
      <c r="AX900" s="540"/>
      <c r="AY900" s="540"/>
      <c r="AZ900" s="540"/>
      <c r="BA900" s="540"/>
      <c r="BB900" s="540"/>
      <c r="BC900" s="540"/>
      <c r="BD900" s="540"/>
      <c r="BE900" s="540"/>
      <c r="BF900" s="540"/>
      <c r="BG900" s="540"/>
      <c r="BH900" s="540"/>
      <c r="BI900" s="540"/>
      <c r="BJ900" s="540"/>
      <c r="BK900" s="540"/>
      <c r="BL900" s="540"/>
      <c r="BM900" s="540"/>
      <c r="BN900" s="540"/>
      <c r="BO900" s="540"/>
      <c r="BP900" s="540"/>
      <c r="BQ900" s="540"/>
      <c r="BR900" s="540"/>
      <c r="BS900" s="540"/>
      <c r="BT900" s="540"/>
      <c r="BU900" s="540"/>
      <c r="BV900" s="540"/>
      <c r="BW900" s="540"/>
      <c r="BX900" s="540"/>
      <c r="BY900" s="540"/>
      <c r="BZ900" s="540"/>
      <c r="CA900" s="540"/>
      <c r="CB900" s="540"/>
      <c r="CC900" s="540"/>
      <c r="CD900" s="540"/>
      <c r="CE900" s="540"/>
      <c r="CF900" s="540"/>
      <c r="CG900" s="540"/>
      <c r="CH900" s="540"/>
      <c r="CI900" s="540"/>
      <c r="CJ900" s="540"/>
      <c r="CK900" s="540"/>
      <c r="CL900" s="540"/>
      <c r="CM900" s="540"/>
      <c r="CN900" s="540"/>
      <c r="CO900" s="540"/>
      <c r="CP900" s="540"/>
      <c r="CQ900" s="540"/>
      <c r="CR900" s="540"/>
      <c r="CS900" s="540"/>
      <c r="CT900" s="540"/>
      <c r="CU900" s="540"/>
      <c r="CV900" s="540"/>
      <c r="CW900" s="540"/>
      <c r="CX900" s="540"/>
      <c r="CY900" s="540"/>
      <c r="CZ900" s="540"/>
      <c r="DA900" s="540"/>
      <c r="DB900" s="540"/>
      <c r="DC900" s="540"/>
      <c r="DD900" s="540"/>
      <c r="DE900" s="540"/>
    </row>
    <row r="901" spans="1:109" s="116" customFormat="1" x14ac:dyDescent="0.2">
      <c r="A901" s="435"/>
      <c r="B901" s="435"/>
      <c r="C901" s="435"/>
      <c r="D901" s="435"/>
      <c r="AB901" s="540"/>
      <c r="AU901" s="540"/>
      <c r="AV901" s="540"/>
      <c r="AW901" s="540"/>
      <c r="AX901" s="540"/>
      <c r="AY901" s="540"/>
      <c r="AZ901" s="540"/>
      <c r="BA901" s="540"/>
      <c r="BB901" s="540"/>
      <c r="BC901" s="540"/>
      <c r="BD901" s="540"/>
      <c r="BE901" s="540"/>
      <c r="BF901" s="540"/>
      <c r="BG901" s="540"/>
      <c r="BH901" s="540"/>
      <c r="BI901" s="540"/>
      <c r="BJ901" s="540"/>
      <c r="BK901" s="540"/>
      <c r="BL901" s="540"/>
      <c r="BM901" s="540"/>
      <c r="BN901" s="540"/>
      <c r="BO901" s="540"/>
      <c r="BP901" s="540"/>
      <c r="BQ901" s="540"/>
      <c r="BR901" s="540"/>
      <c r="BS901" s="540"/>
      <c r="BT901" s="540"/>
      <c r="BU901" s="540"/>
      <c r="BV901" s="540"/>
      <c r="BW901" s="540"/>
      <c r="BX901" s="540"/>
      <c r="BY901" s="540"/>
      <c r="BZ901" s="540"/>
      <c r="CA901" s="540"/>
      <c r="CB901" s="540"/>
      <c r="CC901" s="540"/>
      <c r="CD901" s="540"/>
      <c r="CE901" s="540"/>
      <c r="CF901" s="540"/>
      <c r="CG901" s="540"/>
      <c r="CH901" s="540"/>
      <c r="CI901" s="540"/>
      <c r="CJ901" s="540"/>
      <c r="CK901" s="540"/>
      <c r="CL901" s="540"/>
      <c r="CM901" s="540"/>
      <c r="CN901" s="540"/>
      <c r="CO901" s="540"/>
      <c r="CP901" s="540"/>
      <c r="CQ901" s="540"/>
      <c r="CR901" s="540"/>
      <c r="CS901" s="540"/>
      <c r="CT901" s="540"/>
      <c r="CU901" s="540"/>
      <c r="CV901" s="540"/>
      <c r="CW901" s="540"/>
      <c r="CX901" s="540"/>
      <c r="CY901" s="540"/>
      <c r="CZ901" s="540"/>
      <c r="DA901" s="540"/>
      <c r="DB901" s="540"/>
      <c r="DC901" s="540"/>
      <c r="DD901" s="540"/>
      <c r="DE901" s="540"/>
    </row>
    <row r="902" spans="1:109" s="116" customFormat="1" x14ac:dyDescent="0.2">
      <c r="A902" s="435"/>
      <c r="B902" s="435"/>
      <c r="C902" s="435"/>
      <c r="D902" s="435"/>
      <c r="AB902" s="540"/>
      <c r="AU902" s="540"/>
      <c r="AV902" s="540"/>
      <c r="AW902" s="540"/>
      <c r="AX902" s="540"/>
      <c r="AY902" s="540"/>
      <c r="AZ902" s="540"/>
      <c r="BA902" s="540"/>
      <c r="BB902" s="540"/>
      <c r="BC902" s="540"/>
      <c r="BD902" s="540"/>
      <c r="BE902" s="540"/>
      <c r="BF902" s="540"/>
      <c r="BG902" s="540"/>
      <c r="BH902" s="540"/>
      <c r="BI902" s="540"/>
      <c r="BJ902" s="540"/>
      <c r="BK902" s="540"/>
      <c r="BL902" s="540"/>
      <c r="BM902" s="540"/>
      <c r="BN902" s="540"/>
      <c r="BO902" s="540"/>
      <c r="BP902" s="540"/>
      <c r="BQ902" s="540"/>
      <c r="BR902" s="540"/>
      <c r="BS902" s="540"/>
      <c r="BT902" s="540"/>
      <c r="BU902" s="540"/>
      <c r="BV902" s="540"/>
      <c r="BW902" s="540"/>
      <c r="BX902" s="540"/>
      <c r="BY902" s="540"/>
      <c r="BZ902" s="540"/>
      <c r="CA902" s="540"/>
      <c r="CB902" s="540"/>
      <c r="CC902" s="540"/>
      <c r="CD902" s="540"/>
      <c r="CE902" s="540"/>
      <c r="CF902" s="540"/>
      <c r="CG902" s="540"/>
      <c r="CH902" s="540"/>
      <c r="CI902" s="540"/>
      <c r="CJ902" s="540"/>
      <c r="CK902" s="540"/>
      <c r="CL902" s="540"/>
      <c r="CM902" s="540"/>
      <c r="CN902" s="540"/>
      <c r="CO902" s="540"/>
      <c r="CP902" s="540"/>
      <c r="CQ902" s="540"/>
      <c r="CR902" s="540"/>
      <c r="CS902" s="540"/>
      <c r="CT902" s="540"/>
      <c r="CU902" s="540"/>
      <c r="CV902" s="540"/>
      <c r="CW902" s="540"/>
      <c r="CX902" s="540"/>
      <c r="CY902" s="540"/>
      <c r="CZ902" s="540"/>
      <c r="DA902" s="540"/>
      <c r="DB902" s="540"/>
      <c r="DC902" s="540"/>
      <c r="DD902" s="540"/>
      <c r="DE902" s="540"/>
    </row>
    <row r="903" spans="1:109" s="116" customFormat="1" x14ac:dyDescent="0.2">
      <c r="A903" s="435"/>
      <c r="B903" s="435"/>
      <c r="C903" s="435"/>
      <c r="D903" s="435"/>
      <c r="AB903" s="540"/>
      <c r="AU903" s="540"/>
      <c r="AV903" s="540"/>
      <c r="AW903" s="540"/>
      <c r="AX903" s="540"/>
      <c r="AY903" s="540"/>
      <c r="AZ903" s="540"/>
      <c r="BA903" s="540"/>
      <c r="BB903" s="540"/>
      <c r="BC903" s="540"/>
      <c r="BD903" s="540"/>
      <c r="BE903" s="540"/>
      <c r="BF903" s="540"/>
      <c r="BG903" s="540"/>
      <c r="BH903" s="540"/>
      <c r="BI903" s="540"/>
      <c r="BJ903" s="540"/>
      <c r="BK903" s="540"/>
      <c r="BL903" s="540"/>
      <c r="BM903" s="540"/>
      <c r="BN903" s="540"/>
      <c r="BO903" s="540"/>
      <c r="BP903" s="540"/>
      <c r="BQ903" s="540"/>
      <c r="BR903" s="540"/>
      <c r="BS903" s="540"/>
      <c r="BT903" s="540"/>
      <c r="BU903" s="540"/>
      <c r="BV903" s="540"/>
      <c r="BW903" s="540"/>
      <c r="BX903" s="540"/>
      <c r="BY903" s="540"/>
      <c r="BZ903" s="540"/>
      <c r="CA903" s="540"/>
      <c r="CB903" s="540"/>
      <c r="CC903" s="540"/>
      <c r="CD903" s="540"/>
      <c r="CE903" s="540"/>
      <c r="CF903" s="540"/>
      <c r="CG903" s="540"/>
      <c r="CH903" s="540"/>
      <c r="CI903" s="540"/>
      <c r="CJ903" s="540"/>
      <c r="CK903" s="540"/>
      <c r="CL903" s="540"/>
      <c r="CM903" s="540"/>
      <c r="CN903" s="540"/>
      <c r="CO903" s="540"/>
      <c r="CP903" s="540"/>
      <c r="CQ903" s="540"/>
      <c r="CR903" s="540"/>
      <c r="CS903" s="540"/>
      <c r="CT903" s="540"/>
      <c r="CU903" s="540"/>
      <c r="CV903" s="540"/>
      <c r="CW903" s="540"/>
      <c r="CX903" s="540"/>
      <c r="CY903" s="540"/>
      <c r="CZ903" s="540"/>
      <c r="DA903" s="540"/>
      <c r="DB903" s="540"/>
      <c r="DC903" s="540"/>
      <c r="DD903" s="540"/>
      <c r="DE903" s="540"/>
    </row>
    <row r="904" spans="1:109" s="116" customFormat="1" x14ac:dyDescent="0.2">
      <c r="A904" s="435"/>
      <c r="B904" s="435"/>
      <c r="C904" s="435"/>
      <c r="D904" s="435"/>
      <c r="AB904" s="540"/>
      <c r="AU904" s="540"/>
      <c r="AV904" s="540"/>
      <c r="AW904" s="540"/>
      <c r="AX904" s="540"/>
      <c r="AY904" s="540"/>
      <c r="AZ904" s="540"/>
      <c r="BA904" s="540"/>
      <c r="BB904" s="540"/>
      <c r="BC904" s="540"/>
      <c r="BD904" s="540"/>
      <c r="BE904" s="540"/>
      <c r="BF904" s="540"/>
      <c r="BG904" s="540"/>
      <c r="BH904" s="540"/>
      <c r="BI904" s="540"/>
      <c r="BJ904" s="540"/>
      <c r="BK904" s="540"/>
      <c r="BL904" s="540"/>
      <c r="BM904" s="540"/>
      <c r="BN904" s="540"/>
      <c r="BO904" s="540"/>
      <c r="BP904" s="540"/>
      <c r="BQ904" s="540"/>
      <c r="BR904" s="540"/>
      <c r="BS904" s="540"/>
      <c r="BT904" s="540"/>
      <c r="BU904" s="540"/>
      <c r="BV904" s="540"/>
      <c r="BW904" s="540"/>
      <c r="BX904" s="540"/>
      <c r="BY904" s="540"/>
      <c r="BZ904" s="540"/>
      <c r="CA904" s="540"/>
      <c r="CB904" s="540"/>
      <c r="CC904" s="540"/>
      <c r="CD904" s="540"/>
      <c r="CE904" s="540"/>
      <c r="CF904" s="540"/>
      <c r="CG904" s="540"/>
      <c r="CH904" s="540"/>
      <c r="CI904" s="540"/>
      <c r="CJ904" s="540"/>
      <c r="CK904" s="540"/>
      <c r="CL904" s="540"/>
      <c r="CM904" s="540"/>
      <c r="CN904" s="540"/>
      <c r="CO904" s="540"/>
      <c r="CP904" s="540"/>
      <c r="CQ904" s="540"/>
      <c r="CR904" s="540"/>
      <c r="CS904" s="540"/>
      <c r="CT904" s="540"/>
      <c r="CU904" s="540"/>
      <c r="CV904" s="540"/>
      <c r="CW904" s="540"/>
      <c r="CX904" s="540"/>
      <c r="CY904" s="540"/>
      <c r="CZ904" s="540"/>
      <c r="DA904" s="540"/>
      <c r="DB904" s="540"/>
      <c r="DC904" s="540"/>
      <c r="DD904" s="540"/>
      <c r="DE904" s="540"/>
    </row>
    <row r="905" spans="1:109" s="116" customFormat="1" x14ac:dyDescent="0.2">
      <c r="A905" s="435"/>
      <c r="B905" s="435"/>
      <c r="C905" s="435"/>
      <c r="D905" s="435"/>
      <c r="AB905" s="540"/>
      <c r="AU905" s="540"/>
      <c r="AV905" s="540"/>
      <c r="AW905" s="540"/>
      <c r="AX905" s="540"/>
      <c r="AY905" s="540"/>
      <c r="AZ905" s="540"/>
      <c r="BA905" s="540"/>
      <c r="BB905" s="540"/>
      <c r="BC905" s="540"/>
      <c r="BD905" s="540"/>
      <c r="BE905" s="540"/>
      <c r="BF905" s="540"/>
      <c r="BG905" s="540"/>
      <c r="BH905" s="540"/>
      <c r="BI905" s="540"/>
      <c r="BJ905" s="540"/>
      <c r="BK905" s="540"/>
      <c r="BL905" s="540"/>
      <c r="BM905" s="540"/>
      <c r="BN905" s="540"/>
      <c r="BO905" s="540"/>
      <c r="BP905" s="540"/>
      <c r="BQ905" s="540"/>
      <c r="BR905" s="540"/>
      <c r="BS905" s="540"/>
      <c r="BT905" s="540"/>
      <c r="BU905" s="540"/>
      <c r="BV905" s="540"/>
      <c r="BW905" s="540"/>
      <c r="BX905" s="540"/>
      <c r="BY905" s="540"/>
      <c r="BZ905" s="540"/>
      <c r="CA905" s="540"/>
      <c r="CB905" s="540"/>
      <c r="CC905" s="540"/>
      <c r="CD905" s="540"/>
      <c r="CE905" s="540"/>
      <c r="CF905" s="540"/>
      <c r="CG905" s="540"/>
      <c r="CH905" s="540"/>
      <c r="CI905" s="540"/>
      <c r="CJ905" s="540"/>
      <c r="CK905" s="540"/>
      <c r="CL905" s="540"/>
      <c r="CM905" s="540"/>
      <c r="CN905" s="540"/>
      <c r="CO905" s="540"/>
      <c r="CP905" s="540"/>
      <c r="CQ905" s="540"/>
      <c r="CR905" s="540"/>
      <c r="CS905" s="540"/>
      <c r="CT905" s="540"/>
      <c r="CU905" s="540"/>
      <c r="CV905" s="540"/>
      <c r="CW905" s="540"/>
      <c r="CX905" s="540"/>
      <c r="CY905" s="540"/>
      <c r="CZ905" s="540"/>
      <c r="DA905" s="540"/>
      <c r="DB905" s="540"/>
      <c r="DC905" s="540"/>
      <c r="DD905" s="540"/>
      <c r="DE905" s="540"/>
    </row>
    <row r="906" spans="1:109" s="116" customFormat="1" x14ac:dyDescent="0.2">
      <c r="A906" s="435"/>
      <c r="B906" s="435"/>
      <c r="C906" s="435"/>
      <c r="D906" s="435"/>
      <c r="AB906" s="540"/>
      <c r="AU906" s="540"/>
      <c r="AV906" s="540"/>
      <c r="AW906" s="540"/>
      <c r="AX906" s="540"/>
      <c r="AY906" s="540"/>
      <c r="AZ906" s="540"/>
      <c r="BA906" s="540"/>
      <c r="BB906" s="540"/>
      <c r="BC906" s="540"/>
      <c r="BD906" s="540"/>
      <c r="BE906" s="540"/>
      <c r="BF906" s="540"/>
      <c r="BG906" s="540"/>
      <c r="BH906" s="540"/>
      <c r="BI906" s="540"/>
      <c r="BJ906" s="540"/>
      <c r="BK906" s="540"/>
      <c r="BL906" s="540"/>
      <c r="BM906" s="540"/>
      <c r="BN906" s="540"/>
      <c r="BO906" s="540"/>
      <c r="BP906" s="540"/>
      <c r="BQ906" s="540"/>
      <c r="BR906" s="540"/>
      <c r="BS906" s="540"/>
      <c r="BT906" s="540"/>
      <c r="BU906" s="540"/>
      <c r="BV906" s="540"/>
      <c r="BW906" s="540"/>
      <c r="BX906" s="540"/>
      <c r="BY906" s="540"/>
      <c r="BZ906" s="540"/>
      <c r="CA906" s="540"/>
      <c r="CB906" s="540"/>
      <c r="CC906" s="540"/>
      <c r="CD906" s="540"/>
      <c r="CE906" s="540"/>
      <c r="CF906" s="540"/>
      <c r="CG906" s="540"/>
      <c r="CH906" s="540"/>
      <c r="CI906" s="540"/>
      <c r="CJ906" s="540"/>
      <c r="CK906" s="540"/>
      <c r="CL906" s="540"/>
      <c r="CM906" s="540"/>
      <c r="CN906" s="540"/>
      <c r="CO906" s="540"/>
      <c r="CP906" s="540"/>
      <c r="CQ906" s="540"/>
      <c r="CR906" s="540"/>
      <c r="CS906" s="540"/>
      <c r="CT906" s="540"/>
      <c r="CU906" s="540"/>
      <c r="CV906" s="540"/>
      <c r="CW906" s="540"/>
      <c r="CX906" s="540"/>
      <c r="CY906" s="540"/>
      <c r="CZ906" s="540"/>
      <c r="DA906" s="540"/>
      <c r="DB906" s="540"/>
      <c r="DC906" s="540"/>
      <c r="DD906" s="540"/>
      <c r="DE906" s="540"/>
    </row>
    <row r="907" spans="1:109" s="116" customFormat="1" x14ac:dyDescent="0.2">
      <c r="A907" s="435"/>
      <c r="B907" s="435"/>
      <c r="C907" s="435"/>
      <c r="D907" s="435"/>
      <c r="AB907" s="540"/>
      <c r="AU907" s="540"/>
      <c r="AV907" s="540"/>
      <c r="AW907" s="540"/>
      <c r="AX907" s="540"/>
      <c r="AY907" s="540"/>
      <c r="AZ907" s="540"/>
      <c r="BA907" s="540"/>
      <c r="BB907" s="540"/>
      <c r="BC907" s="540"/>
      <c r="BD907" s="540"/>
      <c r="BE907" s="540"/>
      <c r="BF907" s="540"/>
      <c r="BG907" s="540"/>
      <c r="BH907" s="540"/>
      <c r="BI907" s="540"/>
      <c r="BJ907" s="540"/>
      <c r="BK907" s="540"/>
      <c r="BL907" s="540"/>
      <c r="BM907" s="540"/>
      <c r="BN907" s="540"/>
      <c r="BO907" s="540"/>
      <c r="BP907" s="540"/>
      <c r="BQ907" s="540"/>
      <c r="BR907" s="540"/>
      <c r="BS907" s="540"/>
      <c r="BT907" s="540"/>
      <c r="BU907" s="540"/>
      <c r="BV907" s="540"/>
      <c r="BW907" s="540"/>
      <c r="BX907" s="540"/>
      <c r="BY907" s="540"/>
      <c r="BZ907" s="540"/>
      <c r="CA907" s="540"/>
      <c r="CB907" s="540"/>
      <c r="CC907" s="540"/>
      <c r="CD907" s="540"/>
      <c r="CE907" s="540"/>
      <c r="CF907" s="540"/>
      <c r="CG907" s="540"/>
      <c r="CH907" s="540"/>
      <c r="CI907" s="540"/>
      <c r="CJ907" s="540"/>
      <c r="CK907" s="540"/>
      <c r="CL907" s="540"/>
      <c r="CM907" s="540"/>
      <c r="CN907" s="540"/>
      <c r="CO907" s="540"/>
      <c r="CP907" s="540"/>
      <c r="CQ907" s="540"/>
      <c r="CR907" s="540"/>
      <c r="CS907" s="540"/>
      <c r="CT907" s="540"/>
      <c r="CU907" s="540"/>
      <c r="CV907" s="540"/>
      <c r="CW907" s="540"/>
      <c r="CX907" s="540"/>
      <c r="CY907" s="540"/>
      <c r="CZ907" s="540"/>
      <c r="DA907" s="540"/>
      <c r="DB907" s="540"/>
      <c r="DC907" s="540"/>
      <c r="DD907" s="540"/>
      <c r="DE907" s="540"/>
    </row>
    <row r="908" spans="1:109" s="116" customFormat="1" x14ac:dyDescent="0.2">
      <c r="A908" s="435"/>
      <c r="B908" s="435"/>
      <c r="C908" s="435"/>
      <c r="D908" s="435"/>
      <c r="AB908" s="540"/>
      <c r="AU908" s="540"/>
      <c r="AV908" s="540"/>
      <c r="AW908" s="540"/>
      <c r="AX908" s="540"/>
      <c r="AY908" s="540"/>
      <c r="AZ908" s="540"/>
      <c r="BA908" s="540"/>
      <c r="BB908" s="540"/>
      <c r="BC908" s="540"/>
      <c r="BD908" s="540"/>
      <c r="BE908" s="540"/>
      <c r="BF908" s="540"/>
      <c r="BG908" s="540"/>
      <c r="BH908" s="540"/>
      <c r="BI908" s="540"/>
      <c r="BJ908" s="540"/>
      <c r="BK908" s="540"/>
      <c r="BL908" s="540"/>
      <c r="BM908" s="540"/>
      <c r="BN908" s="540"/>
      <c r="BO908" s="540"/>
      <c r="BP908" s="540"/>
      <c r="BQ908" s="540"/>
      <c r="BR908" s="540"/>
      <c r="BS908" s="540"/>
      <c r="BT908" s="540"/>
      <c r="BU908" s="540"/>
      <c r="BV908" s="540"/>
      <c r="BW908" s="540"/>
      <c r="BX908" s="540"/>
      <c r="BY908" s="540"/>
      <c r="BZ908" s="540"/>
      <c r="CA908" s="540"/>
      <c r="CB908" s="540"/>
      <c r="CC908" s="540"/>
      <c r="CD908" s="540"/>
      <c r="CE908" s="540"/>
      <c r="CF908" s="540"/>
      <c r="CG908" s="540"/>
      <c r="CH908" s="540"/>
      <c r="CI908" s="540"/>
      <c r="CJ908" s="540"/>
      <c r="CK908" s="540"/>
      <c r="CL908" s="540"/>
      <c r="CM908" s="540"/>
      <c r="CN908" s="540"/>
      <c r="CO908" s="540"/>
      <c r="CP908" s="540"/>
      <c r="CQ908" s="540"/>
      <c r="CR908" s="540"/>
      <c r="CS908" s="540"/>
      <c r="CT908" s="540"/>
      <c r="CU908" s="540"/>
      <c r="CV908" s="540"/>
      <c r="CW908" s="540"/>
      <c r="CX908" s="540"/>
      <c r="CY908" s="540"/>
      <c r="CZ908" s="540"/>
      <c r="DA908" s="540"/>
      <c r="DB908" s="540"/>
      <c r="DC908" s="540"/>
      <c r="DD908" s="540"/>
      <c r="DE908" s="540"/>
    </row>
    <row r="909" spans="1:109" s="116" customFormat="1" x14ac:dyDescent="0.2">
      <c r="A909" s="435"/>
      <c r="B909" s="435"/>
      <c r="C909" s="435"/>
      <c r="D909" s="435"/>
      <c r="AB909" s="540"/>
      <c r="AU909" s="540"/>
      <c r="AV909" s="540"/>
      <c r="AW909" s="540"/>
      <c r="AX909" s="540"/>
      <c r="AY909" s="540"/>
      <c r="AZ909" s="540"/>
      <c r="BA909" s="540"/>
      <c r="BB909" s="540"/>
      <c r="BC909" s="540"/>
      <c r="BD909" s="540"/>
      <c r="BE909" s="540"/>
      <c r="BF909" s="540"/>
      <c r="BG909" s="540"/>
      <c r="BH909" s="540"/>
      <c r="BI909" s="540"/>
      <c r="BJ909" s="540"/>
      <c r="BK909" s="540"/>
      <c r="BL909" s="540"/>
      <c r="BM909" s="540"/>
      <c r="BN909" s="540"/>
      <c r="BO909" s="540"/>
      <c r="BP909" s="540"/>
      <c r="BQ909" s="540"/>
      <c r="BR909" s="540"/>
      <c r="BS909" s="540"/>
      <c r="BT909" s="540"/>
      <c r="BU909" s="540"/>
      <c r="BV909" s="540"/>
      <c r="BW909" s="540"/>
      <c r="BX909" s="540"/>
      <c r="BY909" s="540"/>
      <c r="BZ909" s="540"/>
      <c r="CA909" s="540"/>
      <c r="CB909" s="540"/>
      <c r="CC909" s="540"/>
      <c r="CD909" s="540"/>
      <c r="CE909" s="540"/>
      <c r="CF909" s="540"/>
      <c r="CG909" s="540"/>
      <c r="CH909" s="540"/>
      <c r="CI909" s="540"/>
      <c r="CJ909" s="540"/>
      <c r="CK909" s="540"/>
      <c r="CL909" s="540"/>
      <c r="CM909" s="540"/>
      <c r="CN909" s="540"/>
      <c r="CO909" s="540"/>
      <c r="CP909" s="540"/>
      <c r="CQ909" s="540"/>
      <c r="CR909" s="540"/>
      <c r="CS909" s="540"/>
      <c r="CT909" s="540"/>
      <c r="CU909" s="540"/>
      <c r="CV909" s="540"/>
      <c r="CW909" s="540"/>
      <c r="CX909" s="540"/>
      <c r="CY909" s="540"/>
      <c r="CZ909" s="540"/>
      <c r="DA909" s="540"/>
      <c r="DB909" s="540"/>
      <c r="DC909" s="540"/>
      <c r="DD909" s="540"/>
      <c r="DE909" s="540"/>
    </row>
    <row r="910" spans="1:109" s="116" customFormat="1" x14ac:dyDescent="0.2">
      <c r="A910" s="435"/>
      <c r="B910" s="435"/>
      <c r="C910" s="435"/>
      <c r="D910" s="435"/>
      <c r="AB910" s="540"/>
      <c r="AU910" s="540"/>
      <c r="AV910" s="540"/>
      <c r="AW910" s="540"/>
      <c r="AX910" s="540"/>
      <c r="AY910" s="540"/>
      <c r="AZ910" s="540"/>
      <c r="BA910" s="540"/>
      <c r="BB910" s="540"/>
      <c r="BC910" s="540"/>
      <c r="BD910" s="540"/>
      <c r="BE910" s="540"/>
      <c r="BF910" s="540"/>
      <c r="BG910" s="540"/>
      <c r="BH910" s="540"/>
      <c r="BI910" s="540"/>
      <c r="BJ910" s="540"/>
      <c r="BK910" s="540"/>
      <c r="BL910" s="540"/>
      <c r="BM910" s="540"/>
      <c r="BN910" s="540"/>
      <c r="BO910" s="540"/>
      <c r="BP910" s="540"/>
      <c r="BQ910" s="540"/>
      <c r="BR910" s="540"/>
      <c r="BS910" s="540"/>
      <c r="BT910" s="540"/>
      <c r="BU910" s="540"/>
      <c r="BV910" s="540"/>
      <c r="BW910" s="540"/>
      <c r="BX910" s="540"/>
      <c r="BY910" s="540"/>
      <c r="BZ910" s="540"/>
      <c r="CA910" s="540"/>
      <c r="CB910" s="540"/>
      <c r="CC910" s="540"/>
      <c r="CD910" s="540"/>
      <c r="CE910" s="540"/>
      <c r="CF910" s="540"/>
      <c r="CG910" s="540"/>
      <c r="CH910" s="540"/>
      <c r="CI910" s="540"/>
      <c r="CJ910" s="540"/>
      <c r="CK910" s="540"/>
      <c r="CL910" s="540"/>
      <c r="CM910" s="540"/>
      <c r="CN910" s="540"/>
      <c r="CO910" s="540"/>
      <c r="CP910" s="540"/>
      <c r="CQ910" s="540"/>
      <c r="CR910" s="540"/>
      <c r="CS910" s="540"/>
      <c r="CT910" s="540"/>
      <c r="CU910" s="540"/>
      <c r="CV910" s="540"/>
      <c r="CW910" s="540"/>
      <c r="CX910" s="540"/>
      <c r="CY910" s="540"/>
      <c r="CZ910" s="540"/>
      <c r="DA910" s="540"/>
      <c r="DB910" s="540"/>
      <c r="DC910" s="540"/>
      <c r="DD910" s="540"/>
      <c r="DE910" s="540"/>
    </row>
    <row r="911" spans="1:109" s="116" customFormat="1" x14ac:dyDescent="0.2">
      <c r="A911" s="435"/>
      <c r="B911" s="435"/>
      <c r="C911" s="435"/>
      <c r="D911" s="435"/>
      <c r="AB911" s="540"/>
      <c r="AU911" s="540"/>
      <c r="AV911" s="540"/>
      <c r="AW911" s="540"/>
      <c r="AX911" s="540"/>
      <c r="AY911" s="540"/>
      <c r="AZ911" s="540"/>
      <c r="BA911" s="540"/>
      <c r="BB911" s="540"/>
      <c r="BC911" s="540"/>
      <c r="BD911" s="540"/>
      <c r="BE911" s="540"/>
      <c r="BF911" s="540"/>
      <c r="BG911" s="540"/>
      <c r="BH911" s="540"/>
      <c r="BI911" s="540"/>
      <c r="BJ911" s="540"/>
      <c r="BK911" s="540"/>
      <c r="BL911" s="540"/>
      <c r="BM911" s="540"/>
      <c r="BN911" s="540"/>
      <c r="BO911" s="540"/>
      <c r="BP911" s="540"/>
      <c r="BQ911" s="540"/>
      <c r="BR911" s="540"/>
      <c r="BS911" s="540"/>
      <c r="BT911" s="540"/>
      <c r="BU911" s="540"/>
      <c r="BV911" s="540"/>
      <c r="BW911" s="540"/>
      <c r="BX911" s="540"/>
      <c r="BY911" s="540"/>
      <c r="BZ911" s="540"/>
      <c r="CA911" s="540"/>
      <c r="CB911" s="540"/>
      <c r="CC911" s="540"/>
      <c r="CD911" s="540"/>
      <c r="CE911" s="540"/>
      <c r="CF911" s="540"/>
      <c r="CG911" s="540"/>
      <c r="CH911" s="540"/>
      <c r="CI911" s="540"/>
      <c r="CJ911" s="540"/>
      <c r="CK911" s="540"/>
      <c r="CL911" s="540"/>
      <c r="CM911" s="540"/>
      <c r="CN911" s="540"/>
      <c r="CO911" s="540"/>
      <c r="CP911" s="540"/>
      <c r="CQ911" s="540"/>
      <c r="CR911" s="540"/>
      <c r="CS911" s="540"/>
      <c r="CT911" s="540"/>
      <c r="CU911" s="540"/>
      <c r="CV911" s="540"/>
      <c r="CW911" s="540"/>
      <c r="CX911" s="540"/>
      <c r="CY911" s="540"/>
      <c r="CZ911" s="540"/>
      <c r="DA911" s="540"/>
      <c r="DB911" s="540"/>
      <c r="DC911" s="540"/>
      <c r="DD911" s="540"/>
      <c r="DE911" s="540"/>
    </row>
    <row r="912" spans="1:109" s="116" customFormat="1" x14ac:dyDescent="0.2">
      <c r="A912" s="435"/>
      <c r="B912" s="435"/>
      <c r="C912" s="435"/>
      <c r="D912" s="435"/>
      <c r="AB912" s="540"/>
      <c r="AU912" s="540"/>
      <c r="AV912" s="540"/>
      <c r="AW912" s="540"/>
      <c r="AX912" s="540"/>
      <c r="AY912" s="540"/>
      <c r="AZ912" s="540"/>
      <c r="BA912" s="540"/>
      <c r="BB912" s="540"/>
      <c r="BC912" s="540"/>
      <c r="BD912" s="540"/>
      <c r="BE912" s="540"/>
      <c r="BF912" s="540"/>
      <c r="BG912" s="540"/>
      <c r="BH912" s="540"/>
      <c r="BI912" s="540"/>
      <c r="BJ912" s="540"/>
      <c r="BK912" s="540"/>
      <c r="BL912" s="540"/>
      <c r="BM912" s="540"/>
      <c r="BN912" s="540"/>
      <c r="BO912" s="540"/>
      <c r="BP912" s="540"/>
      <c r="BQ912" s="540"/>
      <c r="BR912" s="540"/>
      <c r="BS912" s="540"/>
      <c r="BT912" s="540"/>
      <c r="BU912" s="540"/>
      <c r="BV912" s="540"/>
      <c r="BW912" s="540"/>
      <c r="BX912" s="540"/>
      <c r="BY912" s="540"/>
      <c r="BZ912" s="540"/>
      <c r="CA912" s="540"/>
      <c r="CB912" s="540"/>
      <c r="CC912" s="540"/>
      <c r="CD912" s="540"/>
      <c r="CE912" s="540"/>
      <c r="CF912" s="540"/>
      <c r="CG912" s="540"/>
      <c r="CH912" s="540"/>
      <c r="CI912" s="540"/>
      <c r="CJ912" s="540"/>
      <c r="CK912" s="540"/>
      <c r="CL912" s="540"/>
      <c r="CM912" s="540"/>
      <c r="CN912" s="540"/>
      <c r="CO912" s="540"/>
      <c r="CP912" s="540"/>
      <c r="CQ912" s="540"/>
      <c r="CR912" s="540"/>
      <c r="CS912" s="540"/>
      <c r="CT912" s="540"/>
      <c r="CU912" s="540"/>
      <c r="CV912" s="540"/>
      <c r="CW912" s="540"/>
      <c r="CX912" s="540"/>
      <c r="CY912" s="540"/>
      <c r="CZ912" s="540"/>
      <c r="DA912" s="540"/>
      <c r="DB912" s="540"/>
      <c r="DC912" s="540"/>
      <c r="DD912" s="540"/>
      <c r="DE912" s="540"/>
    </row>
    <row r="913" spans="1:109" s="116" customFormat="1" x14ac:dyDescent="0.2">
      <c r="A913" s="435"/>
      <c r="B913" s="435"/>
      <c r="C913" s="435"/>
      <c r="D913" s="435"/>
      <c r="AB913" s="540"/>
      <c r="AU913" s="540"/>
      <c r="AV913" s="540"/>
      <c r="AW913" s="540"/>
      <c r="AX913" s="540"/>
      <c r="AY913" s="540"/>
      <c r="AZ913" s="540"/>
      <c r="BA913" s="540"/>
      <c r="BB913" s="540"/>
      <c r="BC913" s="540"/>
      <c r="BD913" s="540"/>
      <c r="BE913" s="540"/>
      <c r="BF913" s="540"/>
      <c r="BG913" s="540"/>
      <c r="BH913" s="540"/>
      <c r="BI913" s="540"/>
      <c r="BJ913" s="540"/>
      <c r="BK913" s="540"/>
      <c r="BL913" s="540"/>
      <c r="BM913" s="540"/>
      <c r="BN913" s="540"/>
      <c r="BO913" s="540"/>
      <c r="BP913" s="540"/>
      <c r="BQ913" s="540"/>
      <c r="BR913" s="540"/>
      <c r="BS913" s="540"/>
      <c r="BT913" s="540"/>
      <c r="BU913" s="540"/>
      <c r="BV913" s="540"/>
      <c r="BW913" s="540"/>
      <c r="BX913" s="540"/>
      <c r="BY913" s="540"/>
      <c r="BZ913" s="540"/>
      <c r="CA913" s="540"/>
      <c r="CB913" s="540"/>
      <c r="CC913" s="540"/>
      <c r="CD913" s="540"/>
      <c r="CE913" s="540"/>
      <c r="CF913" s="540"/>
      <c r="CG913" s="540"/>
      <c r="CH913" s="540"/>
      <c r="CI913" s="540"/>
      <c r="CJ913" s="540"/>
      <c r="CK913" s="540"/>
      <c r="CL913" s="540"/>
      <c r="CM913" s="540"/>
      <c r="CN913" s="540"/>
      <c r="CO913" s="540"/>
      <c r="CP913" s="540"/>
      <c r="CQ913" s="540"/>
      <c r="CR913" s="540"/>
      <c r="CS913" s="540"/>
      <c r="CT913" s="540"/>
      <c r="CU913" s="540"/>
      <c r="CV913" s="540"/>
      <c r="CW913" s="540"/>
      <c r="CX913" s="540"/>
      <c r="CY913" s="540"/>
      <c r="CZ913" s="540"/>
      <c r="DA913" s="540"/>
      <c r="DB913" s="540"/>
      <c r="DC913" s="540"/>
      <c r="DD913" s="540"/>
      <c r="DE913" s="540"/>
    </row>
    <row r="914" spans="1:109" s="116" customFormat="1" x14ac:dyDescent="0.2">
      <c r="A914" s="435"/>
      <c r="B914" s="435"/>
      <c r="C914" s="435"/>
      <c r="D914" s="435"/>
      <c r="AB914" s="540"/>
      <c r="AU914" s="540"/>
      <c r="AV914" s="540"/>
      <c r="AW914" s="540"/>
      <c r="AX914" s="540"/>
      <c r="AY914" s="540"/>
      <c r="AZ914" s="540"/>
      <c r="BA914" s="540"/>
      <c r="BB914" s="540"/>
      <c r="BC914" s="540"/>
      <c r="BD914" s="540"/>
      <c r="BE914" s="540"/>
      <c r="BF914" s="540"/>
      <c r="BG914" s="540"/>
      <c r="BH914" s="540"/>
      <c r="BI914" s="540"/>
      <c r="BJ914" s="540"/>
      <c r="BK914" s="540"/>
      <c r="BL914" s="540"/>
      <c r="BM914" s="540"/>
      <c r="BN914" s="540"/>
      <c r="BO914" s="540"/>
      <c r="BP914" s="540"/>
      <c r="BQ914" s="540"/>
      <c r="BR914" s="540"/>
      <c r="BS914" s="540"/>
      <c r="BT914" s="540"/>
      <c r="BU914" s="540"/>
      <c r="BV914" s="540"/>
      <c r="BW914" s="540"/>
      <c r="BX914" s="540"/>
      <c r="BY914" s="540"/>
      <c r="BZ914" s="540"/>
      <c r="CA914" s="540"/>
      <c r="CB914" s="540"/>
      <c r="CC914" s="540"/>
      <c r="CD914" s="540"/>
      <c r="CE914" s="540"/>
      <c r="CF914" s="540"/>
      <c r="CG914" s="540"/>
      <c r="CH914" s="540"/>
      <c r="CI914" s="540"/>
      <c r="CJ914" s="540"/>
      <c r="CK914" s="540"/>
      <c r="CL914" s="540"/>
      <c r="CM914" s="540"/>
      <c r="CN914" s="540"/>
      <c r="CO914" s="540"/>
      <c r="CP914" s="540"/>
      <c r="CQ914" s="540"/>
      <c r="CR914" s="540"/>
      <c r="CS914" s="540"/>
      <c r="CT914" s="540"/>
      <c r="CU914" s="540"/>
      <c r="CV914" s="540"/>
      <c r="CW914" s="540"/>
      <c r="CX914" s="540"/>
      <c r="CY914" s="540"/>
      <c r="CZ914" s="540"/>
      <c r="DA914" s="540"/>
      <c r="DB914" s="540"/>
      <c r="DC914" s="540"/>
      <c r="DD914" s="540"/>
      <c r="DE914" s="540"/>
    </row>
    <row r="915" spans="1:109" s="116" customFormat="1" x14ac:dyDescent="0.2">
      <c r="A915" s="435"/>
      <c r="B915" s="435"/>
      <c r="C915" s="435"/>
      <c r="D915" s="435"/>
      <c r="AB915" s="540"/>
      <c r="AU915" s="540"/>
      <c r="AV915" s="540"/>
      <c r="AW915" s="540"/>
      <c r="AX915" s="540"/>
      <c r="AY915" s="540"/>
      <c r="AZ915" s="540"/>
      <c r="BA915" s="540"/>
      <c r="BB915" s="540"/>
      <c r="BC915" s="540"/>
      <c r="BD915" s="540"/>
      <c r="BE915" s="540"/>
      <c r="BF915" s="540"/>
      <c r="BG915" s="540"/>
      <c r="BH915" s="540"/>
      <c r="BI915" s="540"/>
      <c r="BJ915" s="540"/>
      <c r="BK915" s="540"/>
      <c r="BL915" s="540"/>
      <c r="BM915" s="540"/>
      <c r="BN915" s="540"/>
      <c r="BO915" s="540"/>
      <c r="BP915" s="540"/>
      <c r="BQ915" s="540"/>
      <c r="BR915" s="540"/>
      <c r="BS915" s="540"/>
      <c r="BT915" s="540"/>
      <c r="BU915" s="540"/>
      <c r="BV915" s="540"/>
      <c r="BW915" s="540"/>
      <c r="BX915" s="540"/>
      <c r="BY915" s="540"/>
      <c r="BZ915" s="540"/>
      <c r="CA915" s="540"/>
      <c r="CB915" s="540"/>
      <c r="CC915" s="540"/>
      <c r="CD915" s="540"/>
      <c r="CE915" s="540"/>
      <c r="CF915" s="540"/>
      <c r="CG915" s="540"/>
      <c r="CH915" s="540"/>
      <c r="CI915" s="540"/>
      <c r="CJ915" s="540"/>
      <c r="CK915" s="540"/>
      <c r="CL915" s="540"/>
      <c r="CM915" s="540"/>
      <c r="CN915" s="540"/>
      <c r="CO915" s="540"/>
      <c r="CP915" s="540"/>
      <c r="CQ915" s="540"/>
      <c r="CR915" s="540"/>
      <c r="CS915" s="540"/>
      <c r="CT915" s="540"/>
      <c r="CU915" s="540"/>
      <c r="CV915" s="540"/>
      <c r="CW915" s="540"/>
      <c r="CX915" s="540"/>
      <c r="CY915" s="540"/>
      <c r="CZ915" s="540"/>
      <c r="DA915" s="540"/>
      <c r="DB915" s="540"/>
      <c r="DC915" s="540"/>
      <c r="DD915" s="540"/>
      <c r="DE915" s="540"/>
    </row>
    <row r="916" spans="1:109" s="116" customFormat="1" x14ac:dyDescent="0.2">
      <c r="A916" s="435"/>
      <c r="B916" s="435"/>
      <c r="C916" s="435"/>
      <c r="D916" s="435"/>
      <c r="AB916" s="540"/>
      <c r="AU916" s="540"/>
      <c r="AV916" s="540"/>
      <c r="AW916" s="540"/>
      <c r="AX916" s="540"/>
      <c r="AY916" s="540"/>
      <c r="AZ916" s="540"/>
      <c r="BA916" s="540"/>
      <c r="BB916" s="540"/>
      <c r="BC916" s="540"/>
      <c r="BD916" s="540"/>
      <c r="BE916" s="540"/>
      <c r="BF916" s="540"/>
      <c r="BG916" s="540"/>
      <c r="BH916" s="540"/>
      <c r="BI916" s="540"/>
      <c r="BJ916" s="540"/>
      <c r="BK916" s="540"/>
      <c r="BL916" s="540"/>
      <c r="BM916" s="540"/>
      <c r="BN916" s="540"/>
      <c r="BO916" s="540"/>
      <c r="BP916" s="540"/>
      <c r="BQ916" s="540"/>
      <c r="BR916" s="540"/>
      <c r="BS916" s="540"/>
      <c r="BT916" s="540"/>
      <c r="BU916" s="540"/>
      <c r="BV916" s="540"/>
      <c r="BW916" s="540"/>
      <c r="BX916" s="540"/>
      <c r="BY916" s="540"/>
      <c r="BZ916" s="540"/>
      <c r="CA916" s="540"/>
      <c r="CB916" s="540"/>
      <c r="CC916" s="540"/>
      <c r="CD916" s="540"/>
      <c r="CE916" s="540"/>
      <c r="CF916" s="540"/>
      <c r="CG916" s="540"/>
      <c r="CH916" s="540"/>
      <c r="CI916" s="540"/>
      <c r="CJ916" s="540"/>
      <c r="CK916" s="540"/>
      <c r="CL916" s="540"/>
      <c r="CM916" s="540"/>
      <c r="CN916" s="540"/>
      <c r="CO916" s="540"/>
      <c r="CP916" s="540"/>
      <c r="CQ916" s="540"/>
      <c r="CR916" s="540"/>
      <c r="CS916" s="540"/>
      <c r="CT916" s="540"/>
      <c r="CU916" s="540"/>
      <c r="CV916" s="540"/>
      <c r="CW916" s="540"/>
      <c r="CX916" s="540"/>
      <c r="CY916" s="540"/>
      <c r="CZ916" s="540"/>
      <c r="DA916" s="540"/>
      <c r="DB916" s="540"/>
      <c r="DC916" s="540"/>
      <c r="DD916" s="540"/>
      <c r="DE916" s="540"/>
    </row>
    <row r="917" spans="1:109" s="116" customFormat="1" x14ac:dyDescent="0.2">
      <c r="A917" s="435"/>
      <c r="B917" s="435"/>
      <c r="C917" s="435"/>
      <c r="D917" s="435"/>
      <c r="AB917" s="540"/>
      <c r="AU917" s="540"/>
      <c r="AV917" s="540"/>
      <c r="AW917" s="540"/>
      <c r="AX917" s="540"/>
      <c r="AY917" s="540"/>
      <c r="AZ917" s="540"/>
      <c r="BA917" s="540"/>
      <c r="BB917" s="540"/>
      <c r="BC917" s="540"/>
      <c r="BD917" s="540"/>
      <c r="BE917" s="540"/>
      <c r="BF917" s="540"/>
      <c r="BG917" s="540"/>
      <c r="BH917" s="540"/>
      <c r="BI917" s="540"/>
      <c r="BJ917" s="540"/>
      <c r="BK917" s="540"/>
      <c r="BL917" s="540"/>
      <c r="BM917" s="540"/>
      <c r="BN917" s="540"/>
      <c r="BO917" s="540"/>
      <c r="BP917" s="540"/>
      <c r="BQ917" s="540"/>
      <c r="BR917" s="540"/>
      <c r="BS917" s="540"/>
      <c r="BT917" s="540"/>
      <c r="BU917" s="540"/>
      <c r="BV917" s="540"/>
      <c r="BW917" s="540"/>
      <c r="BX917" s="540"/>
      <c r="BY917" s="540"/>
      <c r="BZ917" s="540"/>
      <c r="CA917" s="540"/>
      <c r="CB917" s="540"/>
      <c r="CC917" s="540"/>
      <c r="CD917" s="540"/>
      <c r="CE917" s="540"/>
      <c r="CF917" s="540"/>
      <c r="CG917" s="540"/>
      <c r="CH917" s="540"/>
      <c r="CI917" s="540"/>
      <c r="CJ917" s="540"/>
      <c r="CK917" s="540"/>
      <c r="CL917" s="540"/>
      <c r="CM917" s="540"/>
      <c r="CN917" s="540"/>
      <c r="CO917" s="540"/>
      <c r="CP917" s="540"/>
      <c r="CQ917" s="540"/>
      <c r="CR917" s="540"/>
      <c r="CS917" s="540"/>
      <c r="CT917" s="540"/>
      <c r="CU917" s="540"/>
      <c r="CV917" s="540"/>
      <c r="CW917" s="540"/>
      <c r="CX917" s="540"/>
      <c r="CY917" s="540"/>
      <c r="CZ917" s="540"/>
      <c r="DA917" s="540"/>
      <c r="DB917" s="540"/>
      <c r="DC917" s="540"/>
      <c r="DD917" s="540"/>
      <c r="DE917" s="540"/>
    </row>
    <row r="918" spans="1:109" s="116" customFormat="1" x14ac:dyDescent="0.2">
      <c r="A918" s="435"/>
      <c r="B918" s="435"/>
      <c r="C918" s="435"/>
      <c r="D918" s="435"/>
      <c r="AB918" s="540"/>
      <c r="AU918" s="540"/>
      <c r="AV918" s="540"/>
      <c r="AW918" s="540"/>
      <c r="AX918" s="540"/>
      <c r="AY918" s="540"/>
      <c r="AZ918" s="540"/>
      <c r="BA918" s="540"/>
      <c r="BB918" s="540"/>
      <c r="BC918" s="540"/>
      <c r="BD918" s="540"/>
      <c r="BE918" s="540"/>
      <c r="BF918" s="540"/>
      <c r="BG918" s="540"/>
      <c r="BH918" s="540"/>
      <c r="BI918" s="540"/>
      <c r="BJ918" s="540"/>
      <c r="BK918" s="540"/>
      <c r="BL918" s="540"/>
      <c r="BM918" s="540"/>
      <c r="BN918" s="540"/>
      <c r="BO918" s="540"/>
      <c r="BP918" s="540"/>
      <c r="BQ918" s="540"/>
      <c r="BR918" s="540"/>
      <c r="BS918" s="540"/>
      <c r="BT918" s="540"/>
      <c r="BU918" s="540"/>
      <c r="BV918" s="540"/>
      <c r="BW918" s="540"/>
      <c r="BX918" s="540"/>
      <c r="BY918" s="540"/>
      <c r="BZ918" s="540"/>
      <c r="CA918" s="540"/>
      <c r="CB918" s="540"/>
      <c r="CC918" s="540"/>
      <c r="CD918" s="540"/>
      <c r="CE918" s="540"/>
      <c r="CF918" s="540"/>
      <c r="CG918" s="540"/>
      <c r="CH918" s="540"/>
      <c r="CI918" s="540"/>
      <c r="CJ918" s="540"/>
      <c r="CK918" s="540"/>
      <c r="CL918" s="540"/>
      <c r="CM918" s="540"/>
      <c r="CN918" s="540"/>
      <c r="CO918" s="540"/>
      <c r="CP918" s="540"/>
      <c r="CQ918" s="540"/>
      <c r="CR918" s="540"/>
      <c r="CS918" s="540"/>
      <c r="CT918" s="540"/>
      <c r="CU918" s="540"/>
      <c r="CV918" s="540"/>
      <c r="CW918" s="540"/>
      <c r="CX918" s="540"/>
      <c r="CY918" s="540"/>
      <c r="CZ918" s="540"/>
      <c r="DA918" s="540"/>
      <c r="DB918" s="540"/>
      <c r="DC918" s="540"/>
      <c r="DD918" s="540"/>
      <c r="DE918" s="540"/>
    </row>
    <row r="919" spans="1:109" s="116" customFormat="1" x14ac:dyDescent="0.2">
      <c r="A919" s="435"/>
      <c r="B919" s="435"/>
      <c r="C919" s="435"/>
      <c r="D919" s="435"/>
      <c r="AB919" s="540"/>
      <c r="AU919" s="540"/>
      <c r="AV919" s="540"/>
      <c r="AW919" s="540"/>
      <c r="AX919" s="540"/>
      <c r="AY919" s="540"/>
      <c r="AZ919" s="540"/>
      <c r="BA919" s="540"/>
      <c r="BB919" s="540"/>
      <c r="BC919" s="540"/>
      <c r="BD919" s="540"/>
      <c r="BE919" s="540"/>
      <c r="BF919" s="540"/>
      <c r="BG919" s="540"/>
      <c r="BH919" s="540"/>
      <c r="BI919" s="540"/>
      <c r="BJ919" s="540"/>
      <c r="BK919" s="540"/>
      <c r="BL919" s="540"/>
      <c r="BM919" s="540"/>
      <c r="BN919" s="540"/>
      <c r="BO919" s="540"/>
      <c r="BP919" s="540"/>
      <c r="BQ919" s="540"/>
      <c r="BR919" s="540"/>
      <c r="BS919" s="540"/>
      <c r="BT919" s="540"/>
      <c r="BU919" s="540"/>
      <c r="BV919" s="540"/>
      <c r="BW919" s="540"/>
      <c r="BX919" s="540"/>
      <c r="BY919" s="540"/>
      <c r="BZ919" s="540"/>
      <c r="CA919" s="540"/>
      <c r="CB919" s="540"/>
      <c r="CC919" s="540"/>
      <c r="CD919" s="540"/>
      <c r="CE919" s="540"/>
      <c r="CF919" s="540"/>
      <c r="CG919" s="540"/>
      <c r="CH919" s="540"/>
      <c r="CI919" s="540"/>
      <c r="CJ919" s="540"/>
      <c r="CK919" s="540"/>
      <c r="CL919" s="540"/>
      <c r="CM919" s="540"/>
      <c r="CN919" s="540"/>
      <c r="CO919" s="540"/>
      <c r="CP919" s="540"/>
      <c r="CQ919" s="540"/>
      <c r="CR919" s="540"/>
      <c r="CS919" s="540"/>
      <c r="CT919" s="540"/>
      <c r="CU919" s="540"/>
      <c r="CV919" s="540"/>
      <c r="CW919" s="540"/>
      <c r="CX919" s="540"/>
      <c r="CY919" s="540"/>
      <c r="CZ919" s="540"/>
      <c r="DA919" s="540"/>
      <c r="DB919" s="540"/>
      <c r="DC919" s="540"/>
      <c r="DD919" s="540"/>
      <c r="DE919" s="540"/>
    </row>
    <row r="920" spans="1:109" s="116" customFormat="1" x14ac:dyDescent="0.2">
      <c r="A920" s="435"/>
      <c r="B920" s="435"/>
      <c r="C920" s="435"/>
      <c r="D920" s="435"/>
      <c r="AB920" s="540"/>
      <c r="AU920" s="540"/>
      <c r="AV920" s="540"/>
      <c r="AW920" s="540"/>
      <c r="AX920" s="540"/>
      <c r="AY920" s="540"/>
      <c r="AZ920" s="540"/>
      <c r="BA920" s="540"/>
      <c r="BB920" s="540"/>
      <c r="BC920" s="540"/>
      <c r="BD920" s="540"/>
      <c r="BE920" s="540"/>
      <c r="BF920" s="540"/>
      <c r="BG920" s="540"/>
      <c r="BH920" s="540"/>
      <c r="BI920" s="540"/>
      <c r="BJ920" s="540"/>
      <c r="BK920" s="540"/>
      <c r="BL920" s="540"/>
      <c r="BM920" s="540"/>
      <c r="BN920" s="540"/>
      <c r="BO920" s="540"/>
      <c r="BP920" s="540"/>
      <c r="BQ920" s="540"/>
      <c r="BR920" s="540"/>
      <c r="BS920" s="540"/>
      <c r="BT920" s="540"/>
      <c r="BU920" s="540"/>
      <c r="BV920" s="540"/>
      <c r="BW920" s="540"/>
      <c r="BX920" s="540"/>
      <c r="BY920" s="540"/>
      <c r="BZ920" s="540"/>
      <c r="CA920" s="540"/>
      <c r="CB920" s="540"/>
      <c r="CC920" s="540"/>
      <c r="CD920" s="540"/>
      <c r="CE920" s="540"/>
      <c r="CF920" s="540"/>
      <c r="CG920" s="540"/>
      <c r="CH920" s="540"/>
      <c r="CI920" s="540"/>
      <c r="CJ920" s="540"/>
      <c r="CK920" s="540"/>
      <c r="CL920" s="540"/>
      <c r="CM920" s="540"/>
      <c r="CN920" s="540"/>
      <c r="CO920" s="540"/>
      <c r="CP920" s="540"/>
      <c r="CQ920" s="540"/>
      <c r="CR920" s="540"/>
      <c r="CS920" s="540"/>
      <c r="CT920" s="540"/>
      <c r="CU920" s="540"/>
      <c r="CV920" s="540"/>
      <c r="CW920" s="540"/>
      <c r="CX920" s="540"/>
      <c r="CY920" s="540"/>
      <c r="CZ920" s="540"/>
      <c r="DA920" s="540"/>
      <c r="DB920" s="540"/>
      <c r="DC920" s="540"/>
      <c r="DD920" s="540"/>
      <c r="DE920" s="540"/>
    </row>
    <row r="921" spans="1:109" s="116" customFormat="1" x14ac:dyDescent="0.2">
      <c r="A921" s="435"/>
      <c r="B921" s="435"/>
      <c r="C921" s="435"/>
      <c r="D921" s="435"/>
      <c r="AB921" s="540"/>
      <c r="AU921" s="540"/>
      <c r="AV921" s="540"/>
      <c r="AW921" s="540"/>
      <c r="AX921" s="540"/>
      <c r="AY921" s="540"/>
      <c r="AZ921" s="540"/>
      <c r="BA921" s="540"/>
      <c r="BB921" s="540"/>
      <c r="BC921" s="540"/>
      <c r="BD921" s="540"/>
      <c r="BE921" s="540"/>
      <c r="BF921" s="540"/>
      <c r="BG921" s="540"/>
      <c r="BH921" s="540"/>
      <c r="BI921" s="540"/>
      <c r="BJ921" s="540"/>
      <c r="BK921" s="540"/>
      <c r="BL921" s="540"/>
      <c r="BM921" s="540"/>
      <c r="BN921" s="540"/>
      <c r="BO921" s="540"/>
      <c r="BP921" s="540"/>
      <c r="BQ921" s="540"/>
      <c r="BR921" s="540"/>
      <c r="BS921" s="540"/>
      <c r="BT921" s="540"/>
      <c r="BU921" s="540"/>
      <c r="BV921" s="540"/>
      <c r="BW921" s="540"/>
      <c r="BX921" s="540"/>
      <c r="BY921" s="540"/>
      <c r="BZ921" s="540"/>
      <c r="CA921" s="540"/>
      <c r="CB921" s="540"/>
      <c r="CC921" s="540"/>
      <c r="CD921" s="540"/>
      <c r="CE921" s="540"/>
      <c r="CF921" s="540"/>
      <c r="CG921" s="540"/>
      <c r="CH921" s="540"/>
      <c r="CI921" s="540"/>
      <c r="CJ921" s="540"/>
      <c r="CK921" s="540"/>
      <c r="CL921" s="540"/>
      <c r="CM921" s="540"/>
      <c r="CN921" s="540"/>
      <c r="CO921" s="540"/>
      <c r="CP921" s="540"/>
      <c r="CQ921" s="540"/>
      <c r="CR921" s="540"/>
      <c r="CS921" s="540"/>
      <c r="CT921" s="540"/>
      <c r="CU921" s="540"/>
      <c r="CV921" s="540"/>
      <c r="CW921" s="540"/>
      <c r="CX921" s="540"/>
      <c r="CY921" s="540"/>
      <c r="CZ921" s="540"/>
      <c r="DA921" s="540"/>
      <c r="DB921" s="540"/>
      <c r="DC921" s="540"/>
      <c r="DD921" s="540"/>
      <c r="DE921" s="540"/>
    </row>
    <row r="922" spans="1:109" s="116" customFormat="1" x14ac:dyDescent="0.2">
      <c r="A922" s="435"/>
      <c r="B922" s="435"/>
      <c r="C922" s="435"/>
      <c r="D922" s="435"/>
      <c r="AB922" s="540"/>
      <c r="AU922" s="540"/>
      <c r="AV922" s="540"/>
      <c r="AW922" s="540"/>
      <c r="AX922" s="540"/>
      <c r="AY922" s="540"/>
      <c r="AZ922" s="540"/>
      <c r="BA922" s="540"/>
      <c r="BB922" s="540"/>
      <c r="BC922" s="540"/>
      <c r="BD922" s="540"/>
      <c r="BE922" s="540"/>
      <c r="BF922" s="540"/>
      <c r="BG922" s="540"/>
      <c r="BH922" s="540"/>
      <c r="BI922" s="540"/>
      <c r="BJ922" s="540"/>
      <c r="BK922" s="540"/>
      <c r="BL922" s="540"/>
      <c r="BM922" s="540"/>
      <c r="BN922" s="540"/>
      <c r="BO922" s="540"/>
      <c r="BP922" s="540"/>
      <c r="BQ922" s="540"/>
      <c r="BR922" s="540"/>
      <c r="BS922" s="540"/>
      <c r="BT922" s="540"/>
      <c r="BU922" s="540"/>
      <c r="BV922" s="540"/>
      <c r="BW922" s="540"/>
      <c r="BX922" s="540"/>
      <c r="BY922" s="540"/>
      <c r="BZ922" s="540"/>
      <c r="CA922" s="540"/>
      <c r="CB922" s="540"/>
      <c r="CC922" s="540"/>
      <c r="CD922" s="540"/>
      <c r="CE922" s="540"/>
      <c r="CF922" s="540"/>
      <c r="CG922" s="540"/>
      <c r="CH922" s="540"/>
      <c r="CI922" s="540"/>
      <c r="CJ922" s="540"/>
      <c r="CK922" s="540"/>
      <c r="CL922" s="540"/>
      <c r="CM922" s="540"/>
      <c r="CN922" s="540"/>
      <c r="CO922" s="540"/>
      <c r="CP922" s="540"/>
      <c r="CQ922" s="540"/>
      <c r="CR922" s="540"/>
      <c r="CS922" s="540"/>
      <c r="CT922" s="540"/>
      <c r="CU922" s="540"/>
      <c r="CV922" s="540"/>
      <c r="CW922" s="540"/>
      <c r="CX922" s="540"/>
      <c r="CY922" s="540"/>
      <c r="CZ922" s="540"/>
      <c r="DA922" s="540"/>
      <c r="DB922" s="540"/>
      <c r="DC922" s="540"/>
      <c r="DD922" s="540"/>
      <c r="DE922" s="540"/>
    </row>
    <row r="923" spans="1:109" s="116" customFormat="1" x14ac:dyDescent="0.2">
      <c r="A923" s="435"/>
      <c r="B923" s="435"/>
      <c r="C923" s="435"/>
      <c r="D923" s="435"/>
      <c r="AB923" s="540"/>
      <c r="AU923" s="540"/>
      <c r="AV923" s="540"/>
      <c r="AW923" s="540"/>
      <c r="AX923" s="540"/>
      <c r="AY923" s="540"/>
      <c r="AZ923" s="540"/>
      <c r="BA923" s="540"/>
      <c r="BB923" s="540"/>
      <c r="BC923" s="540"/>
      <c r="BD923" s="540"/>
      <c r="BE923" s="540"/>
      <c r="BF923" s="540"/>
      <c r="BG923" s="540"/>
      <c r="BH923" s="540"/>
      <c r="BI923" s="540"/>
      <c r="BJ923" s="540"/>
      <c r="BK923" s="540"/>
      <c r="BL923" s="540"/>
      <c r="BM923" s="540"/>
      <c r="BN923" s="540"/>
      <c r="BO923" s="540"/>
      <c r="BP923" s="540"/>
      <c r="BQ923" s="540"/>
      <c r="BR923" s="540"/>
      <c r="BS923" s="540"/>
      <c r="BT923" s="540"/>
      <c r="BU923" s="540"/>
      <c r="BV923" s="540"/>
      <c r="BW923" s="540"/>
      <c r="BX923" s="540"/>
      <c r="BY923" s="540"/>
      <c r="BZ923" s="540"/>
      <c r="CA923" s="540"/>
      <c r="CB923" s="540"/>
      <c r="CC923" s="540"/>
      <c r="CD923" s="540"/>
      <c r="CE923" s="540"/>
      <c r="CF923" s="540"/>
      <c r="CG923" s="540"/>
      <c r="CH923" s="540"/>
      <c r="CI923" s="540"/>
      <c r="CJ923" s="540"/>
      <c r="CK923" s="540"/>
      <c r="CL923" s="540"/>
      <c r="CM923" s="540"/>
      <c r="CN923" s="540"/>
      <c r="CO923" s="540"/>
      <c r="CP923" s="540"/>
      <c r="CQ923" s="540"/>
      <c r="CR923" s="540"/>
      <c r="CS923" s="540"/>
      <c r="CT923" s="540"/>
      <c r="CU923" s="540"/>
      <c r="CV923" s="540"/>
      <c r="CW923" s="540"/>
      <c r="CX923" s="540"/>
      <c r="CY923" s="540"/>
      <c r="CZ923" s="540"/>
      <c r="DA923" s="540"/>
      <c r="DB923" s="540"/>
      <c r="DC923" s="540"/>
      <c r="DD923" s="540"/>
      <c r="DE923" s="540"/>
    </row>
    <row r="924" spans="1:109" s="116" customFormat="1" x14ac:dyDescent="0.2">
      <c r="A924" s="435"/>
      <c r="B924" s="435"/>
      <c r="C924" s="435"/>
      <c r="D924" s="435"/>
      <c r="AB924" s="540"/>
      <c r="AU924" s="540"/>
      <c r="AV924" s="540"/>
      <c r="AW924" s="540"/>
      <c r="AX924" s="540"/>
      <c r="AY924" s="540"/>
      <c r="AZ924" s="540"/>
      <c r="BA924" s="540"/>
      <c r="BB924" s="540"/>
      <c r="BC924" s="540"/>
      <c r="BD924" s="540"/>
      <c r="BE924" s="540"/>
      <c r="BF924" s="540"/>
      <c r="BG924" s="540"/>
      <c r="BH924" s="540"/>
      <c r="BI924" s="540"/>
      <c r="BJ924" s="540"/>
      <c r="BK924" s="540"/>
      <c r="BL924" s="540"/>
      <c r="BM924" s="540"/>
      <c r="BN924" s="540"/>
      <c r="BO924" s="540"/>
      <c r="BP924" s="540"/>
      <c r="BQ924" s="540"/>
      <c r="BR924" s="540"/>
      <c r="BS924" s="540"/>
      <c r="BT924" s="540"/>
      <c r="BU924" s="540"/>
      <c r="BV924" s="540"/>
      <c r="BW924" s="540"/>
      <c r="BX924" s="540"/>
      <c r="BY924" s="540"/>
      <c r="BZ924" s="540"/>
      <c r="CA924" s="540"/>
      <c r="CB924" s="540"/>
      <c r="CC924" s="540"/>
      <c r="CD924" s="540"/>
      <c r="CE924" s="540"/>
      <c r="CF924" s="540"/>
      <c r="CG924" s="540"/>
      <c r="CH924" s="540"/>
      <c r="CI924" s="540"/>
      <c r="CJ924" s="540"/>
      <c r="CK924" s="540"/>
      <c r="CL924" s="540"/>
      <c r="CM924" s="540"/>
      <c r="CN924" s="540"/>
      <c r="CO924" s="540"/>
      <c r="CP924" s="540"/>
      <c r="CQ924" s="540"/>
      <c r="CR924" s="540"/>
      <c r="CS924" s="540"/>
      <c r="CT924" s="540"/>
      <c r="CU924" s="540"/>
      <c r="CV924" s="540"/>
      <c r="CW924" s="540"/>
      <c r="CX924" s="540"/>
      <c r="CY924" s="540"/>
      <c r="CZ924" s="540"/>
      <c r="DA924" s="540"/>
      <c r="DB924" s="540"/>
      <c r="DC924" s="540"/>
      <c r="DD924" s="540"/>
      <c r="DE924" s="540"/>
    </row>
    <row r="925" spans="1:109" s="116" customFormat="1" x14ac:dyDescent="0.2">
      <c r="A925" s="435"/>
      <c r="B925" s="435"/>
      <c r="C925" s="435"/>
      <c r="D925" s="435"/>
      <c r="AB925" s="540"/>
      <c r="AU925" s="540"/>
      <c r="AV925" s="540"/>
      <c r="AW925" s="540"/>
      <c r="AX925" s="540"/>
      <c r="AY925" s="540"/>
      <c r="AZ925" s="540"/>
      <c r="BA925" s="540"/>
      <c r="BB925" s="540"/>
      <c r="BC925" s="540"/>
      <c r="BD925" s="540"/>
      <c r="BE925" s="540"/>
      <c r="BF925" s="540"/>
      <c r="BG925" s="540"/>
      <c r="BH925" s="540"/>
      <c r="BI925" s="540"/>
      <c r="BJ925" s="540"/>
      <c r="BK925" s="540"/>
      <c r="BL925" s="540"/>
      <c r="BM925" s="540"/>
      <c r="BN925" s="540"/>
      <c r="BO925" s="540"/>
      <c r="BP925" s="540"/>
      <c r="BQ925" s="540"/>
      <c r="BR925" s="540"/>
      <c r="BS925" s="540"/>
      <c r="BT925" s="540"/>
      <c r="BU925" s="540"/>
      <c r="BV925" s="540"/>
      <c r="BW925" s="540"/>
      <c r="BX925" s="540"/>
      <c r="BY925" s="540"/>
      <c r="BZ925" s="540"/>
      <c r="CA925" s="540"/>
      <c r="CB925" s="540"/>
      <c r="CC925" s="540"/>
      <c r="CD925" s="540"/>
      <c r="CE925" s="540"/>
      <c r="CF925" s="540"/>
      <c r="CG925" s="540"/>
      <c r="CH925" s="540"/>
      <c r="CI925" s="540"/>
      <c r="CJ925" s="540"/>
      <c r="CK925" s="540"/>
      <c r="CL925" s="540"/>
      <c r="CM925" s="540"/>
      <c r="CN925" s="540"/>
      <c r="CO925" s="540"/>
      <c r="CP925" s="540"/>
      <c r="CQ925" s="540"/>
      <c r="CR925" s="540"/>
      <c r="CS925" s="540"/>
      <c r="CT925" s="540"/>
      <c r="CU925" s="540"/>
      <c r="CV925" s="540"/>
      <c r="CW925" s="540"/>
      <c r="CX925" s="540"/>
      <c r="CY925" s="540"/>
      <c r="CZ925" s="540"/>
      <c r="DA925" s="540"/>
      <c r="DB925" s="540"/>
      <c r="DC925" s="540"/>
      <c r="DD925" s="540"/>
      <c r="DE925" s="540"/>
    </row>
    <row r="926" spans="1:109" s="116" customFormat="1" x14ac:dyDescent="0.2">
      <c r="A926" s="435"/>
      <c r="B926" s="435"/>
      <c r="C926" s="435"/>
      <c r="D926" s="435"/>
      <c r="AB926" s="540"/>
      <c r="AU926" s="540"/>
      <c r="AV926" s="540"/>
      <c r="AW926" s="540"/>
      <c r="AX926" s="540"/>
      <c r="AY926" s="540"/>
      <c r="AZ926" s="540"/>
      <c r="BA926" s="540"/>
      <c r="BB926" s="540"/>
      <c r="BC926" s="540"/>
      <c r="BD926" s="540"/>
      <c r="BE926" s="540"/>
      <c r="BF926" s="540"/>
      <c r="BG926" s="540"/>
      <c r="BH926" s="540"/>
      <c r="BI926" s="540"/>
      <c r="BJ926" s="540"/>
      <c r="BK926" s="540"/>
      <c r="BL926" s="540"/>
      <c r="BM926" s="540"/>
      <c r="BN926" s="540"/>
      <c r="BO926" s="540"/>
      <c r="BP926" s="540"/>
      <c r="BQ926" s="540"/>
      <c r="BR926" s="540"/>
      <c r="BS926" s="540"/>
      <c r="BT926" s="540"/>
      <c r="BU926" s="540"/>
      <c r="BV926" s="540"/>
      <c r="BW926" s="540"/>
      <c r="BX926" s="540"/>
      <c r="BY926" s="540"/>
      <c r="BZ926" s="540"/>
      <c r="CA926" s="540"/>
      <c r="CB926" s="540"/>
      <c r="CC926" s="540"/>
      <c r="CD926" s="540"/>
      <c r="CE926" s="540"/>
      <c r="CF926" s="540"/>
      <c r="CG926" s="540"/>
      <c r="CH926" s="540"/>
      <c r="CI926" s="540"/>
      <c r="CJ926" s="540"/>
      <c r="CK926" s="540"/>
      <c r="CL926" s="540"/>
      <c r="CM926" s="540"/>
      <c r="CN926" s="540"/>
      <c r="CO926" s="540"/>
      <c r="CP926" s="540"/>
      <c r="CQ926" s="540"/>
      <c r="CR926" s="540"/>
      <c r="CS926" s="540"/>
      <c r="CT926" s="540"/>
      <c r="CU926" s="540"/>
      <c r="CV926" s="540"/>
      <c r="CW926" s="540"/>
      <c r="CX926" s="540"/>
      <c r="CY926" s="540"/>
      <c r="CZ926" s="540"/>
      <c r="DA926" s="540"/>
      <c r="DB926" s="540"/>
      <c r="DC926" s="540"/>
      <c r="DD926" s="540"/>
      <c r="DE926" s="540"/>
    </row>
    <row r="927" spans="1:109" s="116" customFormat="1" x14ac:dyDescent="0.2">
      <c r="A927" s="435"/>
      <c r="B927" s="435"/>
      <c r="C927" s="435"/>
      <c r="D927" s="435"/>
      <c r="AB927" s="540"/>
      <c r="AU927" s="540"/>
      <c r="AV927" s="540"/>
      <c r="AW927" s="540"/>
      <c r="AX927" s="540"/>
      <c r="AY927" s="540"/>
      <c r="AZ927" s="540"/>
      <c r="BA927" s="540"/>
      <c r="BB927" s="540"/>
      <c r="BC927" s="540"/>
      <c r="BD927" s="540"/>
      <c r="BE927" s="540"/>
      <c r="BF927" s="540"/>
      <c r="BG927" s="540"/>
      <c r="BH927" s="540"/>
      <c r="BI927" s="540"/>
      <c r="BJ927" s="540"/>
      <c r="BK927" s="540"/>
      <c r="BL927" s="540"/>
      <c r="BM927" s="540"/>
      <c r="BN927" s="540"/>
      <c r="BO927" s="540"/>
      <c r="BP927" s="540"/>
      <c r="BQ927" s="540"/>
      <c r="BR927" s="540"/>
      <c r="BS927" s="540"/>
      <c r="BT927" s="540"/>
      <c r="BU927" s="540"/>
      <c r="BV927" s="540"/>
      <c r="BW927" s="540"/>
      <c r="BX927" s="540"/>
      <c r="BY927" s="540"/>
      <c r="BZ927" s="540"/>
      <c r="CA927" s="540"/>
      <c r="CB927" s="540"/>
      <c r="CC927" s="540"/>
      <c r="CD927" s="540"/>
      <c r="CE927" s="540"/>
      <c r="CF927" s="540"/>
      <c r="CG927" s="540"/>
      <c r="CH927" s="540"/>
      <c r="CI927" s="540"/>
      <c r="CJ927" s="540"/>
      <c r="CK927" s="540"/>
      <c r="CL927" s="540"/>
      <c r="CM927" s="540"/>
      <c r="CN927" s="540"/>
      <c r="CO927" s="540"/>
      <c r="CP927" s="540"/>
      <c r="CQ927" s="540"/>
      <c r="CR927" s="540"/>
      <c r="CS927" s="540"/>
      <c r="CT927" s="540"/>
      <c r="CU927" s="540"/>
      <c r="CV927" s="540"/>
      <c r="CW927" s="540"/>
      <c r="CX927" s="540"/>
      <c r="CY927" s="540"/>
      <c r="CZ927" s="540"/>
      <c r="DA927" s="540"/>
      <c r="DB927" s="540"/>
      <c r="DC927" s="540"/>
      <c r="DD927" s="540"/>
      <c r="DE927" s="540"/>
    </row>
    <row r="928" spans="1:109" s="116" customFormat="1" x14ac:dyDescent="0.2">
      <c r="A928" s="435"/>
      <c r="B928" s="435"/>
      <c r="C928" s="435"/>
      <c r="D928" s="435"/>
      <c r="AB928" s="540"/>
      <c r="AU928" s="540"/>
      <c r="AV928" s="540"/>
      <c r="AW928" s="540"/>
      <c r="AX928" s="540"/>
      <c r="AY928" s="540"/>
      <c r="AZ928" s="540"/>
      <c r="BA928" s="540"/>
      <c r="BB928" s="540"/>
      <c r="BC928" s="540"/>
      <c r="BD928" s="540"/>
      <c r="BE928" s="540"/>
      <c r="BF928" s="540"/>
      <c r="BG928" s="540"/>
      <c r="BH928" s="540"/>
      <c r="BI928" s="540"/>
      <c r="BJ928" s="540"/>
      <c r="BK928" s="540"/>
      <c r="BL928" s="540"/>
      <c r="BM928" s="540"/>
      <c r="BN928" s="540"/>
      <c r="BO928" s="540"/>
      <c r="BP928" s="540"/>
      <c r="BQ928" s="540"/>
      <c r="BR928" s="540"/>
      <c r="BS928" s="540"/>
      <c r="BT928" s="540"/>
      <c r="BU928" s="540"/>
      <c r="BV928" s="540"/>
      <c r="BW928" s="540"/>
      <c r="BX928" s="540"/>
      <c r="BY928" s="540"/>
      <c r="BZ928" s="540"/>
      <c r="CA928" s="540"/>
      <c r="CB928" s="540"/>
      <c r="CC928" s="540"/>
      <c r="CD928" s="540"/>
      <c r="CE928" s="540"/>
      <c r="CF928" s="540"/>
      <c r="CG928" s="540"/>
      <c r="CH928" s="540"/>
      <c r="CI928" s="540"/>
      <c r="CJ928" s="540"/>
      <c r="CK928" s="540"/>
      <c r="CL928" s="540"/>
      <c r="CM928" s="540"/>
      <c r="CN928" s="540"/>
      <c r="CO928" s="540"/>
      <c r="CP928" s="540"/>
      <c r="CQ928" s="540"/>
      <c r="CR928" s="540"/>
      <c r="CS928" s="540"/>
      <c r="CT928" s="540"/>
      <c r="CU928" s="540"/>
      <c r="CV928" s="540"/>
      <c r="CW928" s="540"/>
      <c r="CX928" s="540"/>
      <c r="CY928" s="540"/>
      <c r="CZ928" s="540"/>
      <c r="DA928" s="540"/>
      <c r="DB928" s="540"/>
      <c r="DC928" s="540"/>
      <c r="DD928" s="540"/>
      <c r="DE928" s="540"/>
    </row>
    <row r="929" spans="1:109" s="116" customFormat="1" x14ac:dyDescent="0.2">
      <c r="A929" s="435"/>
      <c r="B929" s="435"/>
      <c r="C929" s="435"/>
      <c r="D929" s="435"/>
      <c r="AB929" s="540"/>
      <c r="AU929" s="540"/>
      <c r="AV929" s="540"/>
      <c r="AW929" s="540"/>
      <c r="AX929" s="540"/>
      <c r="AY929" s="540"/>
      <c r="AZ929" s="540"/>
      <c r="BA929" s="540"/>
      <c r="BB929" s="540"/>
      <c r="BC929" s="540"/>
      <c r="BD929" s="540"/>
      <c r="BE929" s="540"/>
      <c r="BF929" s="540"/>
      <c r="BG929" s="540"/>
      <c r="BH929" s="540"/>
      <c r="BI929" s="540"/>
      <c r="BJ929" s="540"/>
      <c r="BK929" s="540"/>
      <c r="BL929" s="540"/>
      <c r="BM929" s="540"/>
      <c r="BN929" s="540"/>
      <c r="BO929" s="540"/>
      <c r="BP929" s="540"/>
      <c r="BQ929" s="540"/>
      <c r="BR929" s="540"/>
      <c r="BS929" s="540"/>
      <c r="BT929" s="540"/>
      <c r="BU929" s="540"/>
      <c r="BV929" s="540"/>
      <c r="BW929" s="540"/>
      <c r="BX929" s="540"/>
      <c r="BY929" s="540"/>
      <c r="BZ929" s="540"/>
      <c r="CA929" s="540"/>
      <c r="CB929" s="540"/>
      <c r="CC929" s="540"/>
      <c r="CD929" s="540"/>
      <c r="CE929" s="540"/>
      <c r="CF929" s="540"/>
      <c r="CG929" s="540"/>
      <c r="CH929" s="540"/>
      <c r="CI929" s="540"/>
      <c r="CJ929" s="540"/>
      <c r="CK929" s="540"/>
      <c r="CL929" s="540"/>
      <c r="CM929" s="540"/>
      <c r="CN929" s="540"/>
      <c r="CO929" s="540"/>
      <c r="CP929" s="540"/>
      <c r="CQ929" s="540"/>
      <c r="CR929" s="540"/>
      <c r="CS929" s="540"/>
      <c r="CT929" s="540"/>
      <c r="CU929" s="540"/>
      <c r="CV929" s="540"/>
      <c r="CW929" s="540"/>
      <c r="CX929" s="540"/>
      <c r="CY929" s="540"/>
      <c r="CZ929" s="540"/>
      <c r="DA929" s="540"/>
      <c r="DB929" s="540"/>
      <c r="DC929" s="540"/>
      <c r="DD929" s="540"/>
      <c r="DE929" s="540"/>
    </row>
    <row r="930" spans="1:109" s="116" customFormat="1" x14ac:dyDescent="0.2">
      <c r="A930" s="435"/>
      <c r="B930" s="435"/>
      <c r="C930" s="435"/>
      <c r="D930" s="435"/>
      <c r="AB930" s="540"/>
      <c r="AU930" s="540"/>
      <c r="AV930" s="540"/>
      <c r="AW930" s="540"/>
      <c r="AX930" s="540"/>
      <c r="AY930" s="540"/>
      <c r="AZ930" s="540"/>
      <c r="BA930" s="540"/>
      <c r="BB930" s="540"/>
      <c r="BC930" s="540"/>
      <c r="BD930" s="540"/>
      <c r="BE930" s="540"/>
      <c r="BF930" s="540"/>
      <c r="BG930" s="540"/>
      <c r="BH930" s="540"/>
      <c r="BI930" s="540"/>
      <c r="BJ930" s="540"/>
      <c r="BK930" s="540"/>
      <c r="BL930" s="540"/>
      <c r="BM930" s="540"/>
      <c r="BN930" s="540"/>
      <c r="BO930" s="540"/>
      <c r="BP930" s="540"/>
      <c r="BQ930" s="540"/>
      <c r="BR930" s="540"/>
      <c r="BS930" s="540"/>
      <c r="BT930" s="540"/>
      <c r="BU930" s="540"/>
      <c r="BV930" s="540"/>
      <c r="BW930" s="540"/>
      <c r="BX930" s="540"/>
      <c r="BY930" s="540"/>
      <c r="BZ930" s="540"/>
      <c r="CA930" s="540"/>
      <c r="CB930" s="540"/>
      <c r="CC930" s="540"/>
      <c r="CD930" s="540"/>
      <c r="CE930" s="540"/>
      <c r="CF930" s="540"/>
      <c r="CG930" s="540"/>
      <c r="CH930" s="540"/>
      <c r="CI930" s="540"/>
      <c r="CJ930" s="540"/>
      <c r="CK930" s="540"/>
      <c r="CL930" s="540"/>
      <c r="CM930" s="540"/>
      <c r="CN930" s="540"/>
      <c r="CO930" s="540"/>
      <c r="CP930" s="540"/>
      <c r="CQ930" s="540"/>
      <c r="CR930" s="540"/>
      <c r="CS930" s="540"/>
      <c r="CT930" s="540"/>
      <c r="CU930" s="540"/>
      <c r="CV930" s="540"/>
      <c r="CW930" s="540"/>
      <c r="CX930" s="540"/>
      <c r="CY930" s="540"/>
      <c r="CZ930" s="540"/>
      <c r="DA930" s="540"/>
      <c r="DB930" s="540"/>
      <c r="DC930" s="540"/>
      <c r="DD930" s="540"/>
      <c r="DE930" s="540"/>
    </row>
    <row r="931" spans="1:109" s="116" customFormat="1" x14ac:dyDescent="0.2">
      <c r="A931" s="435"/>
      <c r="B931" s="435"/>
      <c r="C931" s="435"/>
      <c r="D931" s="435"/>
      <c r="AB931" s="540"/>
      <c r="AU931" s="540"/>
      <c r="AV931" s="540"/>
      <c r="AW931" s="540"/>
      <c r="AX931" s="540"/>
      <c r="AY931" s="540"/>
      <c r="AZ931" s="540"/>
      <c r="BA931" s="540"/>
      <c r="BB931" s="540"/>
      <c r="BC931" s="540"/>
      <c r="BD931" s="540"/>
      <c r="BE931" s="540"/>
      <c r="BF931" s="540"/>
      <c r="BG931" s="540"/>
      <c r="BH931" s="540"/>
      <c r="BI931" s="540"/>
      <c r="BJ931" s="540"/>
      <c r="BK931" s="540"/>
      <c r="BL931" s="540"/>
      <c r="BM931" s="540"/>
      <c r="BN931" s="540"/>
      <c r="BO931" s="540"/>
      <c r="BP931" s="540"/>
      <c r="BQ931" s="540"/>
      <c r="BR931" s="540"/>
      <c r="BS931" s="540"/>
      <c r="BT931" s="540"/>
      <c r="BU931" s="540"/>
      <c r="BV931" s="540"/>
      <c r="BW931" s="540"/>
      <c r="BX931" s="540"/>
      <c r="BY931" s="540"/>
      <c r="BZ931" s="540"/>
      <c r="CA931" s="540"/>
      <c r="CB931" s="540"/>
      <c r="CC931" s="540"/>
      <c r="CD931" s="540"/>
      <c r="CE931" s="540"/>
      <c r="CF931" s="540"/>
      <c r="CG931" s="540"/>
      <c r="CH931" s="540"/>
      <c r="CI931" s="540"/>
      <c r="CJ931" s="540"/>
      <c r="CK931" s="540"/>
      <c r="CL931" s="540"/>
      <c r="CM931" s="540"/>
      <c r="CN931" s="540"/>
      <c r="CO931" s="540"/>
      <c r="CP931" s="540"/>
      <c r="CQ931" s="540"/>
      <c r="CR931" s="540"/>
      <c r="CS931" s="540"/>
      <c r="CT931" s="540"/>
      <c r="CU931" s="540"/>
      <c r="CV931" s="540"/>
      <c r="CW931" s="540"/>
      <c r="CX931" s="540"/>
      <c r="CY931" s="540"/>
      <c r="CZ931" s="540"/>
      <c r="DA931" s="540"/>
      <c r="DB931" s="540"/>
      <c r="DC931" s="540"/>
      <c r="DD931" s="540"/>
      <c r="DE931" s="540"/>
    </row>
    <row r="932" spans="1:109" s="116" customFormat="1" x14ac:dyDescent="0.2">
      <c r="A932" s="435"/>
      <c r="B932" s="435"/>
      <c r="C932" s="435"/>
      <c r="D932" s="435"/>
      <c r="AB932" s="540"/>
      <c r="AU932" s="540"/>
      <c r="AV932" s="540"/>
      <c r="AW932" s="540"/>
      <c r="AX932" s="540"/>
      <c r="AY932" s="540"/>
      <c r="AZ932" s="540"/>
      <c r="BA932" s="540"/>
      <c r="BB932" s="540"/>
      <c r="BC932" s="540"/>
      <c r="BD932" s="540"/>
      <c r="BE932" s="540"/>
      <c r="BF932" s="540"/>
      <c r="BG932" s="540"/>
      <c r="BH932" s="540"/>
      <c r="BI932" s="540"/>
      <c r="BJ932" s="540"/>
      <c r="BK932" s="540"/>
      <c r="BL932" s="540"/>
      <c r="BM932" s="540"/>
      <c r="BN932" s="540"/>
      <c r="BO932" s="540"/>
      <c r="BP932" s="540"/>
      <c r="BQ932" s="540"/>
      <c r="BR932" s="540"/>
      <c r="BS932" s="540"/>
      <c r="BT932" s="540"/>
      <c r="BU932" s="540"/>
      <c r="BV932" s="540"/>
      <c r="BW932" s="540"/>
      <c r="BX932" s="540"/>
      <c r="BY932" s="540"/>
      <c r="BZ932" s="540"/>
      <c r="CA932" s="540"/>
      <c r="CB932" s="540"/>
      <c r="CC932" s="540"/>
      <c r="CD932" s="540"/>
      <c r="CE932" s="540"/>
      <c r="CF932" s="540"/>
      <c r="CG932" s="540"/>
      <c r="CH932" s="540"/>
      <c r="CI932" s="540"/>
      <c r="CJ932" s="540"/>
      <c r="CK932" s="540"/>
      <c r="CL932" s="540"/>
      <c r="CM932" s="540"/>
      <c r="CN932" s="540"/>
      <c r="CO932" s="540"/>
      <c r="CP932" s="540"/>
      <c r="CQ932" s="540"/>
      <c r="CR932" s="540"/>
      <c r="CS932" s="540"/>
      <c r="CT932" s="540"/>
      <c r="CU932" s="540"/>
      <c r="CV932" s="540"/>
      <c r="CW932" s="540"/>
      <c r="CX932" s="540"/>
      <c r="CY932" s="540"/>
      <c r="CZ932" s="540"/>
      <c r="DA932" s="540"/>
      <c r="DB932" s="540"/>
      <c r="DC932" s="540"/>
      <c r="DD932" s="540"/>
      <c r="DE932" s="540"/>
    </row>
    <row r="933" spans="1:109" s="116" customFormat="1" x14ac:dyDescent="0.2">
      <c r="A933" s="435"/>
      <c r="B933" s="435"/>
      <c r="C933" s="435"/>
      <c r="D933" s="435"/>
      <c r="AB933" s="540"/>
      <c r="AU933" s="540"/>
      <c r="AV933" s="540"/>
      <c r="AW933" s="540"/>
      <c r="AX933" s="540"/>
      <c r="AY933" s="540"/>
      <c r="AZ933" s="540"/>
      <c r="BA933" s="540"/>
      <c r="BB933" s="540"/>
      <c r="BC933" s="540"/>
      <c r="BD933" s="540"/>
      <c r="BE933" s="540"/>
      <c r="BF933" s="540"/>
      <c r="BG933" s="540"/>
      <c r="BH933" s="540"/>
      <c r="BI933" s="540"/>
      <c r="BJ933" s="540"/>
      <c r="BK933" s="540"/>
      <c r="BL933" s="540"/>
      <c r="BM933" s="540"/>
      <c r="BN933" s="540"/>
      <c r="BO933" s="540"/>
      <c r="BP933" s="540"/>
      <c r="BQ933" s="540"/>
      <c r="BR933" s="540"/>
      <c r="BS933" s="540"/>
      <c r="BT933" s="540"/>
      <c r="BU933" s="540"/>
      <c r="BV933" s="540"/>
      <c r="BW933" s="540"/>
      <c r="BX933" s="540"/>
      <c r="BY933" s="540"/>
      <c r="BZ933" s="540"/>
      <c r="CA933" s="540"/>
      <c r="CB933" s="540"/>
      <c r="CC933" s="540"/>
      <c r="CD933" s="540"/>
      <c r="CE933" s="540"/>
      <c r="CF933" s="540"/>
      <c r="CG933" s="540"/>
      <c r="CH933" s="540"/>
      <c r="CI933" s="540"/>
      <c r="CJ933" s="540"/>
      <c r="CK933" s="540"/>
      <c r="CL933" s="540"/>
      <c r="CM933" s="540"/>
      <c r="CN933" s="540"/>
      <c r="CO933" s="540"/>
      <c r="CP933" s="540"/>
      <c r="CQ933" s="540"/>
      <c r="CR933" s="540"/>
      <c r="CS933" s="540"/>
      <c r="CT933" s="540"/>
      <c r="CU933" s="540"/>
      <c r="CV933" s="540"/>
      <c r="CW933" s="540"/>
      <c r="CX933" s="540"/>
      <c r="CY933" s="540"/>
      <c r="CZ933" s="540"/>
      <c r="DA933" s="540"/>
      <c r="DB933" s="540"/>
      <c r="DC933" s="540"/>
      <c r="DD933" s="540"/>
      <c r="DE933" s="540"/>
    </row>
    <row r="934" spans="1:109" s="116" customFormat="1" x14ac:dyDescent="0.2">
      <c r="A934" s="435"/>
      <c r="B934" s="435"/>
      <c r="C934" s="435"/>
      <c r="D934" s="435"/>
      <c r="AB934" s="540"/>
      <c r="AU934" s="540"/>
      <c r="AV934" s="540"/>
      <c r="AW934" s="540"/>
      <c r="AX934" s="540"/>
      <c r="AY934" s="540"/>
      <c r="AZ934" s="540"/>
      <c r="BA934" s="540"/>
      <c r="BB934" s="540"/>
      <c r="BC934" s="540"/>
      <c r="BD934" s="540"/>
      <c r="BE934" s="540"/>
      <c r="BF934" s="540"/>
      <c r="BG934" s="540"/>
      <c r="BH934" s="540"/>
      <c r="BI934" s="540"/>
      <c r="BJ934" s="540"/>
      <c r="BK934" s="540"/>
      <c r="BL934" s="540"/>
      <c r="BM934" s="540"/>
      <c r="BN934" s="540"/>
      <c r="BO934" s="540"/>
      <c r="BP934" s="540"/>
      <c r="BQ934" s="540"/>
      <c r="BR934" s="540"/>
      <c r="BS934" s="540"/>
      <c r="BT934" s="540"/>
      <c r="BU934" s="540"/>
      <c r="BV934" s="540"/>
      <c r="BW934" s="540"/>
      <c r="BX934" s="540"/>
      <c r="BY934" s="540"/>
      <c r="BZ934" s="540"/>
      <c r="CA934" s="540"/>
      <c r="CB934" s="540"/>
      <c r="CC934" s="540"/>
      <c r="CD934" s="540"/>
      <c r="CE934" s="540"/>
      <c r="CF934" s="540"/>
      <c r="CG934" s="540"/>
      <c r="CH934" s="540"/>
      <c r="CI934" s="540"/>
      <c r="CJ934" s="540"/>
      <c r="CK934" s="540"/>
      <c r="CL934" s="540"/>
      <c r="CM934" s="540"/>
      <c r="CN934" s="540"/>
      <c r="CO934" s="540"/>
      <c r="CP934" s="540"/>
      <c r="CQ934" s="540"/>
      <c r="CR934" s="540"/>
      <c r="CS934" s="540"/>
      <c r="CT934" s="540"/>
      <c r="CU934" s="540"/>
      <c r="CV934" s="540"/>
      <c r="CW934" s="540"/>
      <c r="CX934" s="540"/>
      <c r="CY934" s="540"/>
      <c r="CZ934" s="540"/>
      <c r="DA934" s="540"/>
      <c r="DB934" s="540"/>
      <c r="DC934" s="540"/>
      <c r="DD934" s="540"/>
      <c r="DE934" s="540"/>
    </row>
    <row r="935" spans="1:109" s="116" customFormat="1" x14ac:dyDescent="0.2">
      <c r="A935" s="435"/>
      <c r="B935" s="435"/>
      <c r="C935" s="435"/>
      <c r="D935" s="435"/>
      <c r="AB935" s="540"/>
      <c r="AU935" s="540"/>
      <c r="AV935" s="540"/>
      <c r="AW935" s="540"/>
      <c r="AX935" s="540"/>
      <c r="AY935" s="540"/>
      <c r="AZ935" s="540"/>
      <c r="BA935" s="540"/>
      <c r="BB935" s="540"/>
      <c r="BC935" s="540"/>
      <c r="BD935" s="540"/>
      <c r="BE935" s="540"/>
      <c r="BF935" s="540"/>
      <c r="BG935" s="540"/>
      <c r="BH935" s="540"/>
      <c r="BI935" s="540"/>
      <c r="BJ935" s="540"/>
      <c r="BK935" s="540"/>
      <c r="BL935" s="540"/>
      <c r="BM935" s="540"/>
      <c r="BN935" s="540"/>
      <c r="BO935" s="540"/>
      <c r="BP935" s="540"/>
      <c r="BQ935" s="540"/>
      <c r="BR935" s="540"/>
      <c r="BS935" s="540"/>
      <c r="BT935" s="540"/>
      <c r="BU935" s="540"/>
      <c r="BV935" s="540"/>
      <c r="BW935" s="540"/>
      <c r="BX935" s="540"/>
      <c r="BY935" s="540"/>
      <c r="BZ935" s="540"/>
      <c r="CA935" s="540"/>
      <c r="CB935" s="540"/>
      <c r="CC935" s="540"/>
      <c r="CD935" s="540"/>
      <c r="CE935" s="540"/>
      <c r="CF935" s="540"/>
      <c r="CG935" s="540"/>
      <c r="CH935" s="540"/>
      <c r="CI935" s="540"/>
      <c r="CJ935" s="540"/>
      <c r="CK935" s="540"/>
      <c r="CL935" s="540"/>
      <c r="CM935" s="540"/>
      <c r="CN935" s="540"/>
      <c r="CO935" s="540"/>
      <c r="CP935" s="540"/>
      <c r="CQ935" s="540"/>
      <c r="CR935" s="540"/>
      <c r="CS935" s="540"/>
      <c r="CT935" s="540"/>
      <c r="CU935" s="540"/>
      <c r="CV935" s="540"/>
      <c r="CW935" s="540"/>
      <c r="CX935" s="540"/>
      <c r="CY935" s="540"/>
      <c r="CZ935" s="540"/>
      <c r="DA935" s="540"/>
      <c r="DB935" s="540"/>
      <c r="DC935" s="540"/>
      <c r="DD935" s="540"/>
      <c r="DE935" s="540"/>
    </row>
    <row r="936" spans="1:109" s="116" customFormat="1" x14ac:dyDescent="0.2">
      <c r="A936" s="435"/>
      <c r="B936" s="435"/>
      <c r="C936" s="435"/>
      <c r="D936" s="435"/>
      <c r="AB936" s="540"/>
      <c r="AU936" s="540"/>
      <c r="AV936" s="540"/>
      <c r="AW936" s="540"/>
      <c r="AX936" s="540"/>
      <c r="AY936" s="540"/>
      <c r="AZ936" s="540"/>
      <c r="BA936" s="540"/>
      <c r="BB936" s="540"/>
      <c r="BC936" s="540"/>
      <c r="BD936" s="540"/>
      <c r="BE936" s="540"/>
      <c r="BF936" s="540"/>
      <c r="BG936" s="540"/>
      <c r="BH936" s="540"/>
      <c r="BI936" s="540"/>
      <c r="BJ936" s="540"/>
      <c r="BK936" s="540"/>
      <c r="BL936" s="540"/>
      <c r="BM936" s="540"/>
      <c r="BN936" s="540"/>
      <c r="BO936" s="540"/>
      <c r="BP936" s="540"/>
      <c r="BQ936" s="540"/>
      <c r="BR936" s="540"/>
      <c r="BS936" s="540"/>
      <c r="BT936" s="540"/>
      <c r="BU936" s="540"/>
      <c r="BV936" s="540"/>
      <c r="BW936" s="540"/>
      <c r="BX936" s="540"/>
      <c r="BY936" s="540"/>
      <c r="BZ936" s="540"/>
      <c r="CA936" s="540"/>
      <c r="CB936" s="540"/>
      <c r="CC936" s="540"/>
      <c r="CD936" s="540"/>
      <c r="CE936" s="540"/>
      <c r="CF936" s="540"/>
      <c r="CG936" s="540"/>
      <c r="CH936" s="540"/>
      <c r="CI936" s="540"/>
      <c r="CJ936" s="540"/>
      <c r="CK936" s="540"/>
      <c r="CL936" s="540"/>
      <c r="CM936" s="540"/>
      <c r="CN936" s="540"/>
      <c r="CO936" s="540"/>
      <c r="CP936" s="540"/>
      <c r="CQ936" s="540"/>
      <c r="CR936" s="540"/>
      <c r="CS936" s="540"/>
      <c r="CT936" s="540"/>
      <c r="CU936" s="540"/>
      <c r="CV936" s="540"/>
      <c r="CW936" s="540"/>
      <c r="CX936" s="540"/>
      <c r="CY936" s="540"/>
      <c r="CZ936" s="540"/>
      <c r="DA936" s="540"/>
      <c r="DB936" s="540"/>
      <c r="DC936" s="540"/>
      <c r="DD936" s="540"/>
      <c r="DE936" s="540"/>
    </row>
    <row r="937" spans="1:109" s="116" customFormat="1" x14ac:dyDescent="0.2">
      <c r="A937" s="435"/>
      <c r="B937" s="435"/>
      <c r="C937" s="435"/>
      <c r="D937" s="435"/>
      <c r="AB937" s="540"/>
      <c r="AU937" s="540"/>
      <c r="AV937" s="540"/>
      <c r="AW937" s="540"/>
      <c r="AX937" s="540"/>
      <c r="AY937" s="540"/>
      <c r="AZ937" s="540"/>
      <c r="BA937" s="540"/>
      <c r="BB937" s="540"/>
      <c r="BC937" s="540"/>
      <c r="BD937" s="540"/>
      <c r="BE937" s="540"/>
      <c r="BF937" s="540"/>
      <c r="BG937" s="540"/>
      <c r="BH937" s="540"/>
      <c r="BI937" s="540"/>
      <c r="BJ937" s="540"/>
      <c r="BK937" s="540"/>
      <c r="BL937" s="540"/>
      <c r="BM937" s="540"/>
      <c r="BN937" s="540"/>
      <c r="BO937" s="540"/>
      <c r="BP937" s="540"/>
      <c r="BQ937" s="540"/>
      <c r="BR937" s="540"/>
      <c r="BS937" s="540"/>
      <c r="BT937" s="540"/>
      <c r="BU937" s="540"/>
      <c r="BV937" s="540"/>
      <c r="BW937" s="540"/>
      <c r="BX937" s="540"/>
      <c r="BY937" s="540"/>
      <c r="BZ937" s="540"/>
      <c r="CA937" s="540"/>
      <c r="CB937" s="540"/>
      <c r="CC937" s="540"/>
      <c r="CD937" s="540"/>
      <c r="CE937" s="540"/>
      <c r="CF937" s="540"/>
      <c r="CG937" s="540"/>
      <c r="CH937" s="540"/>
      <c r="CI937" s="540"/>
      <c r="CJ937" s="540"/>
      <c r="CK937" s="540"/>
      <c r="CL937" s="540"/>
      <c r="CM937" s="540"/>
      <c r="CN937" s="540"/>
      <c r="CO937" s="540"/>
      <c r="CP937" s="540"/>
      <c r="CQ937" s="540"/>
      <c r="CR937" s="540"/>
      <c r="CS937" s="540"/>
      <c r="CT937" s="540"/>
      <c r="CU937" s="540"/>
      <c r="CV937" s="540"/>
      <c r="CW937" s="540"/>
      <c r="CX937" s="540"/>
      <c r="CY937" s="540"/>
      <c r="CZ937" s="540"/>
      <c r="DA937" s="540"/>
      <c r="DB937" s="540"/>
      <c r="DC937" s="540"/>
      <c r="DD937" s="540"/>
      <c r="DE937" s="540"/>
    </row>
    <row r="938" spans="1:109" s="116" customFormat="1" x14ac:dyDescent="0.2">
      <c r="A938" s="435"/>
      <c r="B938" s="435"/>
      <c r="C938" s="435"/>
      <c r="D938" s="435"/>
      <c r="AB938" s="540"/>
      <c r="AU938" s="540"/>
      <c r="AV938" s="540"/>
      <c r="AW938" s="540"/>
      <c r="AX938" s="540"/>
      <c r="AY938" s="540"/>
      <c r="AZ938" s="540"/>
      <c r="BA938" s="540"/>
      <c r="BB938" s="540"/>
      <c r="BC938" s="540"/>
      <c r="BD938" s="540"/>
      <c r="BE938" s="540"/>
      <c r="BF938" s="540"/>
      <c r="BG938" s="540"/>
      <c r="BH938" s="540"/>
      <c r="BI938" s="540"/>
      <c r="BJ938" s="540"/>
      <c r="BK938" s="540"/>
      <c r="BL938" s="540"/>
      <c r="BM938" s="540"/>
      <c r="BN938" s="540"/>
      <c r="BO938" s="540"/>
      <c r="BP938" s="540"/>
      <c r="BQ938" s="540"/>
      <c r="BR938" s="540"/>
      <c r="BS938" s="540"/>
      <c r="BT938" s="540"/>
      <c r="BU938" s="540"/>
      <c r="BV938" s="540"/>
      <c r="BW938" s="540"/>
      <c r="BX938" s="540"/>
      <c r="BY938" s="540"/>
      <c r="BZ938" s="540"/>
      <c r="CA938" s="540"/>
      <c r="CB938" s="540"/>
      <c r="CC938" s="540"/>
      <c r="CD938" s="540"/>
      <c r="CE938" s="540"/>
      <c r="CF938" s="540"/>
      <c r="CG938" s="540"/>
      <c r="CH938" s="540"/>
      <c r="CI938" s="540"/>
      <c r="CJ938" s="540"/>
      <c r="CK938" s="540"/>
      <c r="CL938" s="540"/>
      <c r="CM938" s="540"/>
      <c r="CN938" s="540"/>
      <c r="CO938" s="540"/>
      <c r="CP938" s="540"/>
      <c r="CQ938" s="540"/>
      <c r="CR938" s="540"/>
      <c r="CS938" s="540"/>
      <c r="CT938" s="540"/>
      <c r="CU938" s="540"/>
      <c r="CV938" s="540"/>
      <c r="CW938" s="540"/>
      <c r="CX938" s="540"/>
      <c r="CY938" s="540"/>
      <c r="CZ938" s="540"/>
      <c r="DA938" s="540"/>
      <c r="DB938" s="540"/>
      <c r="DC938" s="540"/>
      <c r="DD938" s="540"/>
      <c r="DE938" s="540"/>
    </row>
    <row r="939" spans="1:109" s="116" customFormat="1" x14ac:dyDescent="0.2">
      <c r="A939" s="435"/>
      <c r="B939" s="435"/>
      <c r="C939" s="435"/>
      <c r="D939" s="435"/>
      <c r="AB939" s="540"/>
      <c r="AU939" s="540"/>
      <c r="AV939" s="540"/>
      <c r="AW939" s="540"/>
      <c r="AX939" s="540"/>
      <c r="AY939" s="540"/>
      <c r="AZ939" s="540"/>
      <c r="BA939" s="540"/>
      <c r="BB939" s="540"/>
      <c r="BC939" s="540"/>
      <c r="BD939" s="540"/>
      <c r="BE939" s="540"/>
      <c r="BF939" s="540"/>
      <c r="BG939" s="540"/>
      <c r="BH939" s="540"/>
      <c r="BI939" s="540"/>
      <c r="BJ939" s="540"/>
      <c r="BK939" s="540"/>
      <c r="BL939" s="540"/>
      <c r="BM939" s="540"/>
      <c r="BN939" s="540"/>
      <c r="BO939" s="540"/>
      <c r="BP939" s="540"/>
      <c r="BQ939" s="540"/>
      <c r="BR939" s="540"/>
      <c r="BS939" s="540"/>
      <c r="BT939" s="540"/>
      <c r="BU939" s="540"/>
      <c r="BV939" s="540"/>
      <c r="BW939" s="540"/>
      <c r="BX939" s="540"/>
      <c r="BY939" s="540"/>
      <c r="BZ939" s="540"/>
      <c r="CA939" s="540"/>
      <c r="CB939" s="540"/>
      <c r="CC939" s="540"/>
      <c r="CD939" s="540"/>
      <c r="CE939" s="540"/>
      <c r="CF939" s="540"/>
      <c r="CG939" s="540"/>
      <c r="CH939" s="540"/>
      <c r="CI939" s="540"/>
      <c r="CJ939" s="540"/>
      <c r="CK939" s="540"/>
      <c r="CL939" s="540"/>
      <c r="CM939" s="540"/>
      <c r="CN939" s="540"/>
      <c r="CO939" s="540"/>
      <c r="CP939" s="540"/>
      <c r="CQ939" s="540"/>
      <c r="CR939" s="540"/>
      <c r="CS939" s="540"/>
      <c r="CT939" s="540"/>
      <c r="CU939" s="540"/>
      <c r="CV939" s="540"/>
      <c r="CW939" s="540"/>
      <c r="CX939" s="540"/>
      <c r="CY939" s="540"/>
      <c r="CZ939" s="540"/>
      <c r="DA939" s="540"/>
      <c r="DB939" s="540"/>
      <c r="DC939" s="540"/>
      <c r="DD939" s="540"/>
      <c r="DE939" s="540"/>
    </row>
    <row r="940" spans="1:109" s="116" customFormat="1" x14ac:dyDescent="0.2">
      <c r="A940" s="435"/>
      <c r="B940" s="435"/>
      <c r="C940" s="435"/>
      <c r="D940" s="435"/>
      <c r="AB940" s="540"/>
      <c r="AU940" s="540"/>
      <c r="AV940" s="540"/>
      <c r="AW940" s="540"/>
      <c r="AX940" s="540"/>
      <c r="AY940" s="540"/>
      <c r="AZ940" s="540"/>
      <c r="BA940" s="540"/>
      <c r="BB940" s="540"/>
      <c r="BC940" s="540"/>
      <c r="BD940" s="540"/>
      <c r="BE940" s="540"/>
      <c r="BF940" s="540"/>
      <c r="BG940" s="540"/>
      <c r="BH940" s="540"/>
      <c r="BI940" s="540"/>
      <c r="BJ940" s="540"/>
      <c r="BK940" s="540"/>
      <c r="BL940" s="540"/>
      <c r="BM940" s="540"/>
      <c r="BN940" s="540"/>
      <c r="BO940" s="540"/>
      <c r="BP940" s="540"/>
      <c r="BQ940" s="540"/>
      <c r="BR940" s="540"/>
      <c r="BS940" s="540"/>
      <c r="BT940" s="540"/>
      <c r="BU940" s="540"/>
      <c r="BV940" s="540"/>
      <c r="BW940" s="540"/>
      <c r="BX940" s="540"/>
      <c r="BY940" s="540"/>
      <c r="BZ940" s="540"/>
      <c r="CA940" s="540"/>
      <c r="CB940" s="540"/>
      <c r="CC940" s="540"/>
      <c r="CD940" s="540"/>
      <c r="CE940" s="540"/>
      <c r="CF940" s="540"/>
      <c r="CG940" s="540"/>
      <c r="CH940" s="540"/>
      <c r="CI940" s="540"/>
      <c r="CJ940" s="540"/>
      <c r="CK940" s="540"/>
      <c r="CL940" s="540"/>
      <c r="CM940" s="540"/>
      <c r="CN940" s="540"/>
      <c r="CO940" s="540"/>
      <c r="CP940" s="540"/>
      <c r="CQ940" s="540"/>
      <c r="CR940" s="540"/>
      <c r="CS940" s="540"/>
      <c r="CT940" s="540"/>
      <c r="CU940" s="540"/>
      <c r="CV940" s="540"/>
      <c r="CW940" s="540"/>
      <c r="CX940" s="540"/>
      <c r="CY940" s="540"/>
      <c r="CZ940" s="540"/>
      <c r="DA940" s="540"/>
      <c r="DB940" s="540"/>
      <c r="DC940" s="540"/>
      <c r="DD940" s="540"/>
      <c r="DE940" s="540"/>
    </row>
    <row r="941" spans="1:109" s="116" customFormat="1" x14ac:dyDescent="0.2">
      <c r="A941" s="435"/>
      <c r="B941" s="435"/>
      <c r="C941" s="435"/>
      <c r="D941" s="435"/>
      <c r="AB941" s="540"/>
      <c r="AU941" s="540"/>
      <c r="AV941" s="540"/>
      <c r="AW941" s="540"/>
      <c r="AX941" s="540"/>
      <c r="AY941" s="540"/>
      <c r="AZ941" s="540"/>
      <c r="BA941" s="540"/>
      <c r="BB941" s="540"/>
      <c r="BC941" s="540"/>
      <c r="BD941" s="540"/>
      <c r="BE941" s="540"/>
      <c r="BF941" s="540"/>
      <c r="BG941" s="540"/>
      <c r="BH941" s="540"/>
      <c r="BI941" s="540"/>
      <c r="BJ941" s="540"/>
      <c r="BK941" s="540"/>
      <c r="BL941" s="540"/>
      <c r="BM941" s="540"/>
      <c r="BN941" s="540"/>
      <c r="BO941" s="540"/>
      <c r="BP941" s="540"/>
      <c r="BQ941" s="540"/>
      <c r="BR941" s="540"/>
      <c r="BS941" s="540"/>
      <c r="BT941" s="540"/>
      <c r="BU941" s="540"/>
      <c r="BV941" s="540"/>
      <c r="BW941" s="540"/>
      <c r="BX941" s="540"/>
      <c r="BY941" s="540"/>
      <c r="BZ941" s="540"/>
      <c r="CA941" s="540"/>
      <c r="CB941" s="540"/>
      <c r="CC941" s="540"/>
      <c r="CD941" s="540"/>
      <c r="CE941" s="540"/>
      <c r="CF941" s="540"/>
      <c r="CG941" s="540"/>
      <c r="CH941" s="540"/>
      <c r="CI941" s="540"/>
      <c r="CJ941" s="540"/>
      <c r="CK941" s="540"/>
      <c r="CL941" s="540"/>
      <c r="CM941" s="540"/>
      <c r="CN941" s="540"/>
      <c r="CO941" s="540"/>
      <c r="CP941" s="540"/>
      <c r="CQ941" s="540"/>
      <c r="CR941" s="540"/>
      <c r="CS941" s="540"/>
      <c r="CT941" s="540"/>
      <c r="CU941" s="540"/>
      <c r="CV941" s="540"/>
      <c r="CW941" s="540"/>
      <c r="CX941" s="540"/>
      <c r="CY941" s="540"/>
      <c r="CZ941" s="540"/>
      <c r="DA941" s="540"/>
      <c r="DB941" s="540"/>
      <c r="DC941" s="540"/>
      <c r="DD941" s="540"/>
      <c r="DE941" s="540"/>
    </row>
    <row r="942" spans="1:109" s="116" customFormat="1" x14ac:dyDescent="0.2">
      <c r="A942" s="435"/>
      <c r="B942" s="435"/>
      <c r="C942" s="435"/>
      <c r="D942" s="435"/>
      <c r="AB942" s="540"/>
      <c r="AU942" s="540"/>
      <c r="AV942" s="540"/>
      <c r="AW942" s="540"/>
      <c r="AX942" s="540"/>
      <c r="AY942" s="540"/>
      <c r="AZ942" s="540"/>
      <c r="BA942" s="540"/>
      <c r="BB942" s="540"/>
      <c r="BC942" s="540"/>
      <c r="BD942" s="540"/>
      <c r="BE942" s="540"/>
      <c r="BF942" s="540"/>
      <c r="BG942" s="540"/>
      <c r="BH942" s="540"/>
      <c r="BI942" s="540"/>
      <c r="BJ942" s="540"/>
      <c r="BK942" s="540"/>
      <c r="BL942" s="540"/>
      <c r="BM942" s="540"/>
      <c r="BN942" s="540"/>
      <c r="BO942" s="540"/>
      <c r="BP942" s="540"/>
      <c r="BQ942" s="540"/>
      <c r="BR942" s="540"/>
      <c r="BS942" s="540"/>
      <c r="BT942" s="540"/>
      <c r="BU942" s="540"/>
      <c r="BV942" s="540"/>
      <c r="BW942" s="540"/>
      <c r="BX942" s="540"/>
      <c r="BY942" s="540"/>
      <c r="BZ942" s="540"/>
      <c r="CA942" s="540"/>
      <c r="CB942" s="540"/>
      <c r="CC942" s="540"/>
      <c r="CD942" s="540"/>
      <c r="CE942" s="540"/>
      <c r="CF942" s="540"/>
      <c r="CG942" s="540"/>
      <c r="CH942" s="540"/>
      <c r="CI942" s="540"/>
      <c r="CJ942" s="540"/>
      <c r="CK942" s="540"/>
      <c r="CL942" s="540"/>
      <c r="CM942" s="540"/>
      <c r="CN942" s="540"/>
      <c r="CO942" s="540"/>
      <c r="CP942" s="540"/>
      <c r="CQ942" s="540"/>
      <c r="CR942" s="540"/>
      <c r="CS942" s="540"/>
      <c r="CT942" s="540"/>
      <c r="CU942" s="540"/>
      <c r="CV942" s="540"/>
      <c r="CW942" s="540"/>
      <c r="CX942" s="540"/>
      <c r="CY942" s="540"/>
      <c r="CZ942" s="540"/>
      <c r="DA942" s="540"/>
      <c r="DB942" s="540"/>
      <c r="DC942" s="540"/>
      <c r="DD942" s="540"/>
      <c r="DE942" s="540"/>
    </row>
    <row r="943" spans="1:109" s="116" customFormat="1" x14ac:dyDescent="0.2">
      <c r="A943" s="435"/>
      <c r="B943" s="435"/>
      <c r="C943" s="435"/>
      <c r="D943" s="435"/>
      <c r="AB943" s="540"/>
      <c r="AU943" s="540"/>
      <c r="AV943" s="540"/>
      <c r="AW943" s="540"/>
      <c r="AX943" s="540"/>
      <c r="AY943" s="540"/>
      <c r="AZ943" s="540"/>
      <c r="BA943" s="540"/>
      <c r="BB943" s="540"/>
      <c r="BC943" s="540"/>
      <c r="BD943" s="540"/>
      <c r="BE943" s="540"/>
      <c r="BF943" s="540"/>
      <c r="BG943" s="540"/>
      <c r="BH943" s="540"/>
      <c r="BI943" s="540"/>
      <c r="BJ943" s="540"/>
      <c r="BK943" s="540"/>
      <c r="BL943" s="540"/>
      <c r="BM943" s="540"/>
      <c r="BN943" s="540"/>
      <c r="BO943" s="540"/>
      <c r="BP943" s="540"/>
      <c r="BQ943" s="540"/>
      <c r="BR943" s="540"/>
      <c r="BS943" s="540"/>
      <c r="BT943" s="540"/>
      <c r="BU943" s="540"/>
      <c r="BV943" s="540"/>
      <c r="BW943" s="540"/>
      <c r="BX943" s="540"/>
      <c r="BY943" s="540"/>
      <c r="BZ943" s="540"/>
      <c r="CA943" s="540"/>
      <c r="CB943" s="540"/>
      <c r="CC943" s="540"/>
      <c r="CD943" s="540"/>
      <c r="CE943" s="540"/>
      <c r="CF943" s="540"/>
      <c r="CG943" s="540"/>
      <c r="CH943" s="540"/>
      <c r="CI943" s="540"/>
      <c r="CJ943" s="540"/>
      <c r="CK943" s="540"/>
      <c r="CL943" s="540"/>
      <c r="CM943" s="540"/>
      <c r="CN943" s="540"/>
      <c r="CO943" s="540"/>
      <c r="CP943" s="540"/>
      <c r="CQ943" s="540"/>
      <c r="CR943" s="540"/>
      <c r="CS943" s="540"/>
      <c r="CT943" s="540"/>
      <c r="CU943" s="540"/>
      <c r="CV943" s="540"/>
      <c r="CW943" s="540"/>
      <c r="CX943" s="540"/>
      <c r="CY943" s="540"/>
      <c r="CZ943" s="540"/>
      <c r="DA943" s="540"/>
      <c r="DB943" s="540"/>
      <c r="DC943" s="540"/>
      <c r="DD943" s="540"/>
      <c r="DE943" s="540"/>
    </row>
    <row r="944" spans="1:109" s="116" customFormat="1" x14ac:dyDescent="0.2">
      <c r="A944" s="435"/>
      <c r="B944" s="435"/>
      <c r="C944" s="435"/>
      <c r="D944" s="435"/>
      <c r="AB944" s="540"/>
      <c r="AU944" s="540"/>
      <c r="AV944" s="540"/>
      <c r="AW944" s="540"/>
      <c r="AX944" s="540"/>
      <c r="AY944" s="540"/>
      <c r="AZ944" s="540"/>
      <c r="BA944" s="540"/>
      <c r="BB944" s="540"/>
      <c r="BC944" s="540"/>
      <c r="BD944" s="540"/>
      <c r="BE944" s="540"/>
      <c r="BF944" s="540"/>
      <c r="BG944" s="540"/>
      <c r="BH944" s="540"/>
      <c r="BI944" s="540"/>
      <c r="BJ944" s="540"/>
      <c r="BK944" s="540"/>
      <c r="BL944" s="540"/>
      <c r="BM944" s="540"/>
      <c r="BN944" s="540"/>
      <c r="BO944" s="540"/>
      <c r="BP944" s="540"/>
      <c r="BQ944" s="540"/>
      <c r="BR944" s="540"/>
      <c r="BS944" s="540"/>
      <c r="BT944" s="540"/>
      <c r="BU944" s="540"/>
      <c r="BV944" s="540"/>
      <c r="BW944" s="540"/>
      <c r="BX944" s="540"/>
      <c r="BY944" s="540"/>
      <c r="BZ944" s="540"/>
      <c r="CA944" s="540"/>
      <c r="CB944" s="540"/>
      <c r="CC944" s="540"/>
      <c r="CD944" s="540"/>
      <c r="CE944" s="540"/>
      <c r="CF944" s="540"/>
      <c r="CG944" s="540"/>
      <c r="CH944" s="540"/>
      <c r="CI944" s="540"/>
      <c r="CJ944" s="540"/>
      <c r="CK944" s="540"/>
      <c r="CL944" s="540"/>
      <c r="CM944" s="540"/>
      <c r="CN944" s="540"/>
      <c r="CO944" s="540"/>
      <c r="CP944" s="540"/>
      <c r="CQ944" s="540"/>
      <c r="CR944" s="540"/>
      <c r="CS944" s="540"/>
      <c r="CT944" s="540"/>
      <c r="CU944" s="540"/>
      <c r="CV944" s="540"/>
      <c r="CW944" s="540"/>
      <c r="CX944" s="540"/>
      <c r="CY944" s="540"/>
      <c r="CZ944" s="540"/>
      <c r="DA944" s="540"/>
      <c r="DB944" s="540"/>
      <c r="DC944" s="540"/>
      <c r="DD944" s="540"/>
      <c r="DE944" s="540"/>
    </row>
    <row r="945" spans="1:109" s="116" customFormat="1" x14ac:dyDescent="0.2">
      <c r="A945" s="435"/>
      <c r="B945" s="435"/>
      <c r="C945" s="435"/>
      <c r="D945" s="435"/>
      <c r="AB945" s="540"/>
      <c r="AU945" s="540"/>
      <c r="AV945" s="540"/>
      <c r="AW945" s="540"/>
      <c r="AX945" s="540"/>
      <c r="AY945" s="540"/>
      <c r="AZ945" s="540"/>
      <c r="BA945" s="540"/>
      <c r="BB945" s="540"/>
      <c r="BC945" s="540"/>
      <c r="BD945" s="540"/>
      <c r="BE945" s="540"/>
      <c r="BF945" s="540"/>
      <c r="BG945" s="540"/>
      <c r="BH945" s="540"/>
      <c r="BI945" s="540"/>
      <c r="BJ945" s="540"/>
      <c r="BK945" s="540"/>
      <c r="BL945" s="540"/>
      <c r="BM945" s="540"/>
      <c r="BN945" s="540"/>
      <c r="BO945" s="540"/>
      <c r="BP945" s="540"/>
      <c r="BQ945" s="540"/>
      <c r="BR945" s="540"/>
      <c r="BS945" s="540"/>
      <c r="BT945" s="540"/>
      <c r="BU945" s="540"/>
      <c r="BV945" s="540"/>
      <c r="BW945" s="540"/>
      <c r="BX945" s="540"/>
      <c r="BY945" s="540"/>
      <c r="BZ945" s="540"/>
      <c r="CA945" s="540"/>
      <c r="CB945" s="540"/>
      <c r="CC945" s="540"/>
      <c r="CD945" s="540"/>
      <c r="CE945" s="540"/>
      <c r="CF945" s="540"/>
      <c r="CG945" s="540"/>
      <c r="CH945" s="540"/>
      <c r="CI945" s="540"/>
      <c r="CJ945" s="540"/>
      <c r="CK945" s="540"/>
      <c r="CL945" s="540"/>
      <c r="CM945" s="540"/>
      <c r="CN945" s="540"/>
      <c r="CO945" s="540"/>
      <c r="CP945" s="540"/>
      <c r="CQ945" s="540"/>
      <c r="CR945" s="540"/>
      <c r="CS945" s="540"/>
      <c r="CT945" s="540"/>
      <c r="CU945" s="540"/>
      <c r="CV945" s="540"/>
      <c r="CW945" s="540"/>
      <c r="CX945" s="540"/>
      <c r="CY945" s="540"/>
      <c r="CZ945" s="540"/>
      <c r="DA945" s="540"/>
      <c r="DB945" s="540"/>
      <c r="DC945" s="540"/>
      <c r="DD945" s="540"/>
      <c r="DE945" s="540"/>
    </row>
    <row r="946" spans="1:109" s="116" customFormat="1" x14ac:dyDescent="0.2">
      <c r="A946" s="435"/>
      <c r="B946" s="435"/>
      <c r="C946" s="435"/>
      <c r="D946" s="435"/>
      <c r="AB946" s="540"/>
      <c r="AU946" s="540"/>
      <c r="AV946" s="540"/>
      <c r="AW946" s="540"/>
      <c r="AX946" s="540"/>
      <c r="AY946" s="540"/>
      <c r="AZ946" s="540"/>
      <c r="BA946" s="540"/>
      <c r="BB946" s="540"/>
      <c r="BC946" s="540"/>
      <c r="BD946" s="540"/>
      <c r="BE946" s="540"/>
      <c r="BF946" s="540"/>
      <c r="BG946" s="540"/>
      <c r="BH946" s="540"/>
      <c r="BI946" s="540"/>
      <c r="BJ946" s="540"/>
      <c r="BK946" s="540"/>
      <c r="BL946" s="540"/>
      <c r="BM946" s="540"/>
      <c r="BN946" s="540"/>
      <c r="BO946" s="540"/>
      <c r="BP946" s="540"/>
      <c r="BQ946" s="540"/>
      <c r="BR946" s="540"/>
      <c r="BS946" s="540"/>
      <c r="BT946" s="540"/>
      <c r="BU946" s="540"/>
      <c r="BV946" s="540"/>
      <c r="BW946" s="540"/>
      <c r="BX946" s="540"/>
      <c r="BY946" s="540"/>
      <c r="BZ946" s="540"/>
      <c r="CA946" s="540"/>
      <c r="CB946" s="540"/>
      <c r="CC946" s="540"/>
      <c r="CD946" s="540"/>
      <c r="CE946" s="540"/>
      <c r="CF946" s="540"/>
      <c r="CG946" s="540"/>
      <c r="CH946" s="540"/>
      <c r="CI946" s="540"/>
      <c r="CJ946" s="540"/>
      <c r="CK946" s="540"/>
      <c r="CL946" s="540"/>
      <c r="CM946" s="540"/>
      <c r="CN946" s="540"/>
      <c r="CO946" s="540"/>
      <c r="CP946" s="540"/>
      <c r="CQ946" s="540"/>
      <c r="CR946" s="540"/>
      <c r="CS946" s="540"/>
      <c r="CT946" s="540"/>
      <c r="CU946" s="540"/>
      <c r="CV946" s="540"/>
      <c r="CW946" s="540"/>
      <c r="CX946" s="540"/>
      <c r="CY946" s="540"/>
      <c r="CZ946" s="540"/>
      <c r="DA946" s="540"/>
      <c r="DB946" s="540"/>
      <c r="DC946" s="540"/>
      <c r="DD946" s="540"/>
      <c r="DE946" s="540"/>
    </row>
    <row r="947" spans="1:109" s="116" customFormat="1" x14ac:dyDescent="0.2">
      <c r="A947" s="435"/>
      <c r="B947" s="435"/>
      <c r="C947" s="435"/>
      <c r="D947" s="435"/>
      <c r="AB947" s="540"/>
      <c r="AU947" s="540"/>
      <c r="AV947" s="540"/>
      <c r="AW947" s="540"/>
      <c r="AX947" s="540"/>
      <c r="AY947" s="540"/>
      <c r="AZ947" s="540"/>
      <c r="BA947" s="540"/>
      <c r="BB947" s="540"/>
      <c r="BC947" s="540"/>
      <c r="BD947" s="540"/>
      <c r="BE947" s="540"/>
      <c r="BF947" s="540"/>
      <c r="BG947" s="540"/>
      <c r="BH947" s="540"/>
      <c r="BI947" s="540"/>
      <c r="BJ947" s="540"/>
      <c r="BK947" s="540"/>
      <c r="BL947" s="540"/>
      <c r="BM947" s="540"/>
      <c r="BN947" s="540"/>
      <c r="BO947" s="540"/>
      <c r="BP947" s="540"/>
      <c r="BQ947" s="540"/>
      <c r="BR947" s="540"/>
      <c r="BS947" s="540"/>
      <c r="BT947" s="540"/>
      <c r="BU947" s="540"/>
      <c r="BV947" s="540"/>
      <c r="BW947" s="540"/>
      <c r="BX947" s="540"/>
      <c r="BY947" s="540"/>
      <c r="BZ947" s="540"/>
      <c r="CA947" s="540"/>
      <c r="CB947" s="540"/>
      <c r="CC947" s="540"/>
      <c r="CD947" s="540"/>
      <c r="CE947" s="540"/>
      <c r="CF947" s="540"/>
      <c r="CG947" s="540"/>
      <c r="CH947" s="540"/>
      <c r="CI947" s="540"/>
      <c r="CJ947" s="540"/>
      <c r="CK947" s="540"/>
      <c r="CL947" s="540"/>
      <c r="CM947" s="540"/>
      <c r="CN947" s="540"/>
      <c r="CO947" s="540"/>
      <c r="CP947" s="540"/>
      <c r="CQ947" s="540"/>
      <c r="CR947" s="540"/>
      <c r="CS947" s="540"/>
      <c r="CT947" s="540"/>
      <c r="CU947" s="540"/>
      <c r="CV947" s="540"/>
      <c r="CW947" s="540"/>
      <c r="CX947" s="540"/>
      <c r="CY947" s="540"/>
      <c r="CZ947" s="540"/>
      <c r="DA947" s="540"/>
      <c r="DB947" s="540"/>
      <c r="DC947" s="540"/>
      <c r="DD947" s="540"/>
      <c r="DE947" s="540"/>
    </row>
    <row r="948" spans="1:109" s="116" customFormat="1" x14ac:dyDescent="0.2">
      <c r="A948" s="435"/>
      <c r="B948" s="435"/>
      <c r="C948" s="435"/>
      <c r="D948" s="435"/>
      <c r="AB948" s="540"/>
      <c r="AU948" s="540"/>
      <c r="AV948" s="540"/>
      <c r="AW948" s="540"/>
      <c r="AX948" s="540"/>
      <c r="AY948" s="540"/>
      <c r="AZ948" s="540"/>
      <c r="BA948" s="540"/>
      <c r="BB948" s="540"/>
      <c r="BC948" s="540"/>
      <c r="BD948" s="540"/>
      <c r="BE948" s="540"/>
      <c r="BF948" s="540"/>
      <c r="BG948" s="540"/>
      <c r="BH948" s="540"/>
      <c r="BI948" s="540"/>
      <c r="BJ948" s="540"/>
      <c r="BK948" s="540"/>
      <c r="BL948" s="540"/>
      <c r="BM948" s="540"/>
      <c r="BN948" s="540"/>
      <c r="BO948" s="540"/>
      <c r="BP948" s="540"/>
      <c r="BQ948" s="540"/>
      <c r="BR948" s="540"/>
      <c r="BS948" s="540"/>
      <c r="BT948" s="540"/>
      <c r="BU948" s="540"/>
      <c r="BV948" s="540"/>
      <c r="BW948" s="540"/>
      <c r="BX948" s="540"/>
      <c r="BY948" s="540"/>
      <c r="BZ948" s="540"/>
      <c r="CA948" s="540"/>
      <c r="CB948" s="540"/>
      <c r="CC948" s="540"/>
      <c r="CD948" s="540"/>
      <c r="CE948" s="540"/>
      <c r="CF948" s="540"/>
      <c r="CG948" s="540"/>
      <c r="CH948" s="540"/>
      <c r="CI948" s="540"/>
      <c r="CJ948" s="540"/>
      <c r="CK948" s="540"/>
      <c r="CL948" s="540"/>
      <c r="CM948" s="540"/>
      <c r="CN948" s="540"/>
      <c r="CO948" s="540"/>
      <c r="CP948" s="540"/>
      <c r="CQ948" s="540"/>
      <c r="CR948" s="540"/>
      <c r="CS948" s="540"/>
      <c r="CT948" s="540"/>
      <c r="CU948" s="540"/>
      <c r="CV948" s="540"/>
      <c r="CW948" s="540"/>
      <c r="CX948" s="540"/>
      <c r="CY948" s="540"/>
      <c r="CZ948" s="540"/>
      <c r="DA948" s="540"/>
      <c r="DB948" s="540"/>
      <c r="DC948" s="540"/>
      <c r="DD948" s="540"/>
      <c r="DE948" s="540"/>
    </row>
    <row r="949" spans="1:109" s="116" customFormat="1" x14ac:dyDescent="0.2">
      <c r="A949" s="435"/>
      <c r="B949" s="435"/>
      <c r="C949" s="435"/>
      <c r="D949" s="435"/>
      <c r="AB949" s="540"/>
      <c r="AU949" s="540"/>
      <c r="AV949" s="540"/>
      <c r="AW949" s="540"/>
      <c r="AX949" s="540"/>
      <c r="AY949" s="540"/>
      <c r="AZ949" s="540"/>
      <c r="BA949" s="540"/>
      <c r="BB949" s="540"/>
      <c r="BC949" s="540"/>
      <c r="BD949" s="540"/>
      <c r="BE949" s="540"/>
      <c r="BF949" s="540"/>
      <c r="BG949" s="540"/>
      <c r="BH949" s="540"/>
      <c r="BI949" s="540"/>
      <c r="BJ949" s="540"/>
      <c r="BK949" s="540"/>
      <c r="BL949" s="540"/>
      <c r="BM949" s="540"/>
      <c r="BN949" s="540"/>
      <c r="BO949" s="540"/>
      <c r="BP949" s="540"/>
      <c r="BQ949" s="540"/>
      <c r="BR949" s="540"/>
      <c r="BS949" s="540"/>
      <c r="BT949" s="540"/>
      <c r="BU949" s="540"/>
      <c r="BV949" s="540"/>
      <c r="BW949" s="540"/>
      <c r="BX949" s="540"/>
      <c r="BY949" s="540"/>
      <c r="BZ949" s="540"/>
      <c r="CA949" s="540"/>
      <c r="CB949" s="540"/>
      <c r="CC949" s="540"/>
      <c r="CD949" s="540"/>
      <c r="CE949" s="540"/>
      <c r="CF949" s="540"/>
      <c r="CG949" s="540"/>
      <c r="CH949" s="540"/>
      <c r="CI949" s="540"/>
      <c r="CJ949" s="540"/>
      <c r="CK949" s="540"/>
      <c r="CL949" s="540"/>
      <c r="CM949" s="540"/>
      <c r="CN949" s="540"/>
      <c r="CO949" s="540"/>
      <c r="CP949" s="540"/>
      <c r="CQ949" s="540"/>
      <c r="CR949" s="540"/>
      <c r="CS949" s="540"/>
      <c r="CT949" s="540"/>
      <c r="CU949" s="540"/>
      <c r="CV949" s="540"/>
      <c r="CW949" s="540"/>
      <c r="CX949" s="540"/>
      <c r="CY949" s="540"/>
      <c r="CZ949" s="540"/>
      <c r="DA949" s="540"/>
      <c r="DB949" s="540"/>
      <c r="DC949" s="540"/>
      <c r="DD949" s="540"/>
      <c r="DE949" s="540"/>
    </row>
    <row r="950" spans="1:109" s="116" customFormat="1" x14ac:dyDescent="0.2">
      <c r="A950" s="435"/>
      <c r="B950" s="435"/>
      <c r="C950" s="435"/>
      <c r="D950" s="435"/>
      <c r="AB950" s="540"/>
      <c r="AU950" s="540"/>
      <c r="AV950" s="540"/>
      <c r="AW950" s="540"/>
      <c r="AX950" s="540"/>
      <c r="AY950" s="540"/>
      <c r="AZ950" s="540"/>
      <c r="BA950" s="540"/>
      <c r="BB950" s="540"/>
      <c r="BC950" s="540"/>
      <c r="BD950" s="540"/>
      <c r="BE950" s="540"/>
      <c r="BF950" s="540"/>
      <c r="BG950" s="540"/>
      <c r="BH950" s="540"/>
      <c r="BI950" s="540"/>
      <c r="BJ950" s="540"/>
      <c r="BK950" s="540"/>
      <c r="BL950" s="540"/>
      <c r="BM950" s="540"/>
      <c r="BN950" s="540"/>
      <c r="BO950" s="540"/>
      <c r="BP950" s="540"/>
      <c r="BQ950" s="540"/>
      <c r="BR950" s="540"/>
      <c r="BS950" s="540"/>
      <c r="BT950" s="540"/>
      <c r="BU950" s="540"/>
      <c r="BV950" s="540"/>
      <c r="BW950" s="540"/>
      <c r="BX950" s="540"/>
      <c r="BY950" s="540"/>
      <c r="BZ950" s="540"/>
      <c r="CA950" s="540"/>
      <c r="CB950" s="540"/>
      <c r="CC950" s="540"/>
      <c r="CD950" s="540"/>
      <c r="CE950" s="540"/>
      <c r="CF950" s="540"/>
      <c r="CG950" s="540"/>
      <c r="CH950" s="540"/>
      <c r="CI950" s="540"/>
      <c r="CJ950" s="540"/>
      <c r="CK950" s="540"/>
      <c r="CL950" s="540"/>
      <c r="CM950" s="540"/>
      <c r="CN950" s="540"/>
      <c r="CO950" s="540"/>
      <c r="CP950" s="540"/>
      <c r="CQ950" s="540"/>
      <c r="CR950" s="540"/>
      <c r="CS950" s="540"/>
      <c r="CT950" s="540"/>
      <c r="CU950" s="540"/>
      <c r="CV950" s="540"/>
      <c r="CW950" s="540"/>
      <c r="CX950" s="540"/>
      <c r="CY950" s="540"/>
      <c r="CZ950" s="540"/>
      <c r="DA950" s="540"/>
      <c r="DB950" s="540"/>
      <c r="DC950" s="540"/>
      <c r="DD950" s="540"/>
      <c r="DE950" s="540"/>
    </row>
    <row r="951" spans="1:109" s="116" customFormat="1" x14ac:dyDescent="0.2">
      <c r="A951" s="435"/>
      <c r="B951" s="435"/>
      <c r="C951" s="435"/>
      <c r="D951" s="435"/>
      <c r="AB951" s="540"/>
      <c r="AU951" s="540"/>
      <c r="AV951" s="540"/>
      <c r="AW951" s="540"/>
      <c r="AX951" s="540"/>
      <c r="AY951" s="540"/>
      <c r="AZ951" s="540"/>
      <c r="BA951" s="540"/>
      <c r="BB951" s="540"/>
      <c r="BC951" s="540"/>
      <c r="BD951" s="540"/>
      <c r="BE951" s="540"/>
      <c r="BF951" s="540"/>
      <c r="BG951" s="540"/>
      <c r="BH951" s="540"/>
      <c r="BI951" s="540"/>
      <c r="BJ951" s="540"/>
      <c r="BK951" s="540"/>
      <c r="BL951" s="540"/>
      <c r="BM951" s="540"/>
      <c r="BN951" s="540"/>
      <c r="BO951" s="540"/>
      <c r="BP951" s="540"/>
      <c r="BQ951" s="540"/>
      <c r="BR951" s="540"/>
      <c r="BS951" s="540"/>
      <c r="BT951" s="540"/>
      <c r="BU951" s="540"/>
      <c r="BV951" s="540"/>
      <c r="BW951" s="540"/>
      <c r="BX951" s="540"/>
      <c r="BY951" s="540"/>
      <c r="BZ951" s="540"/>
      <c r="CA951" s="540"/>
      <c r="CB951" s="540"/>
      <c r="CC951" s="540"/>
      <c r="CD951" s="540"/>
      <c r="CE951" s="540"/>
      <c r="CF951" s="540"/>
      <c r="CG951" s="540"/>
      <c r="CH951" s="540"/>
      <c r="CI951" s="540"/>
      <c r="CJ951" s="540"/>
      <c r="CK951" s="540"/>
      <c r="CL951" s="540"/>
      <c r="CM951" s="540"/>
      <c r="CN951" s="540"/>
      <c r="CO951" s="540"/>
      <c r="CP951" s="540"/>
      <c r="CQ951" s="540"/>
      <c r="CR951" s="540"/>
      <c r="CS951" s="540"/>
      <c r="CT951" s="540"/>
      <c r="CU951" s="540"/>
      <c r="CV951" s="540"/>
      <c r="CW951" s="540"/>
      <c r="CX951" s="540"/>
      <c r="CY951" s="540"/>
      <c r="CZ951" s="540"/>
      <c r="DA951" s="540"/>
      <c r="DB951" s="540"/>
      <c r="DC951" s="540"/>
      <c r="DD951" s="540"/>
      <c r="DE951" s="540"/>
    </row>
    <row r="952" spans="1:109" s="116" customFormat="1" x14ac:dyDescent="0.2">
      <c r="A952" s="435"/>
      <c r="B952" s="435"/>
      <c r="C952" s="435"/>
      <c r="D952" s="435"/>
      <c r="AB952" s="540"/>
      <c r="AU952" s="540"/>
      <c r="AV952" s="540"/>
      <c r="AW952" s="540"/>
      <c r="AX952" s="540"/>
      <c r="AY952" s="540"/>
      <c r="AZ952" s="540"/>
      <c r="BA952" s="540"/>
      <c r="BB952" s="540"/>
      <c r="BC952" s="540"/>
      <c r="BD952" s="540"/>
      <c r="BE952" s="540"/>
      <c r="BF952" s="540"/>
      <c r="BG952" s="540"/>
      <c r="BH952" s="540"/>
      <c r="BI952" s="540"/>
      <c r="BJ952" s="540"/>
      <c r="BK952" s="540"/>
      <c r="BL952" s="540"/>
      <c r="BM952" s="540"/>
      <c r="BN952" s="540"/>
      <c r="BO952" s="540"/>
      <c r="BP952" s="540"/>
      <c r="BQ952" s="540"/>
      <c r="BR952" s="540"/>
      <c r="BS952" s="540"/>
      <c r="BT952" s="540"/>
      <c r="BU952" s="540"/>
      <c r="BV952" s="540"/>
      <c r="BW952" s="540"/>
      <c r="BX952" s="540"/>
      <c r="BY952" s="540"/>
      <c r="BZ952" s="540"/>
      <c r="CA952" s="540"/>
      <c r="CB952" s="540"/>
      <c r="CC952" s="540"/>
      <c r="CD952" s="540"/>
      <c r="CE952" s="540"/>
      <c r="CF952" s="540"/>
      <c r="CG952" s="540"/>
      <c r="CH952" s="540"/>
      <c r="CI952" s="540"/>
      <c r="CJ952" s="540"/>
      <c r="CK952" s="540"/>
      <c r="CL952" s="540"/>
      <c r="CM952" s="540"/>
      <c r="CN952" s="540"/>
      <c r="CO952" s="540"/>
      <c r="CP952" s="540"/>
      <c r="CQ952" s="540"/>
      <c r="CR952" s="540"/>
      <c r="CS952" s="540"/>
      <c r="CT952" s="540"/>
      <c r="CU952" s="540"/>
      <c r="CV952" s="540"/>
      <c r="CW952" s="540"/>
      <c r="CX952" s="540"/>
      <c r="CY952" s="540"/>
      <c r="CZ952" s="540"/>
      <c r="DA952" s="540"/>
      <c r="DB952" s="540"/>
      <c r="DC952" s="540"/>
      <c r="DD952" s="540"/>
      <c r="DE952" s="540"/>
    </row>
    <row r="953" spans="1:109" s="116" customFormat="1" x14ac:dyDescent="0.2">
      <c r="A953" s="435"/>
      <c r="B953" s="435"/>
      <c r="C953" s="435"/>
      <c r="D953" s="435"/>
      <c r="AB953" s="540"/>
      <c r="AU953" s="540"/>
      <c r="AV953" s="540"/>
      <c r="AW953" s="540"/>
      <c r="AX953" s="540"/>
      <c r="AY953" s="540"/>
      <c r="AZ953" s="540"/>
      <c r="BA953" s="540"/>
      <c r="BB953" s="540"/>
      <c r="BC953" s="540"/>
      <c r="BD953" s="540"/>
      <c r="BE953" s="540"/>
      <c r="BF953" s="540"/>
      <c r="BG953" s="540"/>
      <c r="BH953" s="540"/>
      <c r="BI953" s="540"/>
      <c r="BJ953" s="540"/>
      <c r="BK953" s="540"/>
      <c r="BL953" s="540"/>
      <c r="BM953" s="540"/>
      <c r="BN953" s="540"/>
      <c r="BO953" s="540"/>
      <c r="BP953" s="540"/>
      <c r="BQ953" s="540"/>
      <c r="BR953" s="540"/>
      <c r="BS953" s="540"/>
      <c r="BT953" s="540"/>
      <c r="BU953" s="540"/>
      <c r="BV953" s="540"/>
      <c r="BW953" s="540"/>
      <c r="BX953" s="540"/>
      <c r="BY953" s="540"/>
      <c r="BZ953" s="540"/>
      <c r="CA953" s="540"/>
      <c r="CB953" s="540"/>
      <c r="CC953" s="540"/>
      <c r="CD953" s="540"/>
      <c r="CE953" s="540"/>
      <c r="CF953" s="540"/>
      <c r="CG953" s="540"/>
      <c r="CH953" s="540"/>
      <c r="CI953" s="540"/>
      <c r="CJ953" s="540"/>
      <c r="CK953" s="540"/>
      <c r="CL953" s="540"/>
      <c r="CM953" s="540"/>
      <c r="CN953" s="540"/>
      <c r="CO953" s="540"/>
      <c r="CP953" s="540"/>
      <c r="CQ953" s="540"/>
      <c r="CR953" s="540"/>
      <c r="CS953" s="540"/>
      <c r="CT953" s="540"/>
      <c r="CU953" s="540"/>
      <c r="CV953" s="540"/>
      <c r="CW953" s="540"/>
      <c r="CX953" s="540"/>
      <c r="CY953" s="540"/>
      <c r="CZ953" s="540"/>
      <c r="DA953" s="540"/>
      <c r="DB953" s="540"/>
      <c r="DC953" s="540"/>
      <c r="DD953" s="540"/>
      <c r="DE953" s="540"/>
    </row>
    <row r="954" spans="1:109" s="116" customFormat="1" x14ac:dyDescent="0.2">
      <c r="A954" s="435"/>
      <c r="B954" s="435"/>
      <c r="C954" s="435"/>
      <c r="D954" s="435"/>
      <c r="AB954" s="540"/>
      <c r="AU954" s="540"/>
      <c r="AV954" s="540"/>
      <c r="AW954" s="540"/>
      <c r="AX954" s="540"/>
      <c r="AY954" s="540"/>
      <c r="AZ954" s="540"/>
      <c r="BA954" s="540"/>
      <c r="BB954" s="540"/>
      <c r="BC954" s="540"/>
      <c r="BD954" s="540"/>
      <c r="BE954" s="540"/>
      <c r="BF954" s="540"/>
      <c r="BG954" s="540"/>
      <c r="BH954" s="540"/>
      <c r="BI954" s="540"/>
      <c r="BJ954" s="540"/>
      <c r="BK954" s="540"/>
      <c r="BL954" s="540"/>
      <c r="BM954" s="540"/>
      <c r="BN954" s="540"/>
      <c r="BO954" s="540"/>
      <c r="BP954" s="540"/>
      <c r="BQ954" s="540"/>
      <c r="BR954" s="540"/>
      <c r="BS954" s="540"/>
      <c r="BT954" s="540"/>
      <c r="BU954" s="540"/>
      <c r="BV954" s="540"/>
      <c r="BW954" s="540"/>
      <c r="BX954" s="540"/>
      <c r="BY954" s="540"/>
      <c r="BZ954" s="540"/>
      <c r="CA954" s="540"/>
      <c r="CB954" s="540"/>
      <c r="CC954" s="540"/>
      <c r="CD954" s="540"/>
      <c r="CE954" s="540"/>
      <c r="CF954" s="540"/>
      <c r="CG954" s="540"/>
      <c r="CH954" s="540"/>
      <c r="CI954" s="540"/>
      <c r="CJ954" s="540"/>
      <c r="CK954" s="540"/>
      <c r="CL954" s="540"/>
      <c r="CM954" s="540"/>
      <c r="CN954" s="540"/>
      <c r="CO954" s="540"/>
      <c r="CP954" s="540"/>
      <c r="CQ954" s="540"/>
      <c r="CR954" s="540"/>
      <c r="CS954" s="540"/>
      <c r="CT954" s="540"/>
      <c r="CU954" s="540"/>
      <c r="CV954" s="540"/>
      <c r="CW954" s="540"/>
      <c r="CX954" s="540"/>
      <c r="CY954" s="540"/>
      <c r="CZ954" s="540"/>
      <c r="DA954" s="540"/>
      <c r="DB954" s="540"/>
      <c r="DC954" s="540"/>
      <c r="DD954" s="540"/>
      <c r="DE954" s="540"/>
    </row>
    <row r="955" spans="1:109" s="116" customFormat="1" x14ac:dyDescent="0.2">
      <c r="A955" s="435"/>
      <c r="B955" s="435"/>
      <c r="C955" s="435"/>
      <c r="D955" s="435"/>
      <c r="AB955" s="540"/>
      <c r="AU955" s="540"/>
      <c r="AV955" s="540"/>
      <c r="AW955" s="540"/>
      <c r="AX955" s="540"/>
      <c r="AY955" s="540"/>
      <c r="AZ955" s="540"/>
      <c r="BA955" s="540"/>
      <c r="BB955" s="540"/>
      <c r="BC955" s="540"/>
      <c r="BD955" s="540"/>
      <c r="BE955" s="540"/>
      <c r="BF955" s="540"/>
      <c r="BG955" s="540"/>
      <c r="BH955" s="540"/>
      <c r="BI955" s="540"/>
      <c r="BJ955" s="540"/>
      <c r="BK955" s="540"/>
      <c r="BL955" s="540"/>
      <c r="BM955" s="540"/>
      <c r="BN955" s="540"/>
      <c r="BO955" s="540"/>
      <c r="BP955" s="540"/>
      <c r="BQ955" s="540"/>
      <c r="BR955" s="540"/>
      <c r="BS955" s="540"/>
      <c r="BT955" s="540"/>
      <c r="BU955" s="540"/>
      <c r="BV955" s="540"/>
      <c r="BW955" s="540"/>
      <c r="BX955" s="540"/>
      <c r="BY955" s="540"/>
      <c r="BZ955" s="540"/>
      <c r="CA955" s="540"/>
      <c r="CB955" s="540"/>
      <c r="CC955" s="540"/>
      <c r="CD955" s="540"/>
      <c r="CE955" s="540"/>
      <c r="CF955" s="540"/>
      <c r="CG955" s="540"/>
      <c r="CH955" s="540"/>
      <c r="CI955" s="540"/>
      <c r="CJ955" s="540"/>
      <c r="CK955" s="540"/>
      <c r="CL955" s="540"/>
      <c r="CM955" s="540"/>
      <c r="CN955" s="540"/>
      <c r="CO955" s="540"/>
      <c r="CP955" s="540"/>
      <c r="CQ955" s="540"/>
      <c r="CR955" s="540"/>
      <c r="CS955" s="540"/>
      <c r="CT955" s="540"/>
      <c r="CU955" s="540"/>
      <c r="CV955" s="540"/>
      <c r="CW955" s="540"/>
      <c r="CX955" s="540"/>
      <c r="CY955" s="540"/>
      <c r="CZ955" s="540"/>
      <c r="DA955" s="540"/>
      <c r="DB955" s="540"/>
      <c r="DC955" s="540"/>
      <c r="DD955" s="540"/>
      <c r="DE955" s="540"/>
    </row>
    <row r="956" spans="1:109" s="116" customFormat="1" x14ac:dyDescent="0.2">
      <c r="A956" s="435"/>
      <c r="B956" s="435"/>
      <c r="C956" s="435"/>
      <c r="D956" s="435"/>
      <c r="AB956" s="540"/>
      <c r="AU956" s="540"/>
      <c r="AV956" s="540"/>
      <c r="AW956" s="540"/>
      <c r="AX956" s="540"/>
      <c r="AY956" s="540"/>
      <c r="AZ956" s="540"/>
      <c r="BA956" s="540"/>
      <c r="BB956" s="540"/>
      <c r="BC956" s="540"/>
      <c r="BD956" s="540"/>
      <c r="BE956" s="540"/>
      <c r="BF956" s="540"/>
      <c r="BG956" s="540"/>
      <c r="BH956" s="540"/>
      <c r="BI956" s="540"/>
      <c r="BJ956" s="540"/>
      <c r="BK956" s="540"/>
      <c r="BL956" s="540"/>
      <c r="BM956" s="540"/>
      <c r="BN956" s="540"/>
      <c r="BO956" s="540"/>
      <c r="BP956" s="540"/>
      <c r="BQ956" s="540"/>
      <c r="BR956" s="540"/>
      <c r="BS956" s="540"/>
      <c r="BT956" s="540"/>
      <c r="BU956" s="540"/>
      <c r="BV956" s="540"/>
      <c r="BW956" s="540"/>
      <c r="BX956" s="540"/>
      <c r="BY956" s="540"/>
      <c r="BZ956" s="540"/>
      <c r="CA956" s="540"/>
      <c r="CB956" s="540"/>
      <c r="CC956" s="540"/>
      <c r="CD956" s="540"/>
      <c r="CE956" s="540"/>
      <c r="CF956" s="540"/>
      <c r="CG956" s="540"/>
      <c r="CH956" s="540"/>
      <c r="CI956" s="540"/>
      <c r="CJ956" s="540"/>
      <c r="CK956" s="540"/>
      <c r="CL956" s="540"/>
      <c r="CM956" s="540"/>
      <c r="CN956" s="540"/>
      <c r="CO956" s="540"/>
      <c r="CP956" s="540"/>
      <c r="CQ956" s="540"/>
      <c r="CR956" s="540"/>
      <c r="CS956" s="540"/>
      <c r="CT956" s="540"/>
      <c r="CU956" s="540"/>
      <c r="CV956" s="540"/>
      <c r="CW956" s="540"/>
      <c r="CX956" s="540"/>
      <c r="CY956" s="540"/>
      <c r="CZ956" s="540"/>
      <c r="DA956" s="540"/>
      <c r="DB956" s="540"/>
      <c r="DC956" s="540"/>
      <c r="DD956" s="540"/>
      <c r="DE956" s="540"/>
    </row>
    <row r="957" spans="1:109" s="116" customFormat="1" x14ac:dyDescent="0.2">
      <c r="A957" s="435"/>
      <c r="B957" s="435"/>
      <c r="C957" s="435"/>
      <c r="D957" s="435"/>
      <c r="AB957" s="540"/>
      <c r="AU957" s="540"/>
      <c r="AV957" s="540"/>
      <c r="AW957" s="540"/>
      <c r="AX957" s="540"/>
      <c r="AY957" s="540"/>
      <c r="AZ957" s="540"/>
      <c r="BA957" s="540"/>
      <c r="BB957" s="540"/>
      <c r="BC957" s="540"/>
      <c r="BD957" s="540"/>
      <c r="BE957" s="540"/>
      <c r="BF957" s="540"/>
      <c r="BG957" s="540"/>
      <c r="BH957" s="540"/>
      <c r="BI957" s="540"/>
      <c r="BJ957" s="540"/>
      <c r="BK957" s="540"/>
      <c r="BL957" s="540"/>
      <c r="BM957" s="540"/>
      <c r="BN957" s="540"/>
      <c r="BO957" s="540"/>
      <c r="BP957" s="540"/>
      <c r="BQ957" s="540"/>
      <c r="BR957" s="540"/>
      <c r="BS957" s="540"/>
      <c r="BT957" s="540"/>
      <c r="BU957" s="540"/>
      <c r="BV957" s="540"/>
      <c r="BW957" s="540"/>
      <c r="BX957" s="540"/>
      <c r="BY957" s="540"/>
      <c r="BZ957" s="540"/>
      <c r="CA957" s="540"/>
      <c r="CB957" s="540"/>
      <c r="CC957" s="540"/>
      <c r="CD957" s="540"/>
      <c r="CE957" s="540"/>
      <c r="CF957" s="540"/>
      <c r="CG957" s="540"/>
      <c r="CH957" s="540"/>
      <c r="CI957" s="540"/>
      <c r="CJ957" s="540"/>
      <c r="CK957" s="540"/>
      <c r="CL957" s="540"/>
      <c r="CM957" s="540"/>
      <c r="CN957" s="540"/>
      <c r="CO957" s="540"/>
      <c r="CP957" s="540"/>
      <c r="CQ957" s="540"/>
      <c r="CR957" s="540"/>
      <c r="CS957" s="540"/>
      <c r="CT957" s="540"/>
      <c r="CU957" s="540"/>
      <c r="CV957" s="540"/>
      <c r="CW957" s="540"/>
      <c r="CX957" s="540"/>
      <c r="CY957" s="540"/>
      <c r="CZ957" s="540"/>
      <c r="DA957" s="540"/>
      <c r="DB957" s="540"/>
      <c r="DC957" s="540"/>
      <c r="DD957" s="540"/>
      <c r="DE957" s="540"/>
    </row>
    <row r="958" spans="1:109" s="116" customFormat="1" x14ac:dyDescent="0.2">
      <c r="A958" s="435"/>
      <c r="B958" s="435"/>
      <c r="C958" s="435"/>
      <c r="D958" s="435"/>
      <c r="AB958" s="540"/>
      <c r="AU958" s="540"/>
      <c r="AV958" s="540"/>
      <c r="AW958" s="540"/>
      <c r="AX958" s="540"/>
      <c r="AY958" s="540"/>
      <c r="AZ958" s="540"/>
      <c r="BA958" s="540"/>
      <c r="BB958" s="540"/>
      <c r="BC958" s="540"/>
      <c r="BD958" s="540"/>
      <c r="BE958" s="540"/>
      <c r="BF958" s="540"/>
      <c r="BG958" s="540"/>
      <c r="BH958" s="540"/>
      <c r="BI958" s="540"/>
      <c r="BJ958" s="540"/>
      <c r="BK958" s="540"/>
      <c r="BL958" s="540"/>
      <c r="BM958" s="540"/>
      <c r="BN958" s="540"/>
      <c r="BO958" s="540"/>
      <c r="BP958" s="540"/>
      <c r="BQ958" s="540"/>
      <c r="BR958" s="540"/>
      <c r="BS958" s="540"/>
      <c r="BT958" s="540"/>
      <c r="BU958" s="540"/>
      <c r="BV958" s="540"/>
      <c r="BW958" s="540"/>
      <c r="BX958" s="540"/>
      <c r="BY958" s="540"/>
      <c r="BZ958" s="540"/>
      <c r="CA958" s="540"/>
      <c r="CB958" s="540"/>
      <c r="CC958" s="540"/>
      <c r="CD958" s="540"/>
      <c r="CE958" s="540"/>
      <c r="CF958" s="540"/>
      <c r="CG958" s="540"/>
      <c r="CH958" s="540"/>
      <c r="CI958" s="540"/>
      <c r="CJ958" s="540"/>
      <c r="CK958" s="540"/>
      <c r="CL958" s="540"/>
      <c r="CM958" s="540"/>
      <c r="CN958" s="540"/>
      <c r="CO958" s="540"/>
      <c r="CP958" s="540"/>
      <c r="CQ958" s="540"/>
      <c r="CR958" s="540"/>
      <c r="CS958" s="540"/>
      <c r="CT958" s="540"/>
      <c r="CU958" s="540"/>
      <c r="CV958" s="540"/>
      <c r="CW958" s="540"/>
      <c r="CX958" s="540"/>
      <c r="CY958" s="540"/>
      <c r="CZ958" s="540"/>
      <c r="DA958" s="540"/>
      <c r="DB958" s="540"/>
      <c r="DC958" s="540"/>
      <c r="DD958" s="540"/>
      <c r="DE958" s="540"/>
    </row>
    <row r="959" spans="1:109" s="116" customFormat="1" x14ac:dyDescent="0.2">
      <c r="A959" s="435"/>
      <c r="B959" s="435"/>
      <c r="C959" s="435"/>
      <c r="D959" s="435"/>
      <c r="AB959" s="540"/>
      <c r="AU959" s="540"/>
      <c r="AV959" s="540"/>
      <c r="AW959" s="540"/>
      <c r="AX959" s="540"/>
      <c r="AY959" s="540"/>
      <c r="AZ959" s="540"/>
      <c r="BA959" s="540"/>
      <c r="BB959" s="540"/>
      <c r="BC959" s="540"/>
      <c r="BD959" s="540"/>
      <c r="BE959" s="540"/>
      <c r="BF959" s="540"/>
      <c r="BG959" s="540"/>
      <c r="BH959" s="540"/>
      <c r="BI959" s="540"/>
      <c r="BJ959" s="540"/>
      <c r="BK959" s="540"/>
      <c r="BL959" s="540"/>
      <c r="BM959" s="540"/>
      <c r="BN959" s="540"/>
      <c r="BO959" s="540"/>
      <c r="BP959" s="540"/>
      <c r="BQ959" s="540"/>
      <c r="BR959" s="540"/>
      <c r="BS959" s="540"/>
      <c r="BT959" s="540"/>
      <c r="BU959" s="540"/>
      <c r="BV959" s="540"/>
      <c r="BW959" s="540"/>
      <c r="BX959" s="540"/>
      <c r="BY959" s="540"/>
      <c r="BZ959" s="540"/>
      <c r="CA959" s="540"/>
      <c r="CB959" s="540"/>
      <c r="CC959" s="540"/>
      <c r="CD959" s="540"/>
      <c r="CE959" s="540"/>
      <c r="CF959" s="540"/>
      <c r="CG959" s="540"/>
      <c r="CH959" s="540"/>
      <c r="CI959" s="540"/>
      <c r="CJ959" s="540"/>
      <c r="CK959" s="540"/>
      <c r="CL959" s="540"/>
      <c r="CM959" s="540"/>
      <c r="CN959" s="540"/>
      <c r="CO959" s="540"/>
      <c r="CP959" s="540"/>
      <c r="CQ959" s="540"/>
      <c r="CR959" s="540"/>
      <c r="CS959" s="540"/>
      <c r="CT959" s="540"/>
      <c r="CU959" s="540"/>
      <c r="CV959" s="540"/>
      <c r="CW959" s="540"/>
      <c r="CX959" s="540"/>
      <c r="CY959" s="540"/>
      <c r="CZ959" s="540"/>
      <c r="DA959" s="540"/>
      <c r="DB959" s="540"/>
      <c r="DC959" s="540"/>
      <c r="DD959" s="540"/>
      <c r="DE959" s="540"/>
    </row>
    <row r="960" spans="1:109" s="116" customFormat="1" x14ac:dyDescent="0.2">
      <c r="A960" s="435"/>
      <c r="B960" s="435"/>
      <c r="C960" s="435"/>
      <c r="D960" s="435"/>
      <c r="AB960" s="540"/>
      <c r="AU960" s="540"/>
      <c r="AV960" s="540"/>
      <c r="AW960" s="540"/>
      <c r="AX960" s="540"/>
      <c r="AY960" s="540"/>
      <c r="AZ960" s="540"/>
      <c r="BA960" s="540"/>
      <c r="BB960" s="540"/>
      <c r="BC960" s="540"/>
      <c r="BD960" s="540"/>
      <c r="BE960" s="540"/>
      <c r="BF960" s="540"/>
      <c r="BG960" s="540"/>
      <c r="BH960" s="540"/>
      <c r="BI960" s="540"/>
      <c r="BJ960" s="540"/>
      <c r="BK960" s="540"/>
      <c r="BL960" s="540"/>
      <c r="BM960" s="540"/>
      <c r="BN960" s="540"/>
      <c r="BO960" s="540"/>
      <c r="BP960" s="540"/>
      <c r="BQ960" s="540"/>
      <c r="BR960" s="540"/>
      <c r="BS960" s="540"/>
      <c r="BT960" s="540"/>
      <c r="BU960" s="540"/>
      <c r="BV960" s="540"/>
      <c r="BW960" s="540"/>
      <c r="BX960" s="540"/>
      <c r="BY960" s="540"/>
      <c r="BZ960" s="540"/>
      <c r="CA960" s="540"/>
      <c r="CB960" s="540"/>
      <c r="CC960" s="540"/>
      <c r="CD960" s="540"/>
      <c r="CE960" s="540"/>
      <c r="CF960" s="540"/>
      <c r="CG960" s="540"/>
      <c r="CH960" s="540"/>
      <c r="CI960" s="540"/>
      <c r="CJ960" s="540"/>
      <c r="CK960" s="540"/>
      <c r="CL960" s="540"/>
      <c r="CM960" s="540"/>
      <c r="CN960" s="540"/>
      <c r="CO960" s="540"/>
      <c r="CP960" s="540"/>
      <c r="CQ960" s="540"/>
      <c r="CR960" s="540"/>
      <c r="CS960" s="540"/>
      <c r="CT960" s="540"/>
      <c r="CU960" s="540"/>
      <c r="CV960" s="540"/>
      <c r="CW960" s="540"/>
      <c r="CX960" s="540"/>
      <c r="CY960" s="540"/>
      <c r="CZ960" s="540"/>
      <c r="DA960" s="540"/>
      <c r="DB960" s="540"/>
      <c r="DC960" s="540"/>
      <c r="DD960" s="540"/>
      <c r="DE960" s="540"/>
    </row>
    <row r="961" spans="1:109" s="116" customFormat="1" x14ac:dyDescent="0.2">
      <c r="A961" s="435"/>
      <c r="B961" s="435"/>
      <c r="C961" s="435"/>
      <c r="D961" s="435"/>
      <c r="AB961" s="540"/>
      <c r="AU961" s="540"/>
      <c r="AV961" s="540"/>
      <c r="AW961" s="540"/>
      <c r="AX961" s="540"/>
      <c r="AY961" s="540"/>
      <c r="AZ961" s="540"/>
      <c r="BA961" s="540"/>
      <c r="BB961" s="540"/>
      <c r="BC961" s="540"/>
      <c r="BD961" s="540"/>
      <c r="BE961" s="540"/>
      <c r="BF961" s="540"/>
      <c r="BG961" s="540"/>
      <c r="BH961" s="540"/>
      <c r="BI961" s="540"/>
      <c r="BJ961" s="540"/>
      <c r="BK961" s="540"/>
      <c r="BL961" s="540"/>
      <c r="BM961" s="540"/>
      <c r="BN961" s="540"/>
      <c r="BO961" s="540"/>
      <c r="BP961" s="540"/>
      <c r="BQ961" s="540"/>
      <c r="BR961" s="540"/>
      <c r="BS961" s="540"/>
      <c r="BT961" s="540"/>
      <c r="BU961" s="540"/>
      <c r="BV961" s="540"/>
      <c r="BW961" s="540"/>
      <c r="BX961" s="540"/>
      <c r="BY961" s="540"/>
      <c r="BZ961" s="540"/>
      <c r="CA961" s="540"/>
      <c r="CB961" s="540"/>
      <c r="CC961" s="540"/>
      <c r="CD961" s="540"/>
      <c r="CE961" s="540"/>
      <c r="CF961" s="540"/>
      <c r="CG961" s="540"/>
      <c r="CH961" s="540"/>
      <c r="CI961" s="540"/>
      <c r="CJ961" s="540"/>
      <c r="CK961" s="540"/>
      <c r="CL961" s="540"/>
      <c r="CM961" s="540"/>
      <c r="CN961" s="540"/>
      <c r="CO961" s="540"/>
      <c r="CP961" s="540"/>
      <c r="CQ961" s="540"/>
      <c r="CR961" s="540"/>
      <c r="CS961" s="540"/>
      <c r="CT961" s="540"/>
      <c r="CU961" s="540"/>
      <c r="CV961" s="540"/>
      <c r="CW961" s="540"/>
      <c r="CX961" s="540"/>
      <c r="CY961" s="540"/>
      <c r="CZ961" s="540"/>
      <c r="DA961" s="540"/>
      <c r="DB961" s="540"/>
      <c r="DC961" s="540"/>
      <c r="DD961" s="540"/>
      <c r="DE961" s="540"/>
    </row>
    <row r="962" spans="1:109" s="116" customFormat="1" x14ac:dyDescent="0.2">
      <c r="A962" s="435"/>
      <c r="B962" s="435"/>
      <c r="C962" s="435"/>
      <c r="D962" s="435"/>
      <c r="AB962" s="540"/>
      <c r="AU962" s="540"/>
      <c r="AV962" s="540"/>
      <c r="AW962" s="540"/>
      <c r="AX962" s="540"/>
      <c r="AY962" s="540"/>
      <c r="AZ962" s="540"/>
      <c r="BA962" s="540"/>
      <c r="BB962" s="540"/>
      <c r="BC962" s="540"/>
      <c r="BD962" s="540"/>
      <c r="BE962" s="540"/>
      <c r="BF962" s="540"/>
      <c r="BG962" s="540"/>
      <c r="BH962" s="540"/>
      <c r="BI962" s="540"/>
      <c r="BJ962" s="540"/>
      <c r="BK962" s="540"/>
      <c r="BL962" s="540"/>
      <c r="BM962" s="540"/>
      <c r="BN962" s="540"/>
      <c r="BO962" s="540"/>
      <c r="BP962" s="540"/>
      <c r="BQ962" s="540"/>
      <c r="BR962" s="540"/>
      <c r="BS962" s="540"/>
      <c r="BT962" s="540"/>
      <c r="BU962" s="540"/>
      <c r="BV962" s="540"/>
      <c r="BW962" s="540"/>
      <c r="BX962" s="540"/>
      <c r="BY962" s="540"/>
      <c r="BZ962" s="540"/>
      <c r="CA962" s="540"/>
      <c r="CB962" s="540"/>
      <c r="CC962" s="540"/>
      <c r="CD962" s="540"/>
      <c r="CE962" s="540"/>
      <c r="CF962" s="540"/>
      <c r="CG962" s="540"/>
      <c r="CH962" s="540"/>
      <c r="CI962" s="540"/>
      <c r="CJ962" s="540"/>
      <c r="CK962" s="540"/>
      <c r="CL962" s="540"/>
      <c r="CM962" s="540"/>
      <c r="CN962" s="540"/>
      <c r="CO962" s="540"/>
      <c r="CP962" s="540"/>
      <c r="CQ962" s="540"/>
      <c r="CR962" s="540"/>
      <c r="CS962" s="540"/>
      <c r="CT962" s="540"/>
      <c r="CU962" s="540"/>
      <c r="CV962" s="540"/>
      <c r="CW962" s="540"/>
      <c r="CX962" s="540"/>
      <c r="CY962" s="540"/>
      <c r="CZ962" s="540"/>
      <c r="DA962" s="540"/>
      <c r="DB962" s="540"/>
      <c r="DC962" s="540"/>
      <c r="DD962" s="540"/>
      <c r="DE962" s="540"/>
    </row>
    <row r="963" spans="1:109" s="116" customFormat="1" x14ac:dyDescent="0.2">
      <c r="A963" s="435"/>
      <c r="B963" s="435"/>
      <c r="C963" s="435"/>
      <c r="D963" s="435"/>
      <c r="AB963" s="540"/>
      <c r="AU963" s="540"/>
      <c r="AV963" s="540"/>
      <c r="AW963" s="540"/>
      <c r="AX963" s="540"/>
      <c r="AY963" s="540"/>
      <c r="AZ963" s="540"/>
      <c r="BA963" s="540"/>
      <c r="BB963" s="540"/>
      <c r="BC963" s="540"/>
      <c r="BD963" s="540"/>
      <c r="BE963" s="540"/>
      <c r="BF963" s="540"/>
      <c r="BG963" s="540"/>
      <c r="BH963" s="540"/>
      <c r="BI963" s="540"/>
      <c r="BJ963" s="540"/>
      <c r="BK963" s="540"/>
      <c r="BL963" s="540"/>
      <c r="BM963" s="540"/>
      <c r="BN963" s="540"/>
      <c r="BO963" s="540"/>
      <c r="BP963" s="540"/>
      <c r="BQ963" s="540"/>
      <c r="BR963" s="540"/>
      <c r="BS963" s="540"/>
      <c r="BT963" s="540"/>
      <c r="BU963" s="540"/>
      <c r="BV963" s="540"/>
      <c r="BW963" s="540"/>
      <c r="BX963" s="540"/>
      <c r="BY963" s="540"/>
      <c r="BZ963" s="540"/>
      <c r="CA963" s="540"/>
      <c r="CB963" s="540"/>
      <c r="CC963" s="540"/>
      <c r="CD963" s="540"/>
      <c r="CE963" s="540"/>
      <c r="CF963" s="540"/>
      <c r="CG963" s="540"/>
      <c r="CH963" s="540"/>
      <c r="CI963" s="540"/>
      <c r="CJ963" s="540"/>
      <c r="CK963" s="540"/>
      <c r="CL963" s="540"/>
      <c r="CM963" s="540"/>
      <c r="CN963" s="540"/>
      <c r="CO963" s="540"/>
      <c r="CP963" s="540"/>
      <c r="CQ963" s="540"/>
      <c r="CR963" s="540"/>
      <c r="CS963" s="540"/>
      <c r="CT963" s="540"/>
      <c r="CU963" s="540"/>
      <c r="CV963" s="540"/>
      <c r="CW963" s="540"/>
      <c r="CX963" s="540"/>
      <c r="CY963" s="540"/>
      <c r="CZ963" s="540"/>
      <c r="DA963" s="540"/>
      <c r="DB963" s="540"/>
      <c r="DC963" s="540"/>
      <c r="DD963" s="540"/>
      <c r="DE963" s="540"/>
    </row>
    <row r="964" spans="1:109" s="116" customFormat="1" x14ac:dyDescent="0.2">
      <c r="A964" s="435"/>
      <c r="B964" s="435"/>
      <c r="C964" s="435"/>
      <c r="D964" s="435"/>
      <c r="AB964" s="540"/>
      <c r="AU964" s="540"/>
      <c r="AV964" s="540"/>
      <c r="AW964" s="540"/>
      <c r="AX964" s="540"/>
      <c r="AY964" s="540"/>
      <c r="AZ964" s="540"/>
      <c r="BA964" s="540"/>
      <c r="BB964" s="540"/>
      <c r="BC964" s="540"/>
      <c r="BD964" s="540"/>
      <c r="BE964" s="540"/>
      <c r="BF964" s="540"/>
      <c r="BG964" s="540"/>
      <c r="BH964" s="540"/>
      <c r="BI964" s="540"/>
      <c r="BJ964" s="540"/>
      <c r="BK964" s="540"/>
      <c r="BL964" s="540"/>
      <c r="BM964" s="540"/>
      <c r="BN964" s="540"/>
      <c r="BO964" s="540"/>
      <c r="BP964" s="540"/>
      <c r="BQ964" s="540"/>
      <c r="BR964" s="540"/>
      <c r="BS964" s="540"/>
      <c r="BT964" s="540"/>
      <c r="BU964" s="540"/>
      <c r="BV964" s="540"/>
      <c r="BW964" s="540"/>
      <c r="BX964" s="540"/>
      <c r="BY964" s="540"/>
      <c r="BZ964" s="540"/>
      <c r="CA964" s="540"/>
      <c r="CB964" s="540"/>
      <c r="CC964" s="540"/>
      <c r="CD964" s="540"/>
      <c r="CE964" s="540"/>
      <c r="CF964" s="540"/>
      <c r="CG964" s="540"/>
      <c r="CH964" s="540"/>
      <c r="CI964" s="540"/>
      <c r="CJ964" s="540"/>
      <c r="CK964" s="540"/>
      <c r="CL964" s="540"/>
      <c r="CM964" s="540"/>
      <c r="CN964" s="540"/>
      <c r="CO964" s="540"/>
      <c r="CP964" s="540"/>
      <c r="CQ964" s="540"/>
      <c r="CR964" s="540"/>
      <c r="CS964" s="540"/>
      <c r="CT964" s="540"/>
      <c r="CU964" s="540"/>
      <c r="CV964" s="540"/>
      <c r="CW964" s="540"/>
      <c r="CX964" s="540"/>
      <c r="CY964" s="540"/>
      <c r="CZ964" s="540"/>
      <c r="DA964" s="540"/>
      <c r="DB964" s="540"/>
      <c r="DC964" s="540"/>
      <c r="DD964" s="540"/>
      <c r="DE964" s="540"/>
    </row>
    <row r="965" spans="1:109" s="116" customFormat="1" x14ac:dyDescent="0.2">
      <c r="A965" s="435"/>
      <c r="B965" s="435"/>
      <c r="C965" s="435"/>
      <c r="D965" s="435"/>
      <c r="AB965" s="540"/>
      <c r="AU965" s="540"/>
      <c r="AV965" s="540"/>
      <c r="AW965" s="540"/>
      <c r="AX965" s="540"/>
      <c r="AY965" s="540"/>
      <c r="AZ965" s="540"/>
      <c r="BA965" s="540"/>
      <c r="BB965" s="540"/>
      <c r="BC965" s="540"/>
      <c r="BD965" s="540"/>
      <c r="BE965" s="540"/>
      <c r="BF965" s="540"/>
      <c r="BG965" s="540"/>
      <c r="BH965" s="540"/>
      <c r="BI965" s="540"/>
      <c r="BJ965" s="540"/>
      <c r="BK965" s="540"/>
      <c r="BL965" s="540"/>
      <c r="BM965" s="540"/>
      <c r="BN965" s="540"/>
      <c r="BO965" s="540"/>
      <c r="BP965" s="540"/>
      <c r="BQ965" s="540"/>
      <c r="BR965" s="540"/>
      <c r="BS965" s="540"/>
      <c r="BT965" s="540"/>
      <c r="BU965" s="540"/>
      <c r="BV965" s="540"/>
      <c r="BW965" s="540"/>
      <c r="BX965" s="540"/>
      <c r="BY965" s="540"/>
      <c r="BZ965" s="540"/>
      <c r="CA965" s="540"/>
      <c r="CB965" s="540"/>
      <c r="CC965" s="540"/>
      <c r="CD965" s="540"/>
      <c r="CE965" s="540"/>
      <c r="CF965" s="540"/>
      <c r="CG965" s="540"/>
      <c r="CH965" s="540"/>
      <c r="CI965" s="540"/>
      <c r="CJ965" s="540"/>
      <c r="CK965" s="540"/>
      <c r="CL965" s="540"/>
      <c r="CM965" s="540"/>
      <c r="CN965" s="540"/>
      <c r="CO965" s="540"/>
      <c r="CP965" s="540"/>
      <c r="CQ965" s="540"/>
      <c r="CR965" s="540"/>
      <c r="CS965" s="540"/>
      <c r="CT965" s="540"/>
      <c r="CU965" s="540"/>
      <c r="CV965" s="540"/>
      <c r="CW965" s="540"/>
      <c r="CX965" s="540"/>
      <c r="CY965" s="540"/>
      <c r="CZ965" s="540"/>
      <c r="DA965" s="540"/>
      <c r="DB965" s="540"/>
      <c r="DC965" s="540"/>
      <c r="DD965" s="540"/>
      <c r="DE965" s="540"/>
    </row>
    <row r="966" spans="1:109" s="116" customFormat="1" x14ac:dyDescent="0.2">
      <c r="A966" s="435"/>
      <c r="B966" s="435"/>
      <c r="C966" s="435"/>
      <c r="D966" s="435"/>
      <c r="AB966" s="540"/>
      <c r="AU966" s="540"/>
      <c r="AV966" s="540"/>
      <c r="AW966" s="540"/>
      <c r="AX966" s="540"/>
      <c r="AY966" s="540"/>
      <c r="AZ966" s="540"/>
      <c r="BA966" s="540"/>
      <c r="BB966" s="540"/>
      <c r="BC966" s="540"/>
      <c r="BD966" s="540"/>
      <c r="BE966" s="540"/>
      <c r="BF966" s="540"/>
      <c r="BG966" s="540"/>
      <c r="BH966" s="540"/>
      <c r="BI966" s="540"/>
      <c r="BJ966" s="540"/>
      <c r="BK966" s="540"/>
      <c r="BL966" s="540"/>
      <c r="BM966" s="540"/>
      <c r="BN966" s="540"/>
      <c r="BO966" s="540"/>
      <c r="BP966" s="540"/>
      <c r="BQ966" s="540"/>
      <c r="BR966" s="540"/>
      <c r="BS966" s="540"/>
      <c r="BT966" s="540"/>
      <c r="BU966" s="540"/>
      <c r="BV966" s="540"/>
      <c r="BW966" s="540"/>
      <c r="BX966" s="540"/>
      <c r="BY966" s="540"/>
      <c r="BZ966" s="540"/>
      <c r="CA966" s="540"/>
      <c r="CB966" s="540"/>
      <c r="CC966" s="540"/>
      <c r="CD966" s="540"/>
      <c r="CE966" s="540"/>
      <c r="CF966" s="540"/>
      <c r="CG966" s="540"/>
      <c r="CH966" s="540"/>
      <c r="CI966" s="540"/>
      <c r="CJ966" s="540"/>
      <c r="CK966" s="540"/>
      <c r="CL966" s="540"/>
      <c r="CM966" s="540"/>
      <c r="CN966" s="540"/>
      <c r="CO966" s="540"/>
      <c r="CP966" s="540"/>
      <c r="CQ966" s="540"/>
      <c r="CR966" s="540"/>
      <c r="CS966" s="540"/>
      <c r="CT966" s="540"/>
      <c r="CU966" s="540"/>
      <c r="CV966" s="540"/>
      <c r="CW966" s="540"/>
      <c r="CX966" s="540"/>
      <c r="CY966" s="540"/>
      <c r="CZ966" s="540"/>
      <c r="DA966" s="540"/>
      <c r="DB966" s="540"/>
      <c r="DC966" s="540"/>
      <c r="DD966" s="540"/>
      <c r="DE966" s="540"/>
    </row>
    <row r="967" spans="1:109" s="116" customFormat="1" x14ac:dyDescent="0.2">
      <c r="A967" s="435"/>
      <c r="B967" s="435"/>
      <c r="C967" s="435"/>
      <c r="D967" s="435"/>
      <c r="AB967" s="540"/>
      <c r="AU967" s="540"/>
      <c r="AV967" s="540"/>
      <c r="AW967" s="540"/>
      <c r="AX967" s="540"/>
      <c r="AY967" s="540"/>
      <c r="AZ967" s="540"/>
      <c r="BA967" s="540"/>
      <c r="BB967" s="540"/>
      <c r="BC967" s="540"/>
      <c r="BD967" s="540"/>
      <c r="BE967" s="540"/>
      <c r="BF967" s="540"/>
      <c r="BG967" s="540"/>
      <c r="BH967" s="540"/>
      <c r="BI967" s="540"/>
      <c r="BJ967" s="540"/>
      <c r="BK967" s="540"/>
      <c r="BL967" s="540"/>
      <c r="BM967" s="540"/>
      <c r="BN967" s="540"/>
      <c r="BO967" s="540"/>
      <c r="BP967" s="540"/>
      <c r="BQ967" s="540"/>
      <c r="BR967" s="540"/>
      <c r="BS967" s="540"/>
      <c r="BT967" s="540"/>
      <c r="BU967" s="540"/>
      <c r="BV967" s="540"/>
      <c r="BW967" s="540"/>
      <c r="BX967" s="540"/>
      <c r="BY967" s="540"/>
      <c r="BZ967" s="540"/>
      <c r="CA967" s="540"/>
      <c r="CB967" s="540"/>
      <c r="CC967" s="540"/>
      <c r="CD967" s="540"/>
      <c r="CE967" s="540"/>
      <c r="CF967" s="540"/>
      <c r="CG967" s="540"/>
      <c r="CH967" s="540"/>
      <c r="CI967" s="540"/>
      <c r="CJ967" s="540"/>
      <c r="CK967" s="540"/>
      <c r="CL967" s="540"/>
      <c r="CM967" s="540"/>
      <c r="CN967" s="540"/>
      <c r="CO967" s="540"/>
      <c r="CP967" s="540"/>
      <c r="CQ967" s="540"/>
      <c r="CR967" s="540"/>
      <c r="CS967" s="540"/>
      <c r="CT967" s="540"/>
      <c r="CU967" s="540"/>
      <c r="CV967" s="540"/>
      <c r="CW967" s="540"/>
      <c r="CX967" s="540"/>
      <c r="CY967" s="540"/>
      <c r="CZ967" s="540"/>
      <c r="DA967" s="540"/>
      <c r="DB967" s="540"/>
      <c r="DC967" s="540"/>
      <c r="DD967" s="540"/>
      <c r="DE967" s="540"/>
    </row>
    <row r="968" spans="1:109" s="116" customFormat="1" x14ac:dyDescent="0.2">
      <c r="A968" s="435"/>
      <c r="B968" s="435"/>
      <c r="C968" s="435"/>
      <c r="D968" s="435"/>
      <c r="AB968" s="540"/>
      <c r="AU968" s="540"/>
      <c r="AV968" s="540"/>
      <c r="AW968" s="540"/>
      <c r="AX968" s="540"/>
      <c r="AY968" s="540"/>
      <c r="AZ968" s="540"/>
      <c r="BA968" s="540"/>
      <c r="BB968" s="540"/>
      <c r="BC968" s="540"/>
      <c r="BD968" s="540"/>
      <c r="BE968" s="540"/>
      <c r="BF968" s="540"/>
      <c r="BG968" s="540"/>
      <c r="BH968" s="540"/>
      <c r="BI968" s="540"/>
      <c r="BJ968" s="540"/>
      <c r="BK968" s="540"/>
      <c r="BL968" s="540"/>
      <c r="BM968" s="540"/>
      <c r="BN968" s="540"/>
      <c r="BO968" s="540"/>
      <c r="BP968" s="540"/>
      <c r="BQ968" s="540"/>
      <c r="BR968" s="540"/>
      <c r="BS968" s="540"/>
      <c r="BT968" s="540"/>
      <c r="BU968" s="540"/>
      <c r="BV968" s="540"/>
      <c r="BW968" s="540"/>
      <c r="BX968" s="540"/>
      <c r="BY968" s="540"/>
      <c r="BZ968" s="540"/>
      <c r="CA968" s="540"/>
      <c r="CB968" s="540"/>
      <c r="CC968" s="540"/>
      <c r="CD968" s="540"/>
      <c r="CE968" s="540"/>
      <c r="CF968" s="540"/>
      <c r="CG968" s="540"/>
      <c r="CH968" s="540"/>
      <c r="CI968" s="540"/>
      <c r="CJ968" s="540"/>
      <c r="CK968" s="540"/>
      <c r="CL968" s="540"/>
      <c r="CM968" s="540"/>
      <c r="CN968" s="540"/>
      <c r="CO968" s="540"/>
      <c r="CP968" s="540"/>
      <c r="CQ968" s="540"/>
      <c r="CR968" s="540"/>
      <c r="CS968" s="540"/>
      <c r="CT968" s="540"/>
      <c r="CU968" s="540"/>
      <c r="CV968" s="540"/>
      <c r="CW968" s="540"/>
      <c r="CX968" s="540"/>
      <c r="CY968" s="540"/>
      <c r="CZ968" s="540"/>
      <c r="DA968" s="540"/>
      <c r="DB968" s="540"/>
      <c r="DC968" s="540"/>
      <c r="DD968" s="540"/>
      <c r="DE968" s="540"/>
    </row>
    <row r="969" spans="1:109" s="116" customFormat="1" x14ac:dyDescent="0.2">
      <c r="A969" s="435"/>
      <c r="B969" s="435"/>
      <c r="C969" s="435"/>
      <c r="D969" s="435"/>
      <c r="AB969" s="540"/>
      <c r="AU969" s="540"/>
      <c r="AV969" s="540"/>
      <c r="AW969" s="540"/>
      <c r="AX969" s="540"/>
      <c r="AY969" s="540"/>
      <c r="AZ969" s="540"/>
      <c r="BA969" s="540"/>
      <c r="BB969" s="540"/>
      <c r="BC969" s="540"/>
      <c r="BD969" s="540"/>
      <c r="BE969" s="540"/>
      <c r="BF969" s="540"/>
      <c r="BG969" s="540"/>
      <c r="BH969" s="540"/>
      <c r="BI969" s="540"/>
      <c r="BJ969" s="540"/>
      <c r="BK969" s="540"/>
      <c r="BL969" s="540"/>
      <c r="BM969" s="540"/>
      <c r="BN969" s="540"/>
      <c r="BO969" s="540"/>
      <c r="BP969" s="540"/>
      <c r="BQ969" s="540"/>
      <c r="BR969" s="540"/>
      <c r="BS969" s="540"/>
      <c r="BT969" s="540"/>
      <c r="BU969" s="540"/>
      <c r="BV969" s="540"/>
      <c r="BW969" s="540"/>
      <c r="BX969" s="540"/>
      <c r="BY969" s="540"/>
      <c r="BZ969" s="540"/>
      <c r="CA969" s="540"/>
      <c r="CB969" s="540"/>
      <c r="CC969" s="540"/>
      <c r="CD969" s="540"/>
      <c r="CE969" s="540"/>
      <c r="CF969" s="540"/>
      <c r="CG969" s="540"/>
      <c r="CH969" s="540"/>
      <c r="CI969" s="540"/>
      <c r="CJ969" s="540"/>
      <c r="CK969" s="540"/>
      <c r="CL969" s="540"/>
      <c r="CM969" s="540"/>
      <c r="CN969" s="540"/>
      <c r="CO969" s="540"/>
      <c r="CP969" s="540"/>
      <c r="CQ969" s="540"/>
      <c r="CR969" s="540"/>
      <c r="CS969" s="540"/>
      <c r="CT969" s="540"/>
      <c r="CU969" s="540"/>
      <c r="CV969" s="540"/>
      <c r="CW969" s="540"/>
      <c r="CX969" s="540"/>
      <c r="CY969" s="540"/>
      <c r="CZ969" s="540"/>
      <c r="DA969" s="540"/>
      <c r="DB969" s="540"/>
      <c r="DC969" s="540"/>
      <c r="DD969" s="540"/>
      <c r="DE969" s="540"/>
    </row>
    <row r="970" spans="1:109" s="116" customFormat="1" x14ac:dyDescent="0.2">
      <c r="A970" s="435"/>
      <c r="B970" s="435"/>
      <c r="C970" s="435"/>
      <c r="D970" s="435"/>
      <c r="AB970" s="540"/>
      <c r="AU970" s="540"/>
      <c r="AV970" s="540"/>
      <c r="AW970" s="540"/>
      <c r="AX970" s="540"/>
      <c r="AY970" s="540"/>
      <c r="AZ970" s="540"/>
      <c r="BA970" s="540"/>
      <c r="BB970" s="540"/>
      <c r="BC970" s="540"/>
      <c r="BD970" s="540"/>
      <c r="BE970" s="540"/>
      <c r="BF970" s="540"/>
      <c r="BG970" s="540"/>
      <c r="BH970" s="540"/>
      <c r="BI970" s="540"/>
      <c r="BJ970" s="540"/>
      <c r="BK970" s="540"/>
      <c r="BL970" s="540"/>
      <c r="BM970" s="540"/>
      <c r="BN970" s="540"/>
      <c r="BO970" s="540"/>
      <c r="BP970" s="540"/>
      <c r="BQ970" s="540"/>
      <c r="BR970" s="540"/>
      <c r="BS970" s="540"/>
      <c r="BT970" s="540"/>
      <c r="BU970" s="540"/>
      <c r="BV970" s="540"/>
      <c r="BW970" s="540"/>
      <c r="BX970" s="540"/>
      <c r="BY970" s="540"/>
      <c r="BZ970" s="540"/>
      <c r="CA970" s="540"/>
      <c r="CB970" s="540"/>
      <c r="CC970" s="540"/>
      <c r="CD970" s="540"/>
      <c r="CE970" s="540"/>
      <c r="CF970" s="540"/>
      <c r="CG970" s="540"/>
      <c r="CH970" s="540"/>
      <c r="CI970" s="540"/>
      <c r="CJ970" s="540"/>
      <c r="CK970" s="540"/>
      <c r="CL970" s="540"/>
      <c r="CM970" s="540"/>
      <c r="CN970" s="540"/>
      <c r="CO970" s="540"/>
      <c r="CP970" s="540"/>
      <c r="CQ970" s="540"/>
      <c r="CR970" s="540"/>
      <c r="CS970" s="540"/>
      <c r="CT970" s="540"/>
      <c r="CU970" s="540"/>
      <c r="CV970" s="540"/>
      <c r="CW970" s="540"/>
      <c r="CX970" s="540"/>
      <c r="CY970" s="540"/>
      <c r="CZ970" s="540"/>
      <c r="DA970" s="540"/>
      <c r="DB970" s="540"/>
      <c r="DC970" s="540"/>
      <c r="DD970" s="540"/>
      <c r="DE970" s="540"/>
    </row>
    <row r="971" spans="1:109" s="116" customFormat="1" x14ac:dyDescent="0.2">
      <c r="A971" s="435"/>
      <c r="B971" s="435"/>
      <c r="C971" s="435"/>
      <c r="D971" s="435"/>
      <c r="AB971" s="540"/>
      <c r="AU971" s="540"/>
      <c r="AV971" s="540"/>
      <c r="AW971" s="540"/>
      <c r="AX971" s="540"/>
      <c r="AY971" s="540"/>
      <c r="AZ971" s="540"/>
      <c r="BA971" s="540"/>
      <c r="BB971" s="540"/>
      <c r="BC971" s="540"/>
      <c r="BD971" s="540"/>
      <c r="BE971" s="540"/>
      <c r="BF971" s="540"/>
      <c r="BG971" s="540"/>
      <c r="BH971" s="540"/>
      <c r="BI971" s="540"/>
      <c r="BJ971" s="540"/>
      <c r="BK971" s="540"/>
      <c r="BL971" s="540"/>
      <c r="BM971" s="540"/>
      <c r="BN971" s="540"/>
      <c r="BO971" s="540"/>
      <c r="BP971" s="540"/>
      <c r="BQ971" s="540"/>
      <c r="BR971" s="540"/>
      <c r="BS971" s="540"/>
      <c r="BT971" s="540"/>
      <c r="BU971" s="540"/>
      <c r="BV971" s="540"/>
      <c r="BW971" s="540"/>
      <c r="BX971" s="540"/>
      <c r="BY971" s="540"/>
      <c r="BZ971" s="540"/>
      <c r="CA971" s="540"/>
      <c r="CB971" s="540"/>
      <c r="CC971" s="540"/>
      <c r="CD971" s="540"/>
      <c r="CE971" s="540"/>
      <c r="CF971" s="540"/>
      <c r="CG971" s="540"/>
      <c r="CH971" s="540"/>
      <c r="CI971" s="540"/>
      <c r="CJ971" s="540"/>
      <c r="CK971" s="540"/>
      <c r="CL971" s="540"/>
      <c r="CM971" s="540"/>
      <c r="CN971" s="540"/>
      <c r="CO971" s="540"/>
      <c r="CP971" s="540"/>
      <c r="CQ971" s="540"/>
      <c r="CR971" s="540"/>
      <c r="CS971" s="540"/>
      <c r="CT971" s="540"/>
      <c r="CU971" s="540"/>
      <c r="CV971" s="540"/>
      <c r="CW971" s="540"/>
      <c r="CX971" s="540"/>
      <c r="CY971" s="540"/>
      <c r="CZ971" s="540"/>
      <c r="DA971" s="540"/>
      <c r="DB971" s="540"/>
      <c r="DC971" s="540"/>
      <c r="DD971" s="540"/>
      <c r="DE971" s="540"/>
    </row>
    <row r="972" spans="1:109" s="116" customFormat="1" x14ac:dyDescent="0.2">
      <c r="A972" s="435"/>
      <c r="B972" s="435"/>
      <c r="C972" s="435"/>
      <c r="D972" s="435"/>
      <c r="AB972" s="540"/>
      <c r="AU972" s="540"/>
      <c r="AV972" s="540"/>
      <c r="AW972" s="540"/>
      <c r="AX972" s="540"/>
      <c r="AY972" s="540"/>
      <c r="AZ972" s="540"/>
      <c r="BA972" s="540"/>
      <c r="BB972" s="540"/>
      <c r="BC972" s="540"/>
      <c r="BD972" s="540"/>
      <c r="BE972" s="540"/>
      <c r="BF972" s="540"/>
      <c r="BG972" s="540"/>
      <c r="BH972" s="540"/>
      <c r="BI972" s="540"/>
      <c r="BJ972" s="540"/>
      <c r="BK972" s="540"/>
      <c r="BL972" s="540"/>
      <c r="BM972" s="540"/>
      <c r="BN972" s="540"/>
      <c r="BO972" s="540"/>
      <c r="BP972" s="540"/>
      <c r="BQ972" s="540"/>
      <c r="BR972" s="540"/>
      <c r="BS972" s="540"/>
      <c r="BT972" s="540"/>
      <c r="BU972" s="540"/>
      <c r="BV972" s="540"/>
      <c r="BW972" s="540"/>
      <c r="BX972" s="540"/>
      <c r="BY972" s="540"/>
      <c r="BZ972" s="540"/>
      <c r="CA972" s="540"/>
      <c r="CB972" s="540"/>
      <c r="CC972" s="540"/>
      <c r="CD972" s="540"/>
      <c r="CE972" s="540"/>
      <c r="CF972" s="540"/>
      <c r="CG972" s="540"/>
      <c r="CH972" s="540"/>
      <c r="CI972" s="540"/>
      <c r="CJ972" s="540"/>
      <c r="CK972" s="540"/>
      <c r="CL972" s="540"/>
      <c r="CM972" s="540"/>
      <c r="CN972" s="540"/>
      <c r="CO972" s="540"/>
      <c r="CP972" s="540"/>
      <c r="CQ972" s="540"/>
      <c r="CR972" s="540"/>
      <c r="CS972" s="540"/>
      <c r="CT972" s="540"/>
      <c r="CU972" s="540"/>
      <c r="CV972" s="540"/>
      <c r="CW972" s="540"/>
      <c r="CX972" s="540"/>
      <c r="CY972" s="540"/>
      <c r="CZ972" s="540"/>
      <c r="DA972" s="540"/>
      <c r="DB972" s="540"/>
      <c r="DC972" s="540"/>
      <c r="DD972" s="540"/>
      <c r="DE972" s="540"/>
    </row>
    <row r="973" spans="1:109" s="116" customFormat="1" x14ac:dyDescent="0.2">
      <c r="A973" s="435"/>
      <c r="B973" s="435"/>
      <c r="C973" s="435"/>
      <c r="D973" s="435"/>
      <c r="AB973" s="540"/>
      <c r="AU973" s="540"/>
      <c r="AV973" s="540"/>
      <c r="AW973" s="540"/>
      <c r="AX973" s="540"/>
      <c r="AY973" s="540"/>
      <c r="AZ973" s="540"/>
      <c r="BA973" s="540"/>
      <c r="BB973" s="540"/>
      <c r="BC973" s="540"/>
      <c r="BD973" s="540"/>
      <c r="BE973" s="540"/>
      <c r="BF973" s="540"/>
      <c r="BG973" s="540"/>
      <c r="BH973" s="540"/>
      <c r="BI973" s="540"/>
      <c r="BJ973" s="540"/>
      <c r="BK973" s="540"/>
      <c r="BL973" s="540"/>
      <c r="BM973" s="540"/>
      <c r="BN973" s="540"/>
      <c r="BO973" s="540"/>
      <c r="BP973" s="540"/>
      <c r="BQ973" s="540"/>
      <c r="BR973" s="540"/>
      <c r="BS973" s="540"/>
      <c r="BT973" s="540"/>
      <c r="BU973" s="540"/>
      <c r="BV973" s="540"/>
      <c r="BW973" s="540"/>
      <c r="BX973" s="540"/>
      <c r="BY973" s="540"/>
      <c r="BZ973" s="540"/>
      <c r="CA973" s="540"/>
      <c r="CB973" s="540"/>
      <c r="CC973" s="540"/>
      <c r="CD973" s="540"/>
      <c r="CE973" s="540"/>
      <c r="CF973" s="540"/>
      <c r="CG973" s="540"/>
      <c r="CH973" s="540"/>
      <c r="CI973" s="540"/>
      <c r="CJ973" s="540"/>
      <c r="CK973" s="540"/>
      <c r="CL973" s="540"/>
      <c r="CM973" s="540"/>
      <c r="CN973" s="540"/>
      <c r="CO973" s="540"/>
      <c r="CP973" s="540"/>
      <c r="CQ973" s="540"/>
      <c r="CR973" s="540"/>
      <c r="CS973" s="540"/>
      <c r="CT973" s="540"/>
      <c r="CU973" s="540"/>
      <c r="CV973" s="540"/>
      <c r="CW973" s="540"/>
      <c r="CX973" s="540"/>
      <c r="CY973" s="540"/>
      <c r="CZ973" s="540"/>
      <c r="DA973" s="540"/>
      <c r="DB973" s="540"/>
      <c r="DC973" s="540"/>
      <c r="DD973" s="540"/>
      <c r="DE973" s="540"/>
    </row>
    <row r="974" spans="1:109" s="116" customFormat="1" x14ac:dyDescent="0.2">
      <c r="A974" s="435"/>
      <c r="B974" s="435"/>
      <c r="C974" s="435"/>
      <c r="D974" s="435"/>
      <c r="AB974" s="540"/>
      <c r="AU974" s="540"/>
      <c r="AV974" s="540"/>
      <c r="AW974" s="540"/>
      <c r="AX974" s="540"/>
      <c r="AY974" s="540"/>
      <c r="AZ974" s="540"/>
      <c r="BA974" s="540"/>
      <c r="BB974" s="540"/>
      <c r="BC974" s="540"/>
      <c r="BD974" s="540"/>
      <c r="BE974" s="540"/>
      <c r="BF974" s="540"/>
      <c r="BG974" s="540"/>
      <c r="BH974" s="540"/>
      <c r="BI974" s="540"/>
      <c r="BJ974" s="540"/>
      <c r="BK974" s="540"/>
      <c r="BL974" s="540"/>
      <c r="BM974" s="540"/>
      <c r="BN974" s="540"/>
      <c r="BO974" s="540"/>
      <c r="BP974" s="540"/>
      <c r="BQ974" s="540"/>
      <c r="BR974" s="540"/>
      <c r="BS974" s="540"/>
      <c r="BT974" s="540"/>
      <c r="BU974" s="540"/>
      <c r="BV974" s="540"/>
      <c r="BW974" s="540"/>
      <c r="BX974" s="540"/>
      <c r="BY974" s="540"/>
      <c r="BZ974" s="540"/>
      <c r="CA974" s="540"/>
      <c r="CB974" s="540"/>
      <c r="CC974" s="540"/>
      <c r="CD974" s="540"/>
      <c r="CE974" s="540"/>
      <c r="CF974" s="540"/>
      <c r="CG974" s="540"/>
      <c r="CH974" s="540"/>
      <c r="CI974" s="540"/>
      <c r="CJ974" s="540"/>
      <c r="CK974" s="540"/>
      <c r="CL974" s="540"/>
      <c r="CM974" s="540"/>
      <c r="CN974" s="540"/>
      <c r="CO974" s="540"/>
      <c r="CP974" s="540"/>
      <c r="CQ974" s="540"/>
      <c r="CR974" s="540"/>
      <c r="CS974" s="540"/>
      <c r="CT974" s="540"/>
      <c r="CU974" s="540"/>
      <c r="CV974" s="540"/>
      <c r="CW974" s="540"/>
      <c r="CX974" s="540"/>
      <c r="CY974" s="540"/>
      <c r="CZ974" s="540"/>
      <c r="DA974" s="540"/>
      <c r="DB974" s="540"/>
      <c r="DC974" s="540"/>
      <c r="DD974" s="540"/>
      <c r="DE974" s="540"/>
    </row>
    <row r="975" spans="1:109" s="116" customFormat="1" x14ac:dyDescent="0.2">
      <c r="A975" s="435"/>
      <c r="B975" s="435"/>
      <c r="C975" s="435"/>
      <c r="D975" s="435"/>
      <c r="AB975" s="540"/>
      <c r="AU975" s="540"/>
      <c r="AV975" s="540"/>
      <c r="AW975" s="540"/>
      <c r="AX975" s="540"/>
      <c r="AY975" s="540"/>
      <c r="AZ975" s="540"/>
      <c r="BA975" s="540"/>
      <c r="BB975" s="540"/>
      <c r="BC975" s="540"/>
      <c r="BD975" s="540"/>
      <c r="BE975" s="540"/>
      <c r="BF975" s="540"/>
      <c r="BG975" s="540"/>
      <c r="BH975" s="540"/>
      <c r="BI975" s="540"/>
      <c r="BJ975" s="540"/>
      <c r="BK975" s="540"/>
      <c r="BL975" s="540"/>
      <c r="BM975" s="540"/>
      <c r="BN975" s="540"/>
      <c r="BO975" s="540"/>
      <c r="BP975" s="540"/>
      <c r="BQ975" s="540"/>
      <c r="BR975" s="540"/>
      <c r="BS975" s="540"/>
      <c r="BT975" s="540"/>
      <c r="BU975" s="540"/>
      <c r="BV975" s="540"/>
      <c r="BW975" s="540"/>
      <c r="BX975" s="540"/>
      <c r="BY975" s="540"/>
      <c r="BZ975" s="540"/>
      <c r="CA975" s="540"/>
      <c r="CB975" s="540"/>
      <c r="CC975" s="540"/>
      <c r="CD975" s="540"/>
      <c r="CE975" s="540"/>
      <c r="CF975" s="540"/>
      <c r="CG975" s="540"/>
      <c r="CH975" s="540"/>
      <c r="CI975" s="540"/>
      <c r="CJ975" s="540"/>
      <c r="CK975" s="540"/>
      <c r="CL975" s="540"/>
      <c r="CM975" s="540"/>
      <c r="CN975" s="540"/>
      <c r="CO975" s="540"/>
      <c r="CP975" s="540"/>
      <c r="CQ975" s="540"/>
      <c r="CR975" s="540"/>
      <c r="CS975" s="540"/>
      <c r="CT975" s="540"/>
      <c r="CU975" s="540"/>
      <c r="CV975" s="540"/>
      <c r="CW975" s="540"/>
      <c r="CX975" s="540"/>
      <c r="CY975" s="540"/>
      <c r="CZ975" s="540"/>
      <c r="DA975" s="540"/>
      <c r="DB975" s="540"/>
      <c r="DC975" s="540"/>
      <c r="DD975" s="540"/>
      <c r="DE975" s="540"/>
    </row>
    <row r="976" spans="1:109" s="116" customFormat="1" x14ac:dyDescent="0.2">
      <c r="A976" s="435"/>
      <c r="B976" s="435"/>
      <c r="C976" s="435"/>
      <c r="D976" s="435"/>
      <c r="AB976" s="540"/>
      <c r="AU976" s="540"/>
      <c r="AV976" s="540"/>
      <c r="AW976" s="540"/>
      <c r="AX976" s="540"/>
      <c r="AY976" s="540"/>
      <c r="AZ976" s="540"/>
      <c r="BA976" s="540"/>
      <c r="BB976" s="540"/>
      <c r="BC976" s="540"/>
      <c r="BD976" s="540"/>
      <c r="BE976" s="540"/>
      <c r="BF976" s="540"/>
      <c r="BG976" s="540"/>
      <c r="BH976" s="540"/>
      <c r="BI976" s="540"/>
      <c r="BJ976" s="540"/>
      <c r="BK976" s="540"/>
      <c r="BL976" s="540"/>
      <c r="BM976" s="540"/>
      <c r="BN976" s="540"/>
      <c r="BO976" s="540"/>
      <c r="BP976" s="540"/>
      <c r="BQ976" s="540"/>
      <c r="BR976" s="540"/>
      <c r="BS976" s="540"/>
      <c r="BT976" s="540"/>
      <c r="BU976" s="540"/>
      <c r="BV976" s="540"/>
      <c r="BW976" s="540"/>
      <c r="BX976" s="540"/>
      <c r="BY976" s="540"/>
      <c r="BZ976" s="540"/>
      <c r="CA976" s="540"/>
      <c r="CB976" s="540"/>
      <c r="CC976" s="540"/>
      <c r="CD976" s="540"/>
      <c r="CE976" s="540"/>
      <c r="CF976" s="540"/>
      <c r="CG976" s="540"/>
      <c r="CH976" s="540"/>
      <c r="CI976" s="540"/>
      <c r="CJ976" s="540"/>
      <c r="CK976" s="540"/>
      <c r="CL976" s="540"/>
      <c r="CM976" s="540"/>
      <c r="CN976" s="540"/>
      <c r="CO976" s="540"/>
      <c r="CP976" s="540"/>
      <c r="CQ976" s="540"/>
      <c r="CR976" s="540"/>
      <c r="CS976" s="540"/>
      <c r="CT976" s="540"/>
      <c r="CU976" s="540"/>
      <c r="CV976" s="540"/>
      <c r="CW976" s="540"/>
      <c r="CX976" s="540"/>
      <c r="CY976" s="540"/>
      <c r="CZ976" s="540"/>
      <c r="DA976" s="540"/>
      <c r="DB976" s="540"/>
      <c r="DC976" s="540"/>
      <c r="DD976" s="540"/>
      <c r="DE976" s="540"/>
    </row>
    <row r="977" spans="1:109" s="116" customFormat="1" x14ac:dyDescent="0.2">
      <c r="A977" s="435"/>
      <c r="B977" s="435"/>
      <c r="C977" s="435"/>
      <c r="D977" s="435"/>
      <c r="AB977" s="540"/>
      <c r="AU977" s="540"/>
      <c r="AV977" s="540"/>
      <c r="AW977" s="540"/>
      <c r="AX977" s="540"/>
      <c r="AY977" s="540"/>
      <c r="AZ977" s="540"/>
      <c r="BA977" s="540"/>
      <c r="BB977" s="540"/>
      <c r="BC977" s="540"/>
      <c r="BD977" s="540"/>
      <c r="BE977" s="540"/>
      <c r="BF977" s="540"/>
      <c r="BG977" s="540"/>
      <c r="BH977" s="540"/>
      <c r="BI977" s="540"/>
      <c r="BJ977" s="540"/>
      <c r="BK977" s="540"/>
      <c r="BL977" s="540"/>
      <c r="BM977" s="540"/>
      <c r="BN977" s="540"/>
      <c r="BO977" s="540"/>
      <c r="BP977" s="540"/>
      <c r="BQ977" s="540"/>
      <c r="BR977" s="540"/>
      <c r="BS977" s="540"/>
      <c r="BT977" s="540"/>
      <c r="BU977" s="540"/>
      <c r="BV977" s="540"/>
      <c r="BW977" s="540"/>
      <c r="BX977" s="540"/>
      <c r="BY977" s="540"/>
      <c r="BZ977" s="540"/>
      <c r="CA977" s="540"/>
      <c r="CB977" s="540"/>
      <c r="CC977" s="540"/>
      <c r="CD977" s="540"/>
      <c r="CE977" s="540"/>
      <c r="CF977" s="540"/>
      <c r="CG977" s="540"/>
      <c r="CH977" s="540"/>
      <c r="CI977" s="540"/>
      <c r="CJ977" s="540"/>
      <c r="CK977" s="540"/>
      <c r="CL977" s="540"/>
      <c r="CM977" s="540"/>
      <c r="CN977" s="540"/>
      <c r="CO977" s="540"/>
      <c r="CP977" s="540"/>
      <c r="CQ977" s="540"/>
      <c r="CR977" s="540"/>
      <c r="CS977" s="540"/>
      <c r="CT977" s="540"/>
      <c r="CU977" s="540"/>
      <c r="CV977" s="540"/>
      <c r="CW977" s="540"/>
      <c r="CX977" s="540"/>
      <c r="CY977" s="540"/>
      <c r="CZ977" s="540"/>
      <c r="DA977" s="540"/>
      <c r="DB977" s="540"/>
      <c r="DC977" s="540"/>
      <c r="DD977" s="540"/>
      <c r="DE977" s="540"/>
    </row>
    <row r="978" spans="1:109" s="116" customFormat="1" x14ac:dyDescent="0.2">
      <c r="A978" s="435"/>
      <c r="B978" s="435"/>
      <c r="C978" s="435"/>
      <c r="D978" s="435"/>
      <c r="AB978" s="540"/>
      <c r="AU978" s="540"/>
      <c r="AV978" s="540"/>
      <c r="AW978" s="540"/>
      <c r="AX978" s="540"/>
      <c r="AY978" s="540"/>
      <c r="AZ978" s="540"/>
      <c r="BA978" s="540"/>
      <c r="BB978" s="540"/>
      <c r="BC978" s="540"/>
      <c r="BD978" s="540"/>
      <c r="BE978" s="540"/>
      <c r="BF978" s="540"/>
      <c r="BG978" s="540"/>
      <c r="BH978" s="540"/>
      <c r="BI978" s="540"/>
      <c r="BJ978" s="540"/>
      <c r="BK978" s="540"/>
      <c r="BL978" s="540"/>
      <c r="BM978" s="540"/>
      <c r="BN978" s="540"/>
      <c r="BO978" s="540"/>
      <c r="BP978" s="540"/>
      <c r="BQ978" s="540"/>
      <c r="BR978" s="540"/>
      <c r="BS978" s="540"/>
      <c r="BT978" s="540"/>
      <c r="BU978" s="540"/>
      <c r="BV978" s="540"/>
      <c r="BW978" s="540"/>
      <c r="BX978" s="540"/>
      <c r="BY978" s="540"/>
      <c r="BZ978" s="540"/>
      <c r="CA978" s="540"/>
      <c r="CB978" s="540"/>
      <c r="CC978" s="540"/>
      <c r="CD978" s="540"/>
      <c r="CE978" s="540"/>
      <c r="CF978" s="540"/>
      <c r="CG978" s="540"/>
      <c r="CH978" s="540"/>
      <c r="CI978" s="540"/>
      <c r="CJ978" s="540"/>
      <c r="CK978" s="540"/>
      <c r="CL978" s="540"/>
      <c r="CM978" s="540"/>
      <c r="CN978" s="540"/>
      <c r="CO978" s="540"/>
      <c r="CP978" s="540"/>
      <c r="CQ978" s="540"/>
      <c r="CR978" s="540"/>
      <c r="CS978" s="540"/>
      <c r="CT978" s="540"/>
      <c r="CU978" s="540"/>
      <c r="CV978" s="540"/>
      <c r="CW978" s="540"/>
      <c r="CX978" s="540"/>
      <c r="CY978" s="540"/>
      <c r="CZ978" s="540"/>
      <c r="DA978" s="540"/>
      <c r="DB978" s="540"/>
      <c r="DC978" s="540"/>
      <c r="DD978" s="540"/>
      <c r="DE978" s="540"/>
    </row>
    <row r="979" spans="1:109" s="116" customFormat="1" x14ac:dyDescent="0.2">
      <c r="A979" s="435"/>
      <c r="B979" s="435"/>
      <c r="C979" s="435"/>
      <c r="D979" s="435"/>
      <c r="AB979" s="540"/>
      <c r="AU979" s="540"/>
      <c r="AV979" s="540"/>
      <c r="AW979" s="540"/>
      <c r="AX979" s="540"/>
      <c r="AY979" s="540"/>
      <c r="AZ979" s="540"/>
      <c r="BA979" s="540"/>
      <c r="BB979" s="540"/>
      <c r="BC979" s="540"/>
      <c r="BD979" s="540"/>
      <c r="BE979" s="540"/>
      <c r="BF979" s="540"/>
      <c r="BG979" s="540"/>
      <c r="BH979" s="540"/>
      <c r="BI979" s="540"/>
      <c r="BJ979" s="540"/>
      <c r="BK979" s="540"/>
      <c r="BL979" s="540"/>
      <c r="BM979" s="540"/>
      <c r="BN979" s="540"/>
      <c r="BO979" s="540"/>
      <c r="BP979" s="540"/>
      <c r="BQ979" s="540"/>
      <c r="BR979" s="540"/>
      <c r="BS979" s="540"/>
      <c r="BT979" s="540"/>
      <c r="BU979" s="540"/>
      <c r="BV979" s="540"/>
      <c r="BW979" s="540"/>
      <c r="BX979" s="540"/>
      <c r="BY979" s="540"/>
      <c r="BZ979" s="540"/>
      <c r="CA979" s="540"/>
      <c r="CB979" s="540"/>
      <c r="CC979" s="540"/>
      <c r="CD979" s="540"/>
      <c r="CE979" s="540"/>
      <c r="CF979" s="540"/>
      <c r="CG979" s="540"/>
      <c r="CH979" s="540"/>
      <c r="CI979" s="540"/>
      <c r="CJ979" s="540"/>
      <c r="CK979" s="540"/>
      <c r="CL979" s="540"/>
      <c r="CM979" s="540"/>
      <c r="CN979" s="540"/>
      <c r="CO979" s="540"/>
      <c r="CP979" s="540"/>
      <c r="CQ979" s="540"/>
      <c r="CR979" s="540"/>
      <c r="CS979" s="540"/>
      <c r="CT979" s="540"/>
      <c r="CU979" s="540"/>
      <c r="CV979" s="540"/>
      <c r="CW979" s="540"/>
      <c r="CX979" s="540"/>
      <c r="CY979" s="540"/>
      <c r="CZ979" s="540"/>
      <c r="DA979" s="540"/>
      <c r="DB979" s="540"/>
      <c r="DC979" s="540"/>
      <c r="DD979" s="540"/>
      <c r="DE979" s="540"/>
    </row>
    <row r="980" spans="1:109" s="116" customFormat="1" x14ac:dyDescent="0.2">
      <c r="A980" s="435"/>
      <c r="B980" s="435"/>
      <c r="C980" s="435"/>
      <c r="D980" s="435"/>
      <c r="AB980" s="540"/>
      <c r="AU980" s="540"/>
      <c r="AV980" s="540"/>
      <c r="AW980" s="540"/>
      <c r="AX980" s="540"/>
      <c r="AY980" s="540"/>
      <c r="AZ980" s="540"/>
      <c r="BA980" s="540"/>
      <c r="BB980" s="540"/>
      <c r="BC980" s="540"/>
      <c r="BD980" s="540"/>
      <c r="BE980" s="540"/>
      <c r="BF980" s="540"/>
      <c r="BG980" s="540"/>
      <c r="BH980" s="540"/>
      <c r="BI980" s="540"/>
      <c r="BJ980" s="540"/>
      <c r="BK980" s="540"/>
      <c r="BL980" s="540"/>
      <c r="BM980" s="540"/>
      <c r="BN980" s="540"/>
      <c r="BO980" s="540"/>
      <c r="BP980" s="540"/>
      <c r="BQ980" s="540"/>
      <c r="BR980" s="540"/>
      <c r="BS980" s="540"/>
      <c r="BT980" s="540"/>
      <c r="BU980" s="540"/>
      <c r="BV980" s="540"/>
      <c r="BW980" s="540"/>
      <c r="BX980" s="540"/>
      <c r="BY980" s="540"/>
      <c r="BZ980" s="540"/>
      <c r="CA980" s="540"/>
      <c r="CB980" s="540"/>
      <c r="CC980" s="540"/>
      <c r="CD980" s="540"/>
      <c r="CE980" s="540"/>
      <c r="CF980" s="540"/>
      <c r="CG980" s="540"/>
      <c r="CH980" s="540"/>
      <c r="CI980" s="540"/>
      <c r="CJ980" s="540"/>
      <c r="CK980" s="540"/>
      <c r="CL980" s="540"/>
      <c r="CM980" s="540"/>
      <c r="CN980" s="540"/>
      <c r="CO980" s="540"/>
      <c r="CP980" s="540"/>
      <c r="CQ980" s="540"/>
      <c r="CR980" s="540"/>
      <c r="CS980" s="540"/>
      <c r="CT980" s="540"/>
      <c r="CU980" s="540"/>
      <c r="CV980" s="540"/>
      <c r="CW980" s="540"/>
      <c r="CX980" s="540"/>
      <c r="CY980" s="540"/>
      <c r="CZ980" s="540"/>
      <c r="DA980" s="540"/>
      <c r="DB980" s="540"/>
      <c r="DC980" s="540"/>
      <c r="DD980" s="540"/>
      <c r="DE980" s="540"/>
    </row>
    <row r="981" spans="1:109" s="116" customFormat="1" x14ac:dyDescent="0.2">
      <c r="A981" s="435"/>
      <c r="B981" s="435"/>
      <c r="C981" s="435"/>
      <c r="D981" s="435"/>
      <c r="AB981" s="540"/>
      <c r="AU981" s="540"/>
      <c r="AV981" s="540"/>
      <c r="AW981" s="540"/>
      <c r="AX981" s="540"/>
      <c r="AY981" s="540"/>
      <c r="AZ981" s="540"/>
      <c r="BA981" s="540"/>
      <c r="BB981" s="540"/>
      <c r="BC981" s="540"/>
      <c r="BD981" s="540"/>
      <c r="BE981" s="540"/>
      <c r="BF981" s="540"/>
      <c r="BG981" s="540"/>
      <c r="BH981" s="540"/>
      <c r="BI981" s="540"/>
      <c r="BJ981" s="540"/>
      <c r="BK981" s="540"/>
      <c r="BL981" s="540"/>
      <c r="BM981" s="540"/>
      <c r="BN981" s="540"/>
      <c r="BO981" s="540"/>
      <c r="BP981" s="540"/>
      <c r="BQ981" s="540"/>
      <c r="BR981" s="540"/>
      <c r="BS981" s="540"/>
      <c r="BT981" s="540"/>
      <c r="BU981" s="540"/>
      <c r="BV981" s="540"/>
      <c r="BW981" s="540"/>
      <c r="BX981" s="540"/>
      <c r="BY981" s="540"/>
      <c r="BZ981" s="540"/>
      <c r="CA981" s="540"/>
      <c r="CB981" s="540"/>
      <c r="CC981" s="540"/>
      <c r="CD981" s="540"/>
      <c r="CE981" s="540"/>
      <c r="CF981" s="540"/>
      <c r="CG981" s="540"/>
      <c r="CH981" s="540"/>
      <c r="CI981" s="540"/>
      <c r="CJ981" s="540"/>
      <c r="CK981" s="540"/>
      <c r="CL981" s="540"/>
      <c r="CM981" s="540"/>
      <c r="CN981" s="540"/>
      <c r="CO981" s="540"/>
      <c r="CP981" s="540"/>
      <c r="CQ981" s="540"/>
      <c r="CR981" s="540"/>
      <c r="CS981" s="540"/>
      <c r="CT981" s="540"/>
      <c r="CU981" s="540"/>
      <c r="CV981" s="540"/>
      <c r="CW981" s="540"/>
      <c r="CX981" s="540"/>
      <c r="CY981" s="540"/>
      <c r="CZ981" s="540"/>
      <c r="DA981" s="540"/>
      <c r="DB981" s="540"/>
      <c r="DC981" s="540"/>
      <c r="DD981" s="540"/>
      <c r="DE981" s="540"/>
    </row>
    <row r="982" spans="1:109" s="116" customFormat="1" x14ac:dyDescent="0.2">
      <c r="A982" s="435"/>
      <c r="B982" s="435"/>
      <c r="C982" s="435"/>
      <c r="D982" s="435"/>
      <c r="AB982" s="540"/>
      <c r="AU982" s="540"/>
      <c r="AV982" s="540"/>
      <c r="AW982" s="540"/>
      <c r="AX982" s="540"/>
      <c r="AY982" s="540"/>
      <c r="AZ982" s="540"/>
      <c r="BA982" s="540"/>
      <c r="BB982" s="540"/>
      <c r="BC982" s="540"/>
      <c r="BD982" s="540"/>
      <c r="BE982" s="540"/>
      <c r="BF982" s="540"/>
      <c r="BG982" s="540"/>
      <c r="BH982" s="540"/>
      <c r="BI982" s="540"/>
      <c r="BJ982" s="540"/>
      <c r="BK982" s="540"/>
      <c r="BL982" s="540"/>
      <c r="BM982" s="540"/>
      <c r="BN982" s="540"/>
      <c r="BO982" s="540"/>
      <c r="BP982" s="540"/>
      <c r="BQ982" s="540"/>
      <c r="BR982" s="540"/>
      <c r="BS982" s="540"/>
      <c r="BT982" s="540"/>
      <c r="BU982" s="540"/>
      <c r="BV982" s="540"/>
      <c r="BW982" s="540"/>
      <c r="BX982" s="540"/>
      <c r="BY982" s="540"/>
      <c r="BZ982" s="540"/>
      <c r="CA982" s="540"/>
      <c r="CB982" s="540"/>
      <c r="CC982" s="540"/>
      <c r="CD982" s="540"/>
      <c r="CE982" s="540"/>
      <c r="CF982" s="540"/>
      <c r="CG982" s="540"/>
      <c r="CH982" s="540"/>
      <c r="CI982" s="540"/>
      <c r="CJ982" s="540"/>
      <c r="CK982" s="540"/>
      <c r="CL982" s="540"/>
      <c r="CM982" s="540"/>
      <c r="CN982" s="540"/>
      <c r="CO982" s="540"/>
      <c r="CP982" s="540"/>
      <c r="CQ982" s="540"/>
      <c r="CR982" s="540"/>
      <c r="CS982" s="540"/>
      <c r="CT982" s="540"/>
      <c r="CU982" s="540"/>
      <c r="CV982" s="540"/>
      <c r="CW982" s="540"/>
      <c r="CX982" s="540"/>
      <c r="CY982" s="540"/>
      <c r="CZ982" s="540"/>
      <c r="DA982" s="540"/>
      <c r="DB982" s="540"/>
      <c r="DC982" s="540"/>
      <c r="DD982" s="540"/>
      <c r="DE982" s="540"/>
    </row>
    <row r="983" spans="1:109" s="116" customFormat="1" x14ac:dyDescent="0.2">
      <c r="A983" s="435"/>
      <c r="B983" s="435"/>
      <c r="C983" s="435"/>
      <c r="D983" s="435"/>
      <c r="AB983" s="540"/>
      <c r="AU983" s="540"/>
      <c r="AV983" s="540"/>
      <c r="AW983" s="540"/>
      <c r="AX983" s="540"/>
      <c r="AY983" s="540"/>
      <c r="AZ983" s="540"/>
      <c r="BA983" s="540"/>
      <c r="BB983" s="540"/>
      <c r="BC983" s="540"/>
      <c r="BD983" s="540"/>
      <c r="BE983" s="540"/>
      <c r="BF983" s="540"/>
      <c r="BG983" s="540"/>
      <c r="BH983" s="540"/>
      <c r="BI983" s="540"/>
      <c r="BJ983" s="540"/>
      <c r="BK983" s="540"/>
      <c r="BL983" s="540"/>
      <c r="BM983" s="540"/>
      <c r="BN983" s="540"/>
      <c r="BO983" s="540"/>
      <c r="BP983" s="540"/>
      <c r="BQ983" s="540"/>
      <c r="BR983" s="540"/>
      <c r="BS983" s="540"/>
      <c r="BT983" s="540"/>
      <c r="BU983" s="540"/>
      <c r="BV983" s="540"/>
      <c r="BW983" s="540"/>
      <c r="BX983" s="540"/>
      <c r="BY983" s="540"/>
      <c r="BZ983" s="540"/>
      <c r="CA983" s="540"/>
      <c r="CB983" s="540"/>
      <c r="CC983" s="540"/>
      <c r="CD983" s="540"/>
      <c r="CE983" s="540"/>
      <c r="CF983" s="540"/>
      <c r="CG983" s="540"/>
      <c r="CH983" s="540"/>
      <c r="CI983" s="540"/>
      <c r="CJ983" s="540"/>
      <c r="CK983" s="540"/>
      <c r="CL983" s="540"/>
      <c r="CM983" s="540"/>
      <c r="CN983" s="540"/>
      <c r="CO983" s="540"/>
      <c r="CP983" s="540"/>
      <c r="CQ983" s="540"/>
      <c r="CR983" s="540"/>
      <c r="CS983" s="540"/>
      <c r="CT983" s="540"/>
      <c r="CU983" s="540"/>
      <c r="CV983" s="540"/>
      <c r="CW983" s="540"/>
      <c r="CX983" s="540"/>
      <c r="CY983" s="540"/>
      <c r="CZ983" s="540"/>
      <c r="DA983" s="540"/>
      <c r="DB983" s="540"/>
      <c r="DC983" s="540"/>
      <c r="DD983" s="540"/>
      <c r="DE983" s="540"/>
    </row>
    <row r="984" spans="1:109" s="116" customFormat="1" x14ac:dyDescent="0.2">
      <c r="A984" s="435"/>
      <c r="B984" s="435"/>
      <c r="C984" s="435"/>
      <c r="D984" s="435"/>
      <c r="AB984" s="540"/>
      <c r="AU984" s="540"/>
      <c r="AV984" s="540"/>
      <c r="AW984" s="540"/>
      <c r="AX984" s="540"/>
      <c r="AY984" s="540"/>
      <c r="AZ984" s="540"/>
      <c r="BA984" s="540"/>
      <c r="BB984" s="540"/>
      <c r="BC984" s="540"/>
      <c r="BD984" s="540"/>
      <c r="BE984" s="540"/>
      <c r="BF984" s="540"/>
      <c r="BG984" s="540"/>
      <c r="BH984" s="540"/>
      <c r="BI984" s="540"/>
      <c r="BJ984" s="540"/>
      <c r="BK984" s="540"/>
      <c r="BL984" s="540"/>
      <c r="BM984" s="540"/>
      <c r="BN984" s="540"/>
      <c r="BO984" s="540"/>
      <c r="BP984" s="540"/>
      <c r="BQ984" s="540"/>
      <c r="BR984" s="540"/>
      <c r="BS984" s="540"/>
      <c r="BT984" s="540"/>
      <c r="BU984" s="540"/>
      <c r="BV984" s="540"/>
      <c r="BW984" s="540"/>
      <c r="BX984" s="540"/>
      <c r="BY984" s="540"/>
      <c r="BZ984" s="540"/>
      <c r="CA984" s="540"/>
      <c r="CB984" s="540"/>
      <c r="CC984" s="540"/>
      <c r="CD984" s="540"/>
      <c r="CE984" s="540"/>
      <c r="CF984" s="540"/>
      <c r="CG984" s="540"/>
      <c r="CH984" s="540"/>
      <c r="CI984" s="540"/>
      <c r="CJ984" s="540"/>
      <c r="CK984" s="540"/>
      <c r="CL984" s="540"/>
      <c r="CM984" s="540"/>
      <c r="CN984" s="540"/>
      <c r="CO984" s="540"/>
      <c r="CP984" s="540"/>
      <c r="CQ984" s="540"/>
      <c r="CR984" s="540"/>
      <c r="CS984" s="540"/>
      <c r="CT984" s="540"/>
      <c r="CU984" s="540"/>
      <c r="CV984" s="540"/>
      <c r="CW984" s="540"/>
      <c r="CX984" s="540"/>
      <c r="CY984" s="540"/>
      <c r="CZ984" s="540"/>
      <c r="DA984" s="540"/>
      <c r="DB984" s="540"/>
      <c r="DC984" s="540"/>
      <c r="DD984" s="540"/>
      <c r="DE984" s="540"/>
    </row>
    <row r="985" spans="1:109" s="116" customFormat="1" x14ac:dyDescent="0.2">
      <c r="A985" s="435"/>
      <c r="B985" s="435"/>
      <c r="C985" s="435"/>
      <c r="D985" s="435"/>
      <c r="AB985" s="540"/>
      <c r="AU985" s="540"/>
      <c r="AV985" s="540"/>
      <c r="AW985" s="540"/>
      <c r="AX985" s="540"/>
      <c r="AY985" s="540"/>
      <c r="AZ985" s="540"/>
      <c r="BA985" s="540"/>
      <c r="BB985" s="540"/>
      <c r="BC985" s="540"/>
      <c r="BD985" s="540"/>
      <c r="BE985" s="540"/>
      <c r="BF985" s="540"/>
      <c r="BG985" s="540"/>
      <c r="BH985" s="540"/>
      <c r="BI985" s="540"/>
      <c r="BJ985" s="540"/>
      <c r="BK985" s="540"/>
      <c r="BL985" s="540"/>
      <c r="BM985" s="540"/>
      <c r="BN985" s="540"/>
      <c r="BO985" s="540"/>
      <c r="BP985" s="540"/>
      <c r="BQ985" s="540"/>
      <c r="BR985" s="540"/>
      <c r="BS985" s="540"/>
      <c r="BT985" s="540"/>
      <c r="BU985" s="540"/>
      <c r="BV985" s="540"/>
      <c r="BW985" s="540"/>
      <c r="BX985" s="540"/>
      <c r="BY985" s="540"/>
      <c r="BZ985" s="540"/>
      <c r="CA985" s="540"/>
      <c r="CB985" s="540"/>
      <c r="CC985" s="540"/>
      <c r="CD985" s="540"/>
      <c r="CE985" s="540"/>
      <c r="CF985" s="540"/>
      <c r="CG985" s="540"/>
      <c r="CH985" s="540"/>
      <c r="CI985" s="540"/>
      <c r="CJ985" s="540"/>
      <c r="CK985" s="540"/>
      <c r="CL985" s="540"/>
      <c r="CM985" s="540"/>
      <c r="CN985" s="540"/>
      <c r="CO985" s="540"/>
      <c r="CP985" s="540"/>
      <c r="CQ985" s="540"/>
      <c r="CR985" s="540"/>
      <c r="CS985" s="540"/>
      <c r="CT985" s="540"/>
      <c r="CU985" s="540"/>
      <c r="CV985" s="540"/>
      <c r="CW985" s="540"/>
      <c r="CX985" s="540"/>
      <c r="CY985" s="540"/>
      <c r="CZ985" s="540"/>
      <c r="DA985" s="540"/>
      <c r="DB985" s="540"/>
      <c r="DC985" s="540"/>
      <c r="DD985" s="540"/>
      <c r="DE985" s="540"/>
    </row>
    <row r="986" spans="1:109" s="116" customFormat="1" x14ac:dyDescent="0.2">
      <c r="A986" s="435"/>
      <c r="B986" s="435"/>
      <c r="C986" s="435"/>
      <c r="D986" s="435"/>
      <c r="AB986" s="540"/>
      <c r="AU986" s="540"/>
      <c r="AV986" s="540"/>
      <c r="AW986" s="540"/>
      <c r="AX986" s="540"/>
      <c r="AY986" s="540"/>
      <c r="AZ986" s="540"/>
      <c r="BA986" s="540"/>
      <c r="BB986" s="540"/>
      <c r="BC986" s="540"/>
      <c r="BD986" s="540"/>
      <c r="BE986" s="540"/>
      <c r="BF986" s="540"/>
      <c r="BG986" s="540"/>
      <c r="BH986" s="540"/>
      <c r="BI986" s="540"/>
      <c r="BJ986" s="540"/>
      <c r="BK986" s="540"/>
      <c r="BL986" s="540"/>
      <c r="BM986" s="540"/>
      <c r="BN986" s="540"/>
      <c r="BO986" s="540"/>
      <c r="BP986" s="540"/>
      <c r="BQ986" s="540"/>
      <c r="BR986" s="540"/>
      <c r="BS986" s="540"/>
      <c r="BT986" s="540"/>
      <c r="BU986" s="540"/>
      <c r="BV986" s="540"/>
      <c r="BW986" s="540"/>
      <c r="BX986" s="540"/>
      <c r="BY986" s="540"/>
      <c r="BZ986" s="540"/>
      <c r="CA986" s="540"/>
      <c r="CB986" s="540"/>
      <c r="CC986" s="540"/>
      <c r="CD986" s="540"/>
      <c r="CE986" s="540"/>
      <c r="CF986" s="540"/>
      <c r="CG986" s="540"/>
      <c r="CH986" s="540"/>
      <c r="CI986" s="540"/>
      <c r="CJ986" s="540"/>
      <c r="CK986" s="540"/>
      <c r="CL986" s="540"/>
      <c r="CM986" s="540"/>
      <c r="CN986" s="540"/>
      <c r="CO986" s="540"/>
      <c r="CP986" s="540"/>
      <c r="CQ986" s="540"/>
      <c r="CR986" s="540"/>
      <c r="CS986" s="540"/>
      <c r="CT986" s="540"/>
      <c r="CU986" s="540"/>
      <c r="CV986" s="540"/>
      <c r="CW986" s="540"/>
      <c r="CX986" s="540"/>
      <c r="CY986" s="540"/>
      <c r="CZ986" s="540"/>
      <c r="DA986" s="540"/>
      <c r="DB986" s="540"/>
      <c r="DC986" s="540"/>
      <c r="DD986" s="540"/>
      <c r="DE986" s="540"/>
    </row>
    <row r="987" spans="1:109" s="116" customFormat="1" x14ac:dyDescent="0.2">
      <c r="A987" s="435"/>
      <c r="B987" s="435"/>
      <c r="C987" s="435"/>
      <c r="D987" s="435"/>
      <c r="AB987" s="540"/>
      <c r="AU987" s="540"/>
      <c r="AV987" s="540"/>
      <c r="AW987" s="540"/>
      <c r="AX987" s="540"/>
      <c r="AY987" s="540"/>
      <c r="AZ987" s="540"/>
      <c r="BA987" s="540"/>
      <c r="BB987" s="540"/>
      <c r="BC987" s="540"/>
      <c r="BD987" s="540"/>
      <c r="BE987" s="540"/>
      <c r="BF987" s="540"/>
      <c r="BG987" s="540"/>
      <c r="BH987" s="540"/>
      <c r="BI987" s="540"/>
      <c r="BJ987" s="540"/>
      <c r="BK987" s="540"/>
      <c r="BL987" s="540"/>
      <c r="BM987" s="540"/>
      <c r="BN987" s="540"/>
      <c r="BO987" s="540"/>
      <c r="BP987" s="540"/>
      <c r="BQ987" s="540"/>
      <c r="BR987" s="540"/>
      <c r="BS987" s="540"/>
      <c r="BT987" s="540"/>
      <c r="BU987" s="540"/>
      <c r="BV987" s="540"/>
      <c r="BW987" s="540"/>
      <c r="BX987" s="540"/>
      <c r="BY987" s="540"/>
      <c r="BZ987" s="540"/>
      <c r="CA987" s="540"/>
      <c r="CB987" s="540"/>
      <c r="CC987" s="540"/>
      <c r="CD987" s="540"/>
      <c r="CE987" s="540"/>
      <c r="CF987" s="540"/>
      <c r="CG987" s="540"/>
      <c r="CH987" s="540"/>
      <c r="CI987" s="540"/>
      <c r="CJ987" s="540"/>
      <c r="CK987" s="540"/>
      <c r="CL987" s="540"/>
      <c r="CM987" s="540"/>
      <c r="CN987" s="540"/>
      <c r="CO987" s="540"/>
      <c r="CP987" s="540"/>
      <c r="CQ987" s="540"/>
      <c r="CR987" s="540"/>
      <c r="CS987" s="540"/>
      <c r="CT987" s="540"/>
      <c r="CU987" s="540"/>
      <c r="CV987" s="540"/>
      <c r="CW987" s="540"/>
      <c r="CX987" s="540"/>
      <c r="CY987" s="540"/>
      <c r="CZ987" s="540"/>
      <c r="DA987" s="540"/>
      <c r="DB987" s="540"/>
      <c r="DC987" s="540"/>
      <c r="DD987" s="540"/>
      <c r="DE987" s="540"/>
    </row>
    <row r="988" spans="1:109" s="116" customFormat="1" x14ac:dyDescent="0.2">
      <c r="A988" s="435"/>
      <c r="B988" s="435"/>
      <c r="C988" s="435"/>
      <c r="D988" s="435"/>
      <c r="AB988" s="540"/>
      <c r="AU988" s="540"/>
      <c r="AV988" s="540"/>
      <c r="AW988" s="540"/>
      <c r="AX988" s="540"/>
      <c r="AY988" s="540"/>
      <c r="AZ988" s="540"/>
      <c r="BA988" s="540"/>
      <c r="BB988" s="540"/>
      <c r="BC988" s="540"/>
      <c r="BD988" s="540"/>
      <c r="BE988" s="540"/>
      <c r="BF988" s="540"/>
      <c r="BG988" s="540"/>
      <c r="BH988" s="540"/>
      <c r="BI988" s="540"/>
      <c r="BJ988" s="540"/>
      <c r="BK988" s="540"/>
      <c r="BL988" s="540"/>
      <c r="BM988" s="540"/>
      <c r="BN988" s="540"/>
      <c r="BO988" s="540"/>
      <c r="BP988" s="540"/>
      <c r="BQ988" s="540"/>
      <c r="BR988" s="540"/>
      <c r="BS988" s="540"/>
      <c r="BT988" s="540"/>
      <c r="BU988" s="540"/>
      <c r="BV988" s="540"/>
      <c r="BW988" s="540"/>
      <c r="BX988" s="540"/>
      <c r="BY988" s="540"/>
      <c r="BZ988" s="540"/>
      <c r="CA988" s="540"/>
      <c r="CB988" s="540"/>
      <c r="CC988" s="540"/>
      <c r="CD988" s="540"/>
      <c r="CE988" s="540"/>
      <c r="CF988" s="540"/>
      <c r="CG988" s="540"/>
      <c r="CH988" s="540"/>
      <c r="CI988" s="540"/>
      <c r="CJ988" s="540"/>
      <c r="CK988" s="540"/>
      <c r="CL988" s="540"/>
      <c r="CM988" s="540"/>
      <c r="CN988" s="540"/>
      <c r="CO988" s="540"/>
      <c r="CP988" s="540"/>
      <c r="CQ988" s="540"/>
      <c r="CR988" s="540"/>
      <c r="CS988" s="540"/>
      <c r="CT988" s="540"/>
      <c r="CU988" s="540"/>
      <c r="CV988" s="540"/>
      <c r="CW988" s="540"/>
      <c r="CX988" s="540"/>
      <c r="CY988" s="540"/>
      <c r="CZ988" s="540"/>
      <c r="DA988" s="540"/>
      <c r="DB988" s="540"/>
      <c r="DC988" s="540"/>
      <c r="DD988" s="540"/>
      <c r="DE988" s="540"/>
    </row>
    <row r="989" spans="1:109" s="116" customFormat="1" x14ac:dyDescent="0.2">
      <c r="A989" s="435"/>
      <c r="B989" s="435"/>
      <c r="C989" s="435"/>
      <c r="D989" s="435"/>
      <c r="AB989" s="540"/>
      <c r="AU989" s="540"/>
      <c r="AV989" s="540"/>
      <c r="AW989" s="540"/>
      <c r="AX989" s="540"/>
      <c r="AY989" s="540"/>
      <c r="AZ989" s="540"/>
      <c r="BA989" s="540"/>
      <c r="BB989" s="540"/>
      <c r="BC989" s="540"/>
      <c r="BD989" s="540"/>
      <c r="BE989" s="540"/>
      <c r="BF989" s="540"/>
      <c r="BG989" s="540"/>
      <c r="BH989" s="540"/>
      <c r="BI989" s="540"/>
      <c r="BJ989" s="540"/>
      <c r="BK989" s="540"/>
      <c r="BL989" s="540"/>
      <c r="BM989" s="540"/>
      <c r="BN989" s="540"/>
      <c r="BO989" s="540"/>
      <c r="BP989" s="540"/>
      <c r="BQ989" s="540"/>
      <c r="BR989" s="540"/>
      <c r="BS989" s="540"/>
      <c r="BT989" s="540"/>
      <c r="BU989" s="540"/>
      <c r="BV989" s="540"/>
      <c r="BW989" s="540"/>
      <c r="BX989" s="540"/>
      <c r="BY989" s="540"/>
      <c r="BZ989" s="540"/>
      <c r="CA989" s="540"/>
      <c r="CB989" s="540"/>
      <c r="CC989" s="540"/>
      <c r="CD989" s="540"/>
      <c r="CE989" s="540"/>
      <c r="CF989" s="540"/>
      <c r="CG989" s="540"/>
      <c r="CH989" s="540"/>
      <c r="CI989" s="540"/>
      <c r="CJ989" s="540"/>
      <c r="CK989" s="540"/>
      <c r="CL989" s="540"/>
      <c r="CM989" s="540"/>
      <c r="CN989" s="540"/>
      <c r="CO989" s="540"/>
      <c r="CP989" s="540"/>
      <c r="CQ989" s="540"/>
      <c r="CR989" s="540"/>
      <c r="CS989" s="540"/>
      <c r="CT989" s="540"/>
      <c r="CU989" s="540"/>
      <c r="CV989" s="540"/>
      <c r="CW989" s="540"/>
      <c r="CX989" s="540"/>
      <c r="CY989" s="540"/>
      <c r="CZ989" s="540"/>
      <c r="DA989" s="540"/>
      <c r="DB989" s="540"/>
      <c r="DC989" s="540"/>
      <c r="DD989" s="540"/>
      <c r="DE989" s="540"/>
    </row>
    <row r="990" spans="1:109" s="116" customFormat="1" x14ac:dyDescent="0.2">
      <c r="A990" s="435"/>
      <c r="B990" s="435"/>
      <c r="C990" s="435"/>
      <c r="D990" s="435"/>
      <c r="AB990" s="540"/>
      <c r="AU990" s="540"/>
      <c r="AV990" s="540"/>
      <c r="AW990" s="540"/>
      <c r="AX990" s="540"/>
      <c r="AY990" s="540"/>
      <c r="AZ990" s="540"/>
      <c r="BA990" s="540"/>
      <c r="BB990" s="540"/>
      <c r="BC990" s="540"/>
      <c r="BD990" s="540"/>
      <c r="BE990" s="540"/>
      <c r="BF990" s="540"/>
      <c r="BG990" s="540"/>
      <c r="BH990" s="540"/>
      <c r="BI990" s="540"/>
      <c r="BJ990" s="540"/>
      <c r="BK990" s="540"/>
      <c r="BL990" s="540"/>
      <c r="BM990" s="540"/>
      <c r="BN990" s="540"/>
      <c r="BO990" s="540"/>
      <c r="BP990" s="540"/>
      <c r="BQ990" s="540"/>
      <c r="BR990" s="540"/>
      <c r="BS990" s="540"/>
      <c r="BT990" s="540"/>
      <c r="BU990" s="540"/>
      <c r="BV990" s="540"/>
      <c r="BW990" s="540"/>
      <c r="BX990" s="540"/>
      <c r="BY990" s="540"/>
      <c r="BZ990" s="540"/>
      <c r="CA990" s="540"/>
      <c r="CB990" s="540"/>
      <c r="CC990" s="540"/>
      <c r="CD990" s="540"/>
      <c r="CE990" s="540"/>
      <c r="CF990" s="540"/>
      <c r="CG990" s="540"/>
      <c r="CH990" s="540"/>
      <c r="CI990" s="540"/>
      <c r="CJ990" s="540"/>
      <c r="CK990" s="540"/>
      <c r="CL990" s="540"/>
      <c r="CM990" s="540"/>
      <c r="CN990" s="540"/>
      <c r="CO990" s="540"/>
      <c r="CP990" s="540"/>
      <c r="CQ990" s="540"/>
      <c r="CR990" s="540"/>
      <c r="CS990" s="540"/>
      <c r="CT990" s="540"/>
      <c r="CU990" s="540"/>
      <c r="CV990" s="540"/>
      <c r="CW990" s="540"/>
      <c r="CX990" s="540"/>
      <c r="CY990" s="540"/>
      <c r="CZ990" s="540"/>
      <c r="DA990" s="540"/>
      <c r="DB990" s="540"/>
      <c r="DC990" s="540"/>
      <c r="DD990" s="540"/>
      <c r="DE990" s="540"/>
    </row>
    <row r="991" spans="1:109" s="116" customFormat="1" x14ac:dyDescent="0.2">
      <c r="A991" s="435"/>
      <c r="B991" s="435"/>
      <c r="C991" s="435"/>
      <c r="D991" s="435"/>
      <c r="AB991" s="540"/>
      <c r="AU991" s="540"/>
      <c r="AV991" s="540"/>
      <c r="AW991" s="540"/>
      <c r="AX991" s="540"/>
      <c r="AY991" s="540"/>
      <c r="AZ991" s="540"/>
      <c r="BA991" s="540"/>
      <c r="BB991" s="540"/>
      <c r="BC991" s="540"/>
      <c r="BD991" s="540"/>
      <c r="BE991" s="540"/>
      <c r="BF991" s="540"/>
      <c r="BG991" s="540"/>
      <c r="BH991" s="540"/>
      <c r="BI991" s="540"/>
      <c r="BJ991" s="540"/>
      <c r="BK991" s="540"/>
      <c r="BL991" s="540"/>
      <c r="BM991" s="540"/>
      <c r="BN991" s="540"/>
      <c r="BO991" s="540"/>
      <c r="BP991" s="540"/>
      <c r="BQ991" s="540"/>
      <c r="BR991" s="540"/>
      <c r="BS991" s="540"/>
      <c r="BT991" s="540"/>
      <c r="BU991" s="540"/>
      <c r="BV991" s="540"/>
      <c r="BW991" s="540"/>
      <c r="BX991" s="540"/>
      <c r="BY991" s="540"/>
      <c r="BZ991" s="540"/>
      <c r="CA991" s="540"/>
      <c r="CB991" s="540"/>
      <c r="CC991" s="540"/>
      <c r="CD991" s="540"/>
      <c r="CE991" s="540"/>
      <c r="CF991" s="540"/>
      <c r="CG991" s="540"/>
      <c r="CH991" s="540"/>
      <c r="CI991" s="540"/>
      <c r="CJ991" s="540"/>
      <c r="CK991" s="540"/>
      <c r="CL991" s="540"/>
      <c r="CM991" s="540"/>
      <c r="CN991" s="540"/>
      <c r="CO991" s="540"/>
      <c r="CP991" s="540"/>
      <c r="CQ991" s="540"/>
      <c r="CR991" s="540"/>
      <c r="CS991" s="540"/>
      <c r="CT991" s="540"/>
      <c r="CU991" s="540"/>
      <c r="CV991" s="540"/>
      <c r="CW991" s="540"/>
      <c r="CX991" s="540"/>
      <c r="CY991" s="540"/>
      <c r="CZ991" s="540"/>
      <c r="DA991" s="540"/>
      <c r="DB991" s="540"/>
      <c r="DC991" s="540"/>
      <c r="DD991" s="540"/>
      <c r="DE991" s="540"/>
    </row>
    <row r="992" spans="1:109" s="116" customFormat="1" x14ac:dyDescent="0.2">
      <c r="A992" s="435"/>
      <c r="B992" s="435"/>
      <c r="C992" s="435"/>
      <c r="D992" s="435"/>
      <c r="AB992" s="540"/>
      <c r="AU992" s="540"/>
      <c r="AV992" s="540"/>
      <c r="AW992" s="540"/>
      <c r="AX992" s="540"/>
      <c r="AY992" s="540"/>
      <c r="AZ992" s="540"/>
      <c r="BA992" s="540"/>
      <c r="BB992" s="540"/>
      <c r="BC992" s="540"/>
      <c r="BD992" s="540"/>
      <c r="BE992" s="540"/>
      <c r="BF992" s="540"/>
      <c r="BG992" s="540"/>
      <c r="BH992" s="540"/>
      <c r="BI992" s="540"/>
      <c r="BJ992" s="540"/>
      <c r="BK992" s="540"/>
      <c r="BL992" s="540"/>
      <c r="BM992" s="540"/>
      <c r="BN992" s="540"/>
      <c r="BO992" s="540"/>
      <c r="BP992" s="540"/>
      <c r="BQ992" s="540"/>
      <c r="BR992" s="540"/>
      <c r="BS992" s="540"/>
      <c r="BT992" s="540"/>
      <c r="BU992" s="540"/>
      <c r="BV992" s="540"/>
      <c r="BW992" s="540"/>
      <c r="BX992" s="540"/>
      <c r="BY992" s="540"/>
      <c r="BZ992" s="540"/>
      <c r="CA992" s="540"/>
      <c r="CB992" s="540"/>
      <c r="CC992" s="540"/>
      <c r="CD992" s="540"/>
      <c r="CE992" s="540"/>
      <c r="CF992" s="540"/>
      <c r="CG992" s="540"/>
      <c r="CH992" s="540"/>
      <c r="CI992" s="540"/>
      <c r="CJ992" s="540"/>
      <c r="CK992" s="540"/>
      <c r="CL992" s="540"/>
      <c r="CM992" s="540"/>
      <c r="CN992" s="540"/>
      <c r="CO992" s="540"/>
      <c r="CP992" s="540"/>
      <c r="CQ992" s="540"/>
      <c r="CR992" s="540"/>
      <c r="CS992" s="540"/>
      <c r="CT992" s="540"/>
      <c r="CU992" s="540"/>
      <c r="CV992" s="540"/>
      <c r="CW992" s="540"/>
      <c r="CX992" s="540"/>
      <c r="CY992" s="540"/>
      <c r="CZ992" s="540"/>
      <c r="DA992" s="540"/>
      <c r="DB992" s="540"/>
      <c r="DC992" s="540"/>
      <c r="DD992" s="540"/>
      <c r="DE992" s="540"/>
    </row>
    <row r="993" spans="1:109" s="116" customFormat="1" x14ac:dyDescent="0.2">
      <c r="A993" s="435"/>
      <c r="B993" s="435"/>
      <c r="C993" s="435"/>
      <c r="D993" s="435"/>
      <c r="AB993" s="540"/>
      <c r="AU993" s="540"/>
      <c r="AV993" s="540"/>
      <c r="AW993" s="540"/>
      <c r="AX993" s="540"/>
      <c r="AY993" s="540"/>
      <c r="AZ993" s="540"/>
      <c r="BA993" s="540"/>
      <c r="BB993" s="540"/>
      <c r="BC993" s="540"/>
      <c r="BD993" s="540"/>
      <c r="BE993" s="540"/>
      <c r="BF993" s="540"/>
      <c r="BG993" s="540"/>
      <c r="BH993" s="540"/>
      <c r="BI993" s="540"/>
      <c r="BJ993" s="540"/>
      <c r="BK993" s="540"/>
      <c r="BL993" s="540"/>
      <c r="BM993" s="540"/>
      <c r="BN993" s="540"/>
      <c r="BO993" s="540"/>
      <c r="BP993" s="540"/>
      <c r="BQ993" s="540"/>
      <c r="BR993" s="540"/>
      <c r="BS993" s="540"/>
      <c r="BT993" s="540"/>
      <c r="BU993" s="540"/>
      <c r="BV993" s="540"/>
      <c r="BW993" s="540"/>
      <c r="BX993" s="540"/>
      <c r="BY993" s="540"/>
      <c r="BZ993" s="540"/>
      <c r="CA993" s="540"/>
      <c r="CB993" s="540"/>
      <c r="CC993" s="540"/>
      <c r="CD993" s="540"/>
      <c r="CE993" s="540"/>
      <c r="CF993" s="540"/>
      <c r="CG993" s="540"/>
      <c r="CH993" s="540"/>
      <c r="CI993" s="540"/>
      <c r="CJ993" s="540"/>
      <c r="CK993" s="540"/>
      <c r="CL993" s="540"/>
      <c r="CM993" s="540"/>
      <c r="CN993" s="540"/>
      <c r="CO993" s="540"/>
      <c r="CP993" s="540"/>
      <c r="CQ993" s="540"/>
      <c r="CR993" s="540"/>
      <c r="CS993" s="540"/>
      <c r="CT993" s="540"/>
      <c r="CU993" s="540"/>
      <c r="CV993" s="540"/>
      <c r="CW993" s="540"/>
      <c r="CX993" s="540"/>
      <c r="CY993" s="540"/>
      <c r="CZ993" s="540"/>
      <c r="DA993" s="540"/>
      <c r="DB993" s="540"/>
      <c r="DC993" s="540"/>
      <c r="DD993" s="540"/>
      <c r="DE993" s="540"/>
    </row>
    <row r="994" spans="1:109" s="116" customFormat="1" x14ac:dyDescent="0.2">
      <c r="A994" s="435"/>
      <c r="B994" s="435"/>
      <c r="C994" s="435"/>
      <c r="D994" s="435"/>
      <c r="AB994" s="540"/>
      <c r="AU994" s="540"/>
      <c r="AV994" s="540"/>
      <c r="AW994" s="540"/>
      <c r="AX994" s="540"/>
      <c r="AY994" s="540"/>
      <c r="AZ994" s="540"/>
      <c r="BA994" s="540"/>
      <c r="BB994" s="540"/>
      <c r="BC994" s="540"/>
      <c r="BD994" s="540"/>
      <c r="BE994" s="540"/>
      <c r="BF994" s="540"/>
      <c r="BG994" s="540"/>
      <c r="BH994" s="540"/>
      <c r="BI994" s="540"/>
      <c r="BJ994" s="540"/>
      <c r="BK994" s="540"/>
      <c r="BL994" s="540"/>
      <c r="BM994" s="540"/>
      <c r="BN994" s="540"/>
      <c r="BO994" s="540"/>
      <c r="BP994" s="540"/>
      <c r="BQ994" s="540"/>
      <c r="BR994" s="540"/>
      <c r="BS994" s="540"/>
      <c r="BT994" s="540"/>
      <c r="BU994" s="540"/>
      <c r="BV994" s="540"/>
      <c r="BW994" s="540"/>
      <c r="BX994" s="540"/>
      <c r="BY994" s="540"/>
      <c r="BZ994" s="540"/>
      <c r="CA994" s="540"/>
      <c r="CB994" s="540"/>
      <c r="CC994" s="540"/>
      <c r="CD994" s="540"/>
      <c r="CE994" s="540"/>
      <c r="CF994" s="540"/>
      <c r="CG994" s="540"/>
      <c r="CH994" s="540"/>
      <c r="CI994" s="540"/>
      <c r="CJ994" s="540"/>
      <c r="CK994" s="540"/>
      <c r="CL994" s="540"/>
      <c r="CM994" s="540"/>
      <c r="CN994" s="540"/>
      <c r="CO994" s="540"/>
      <c r="CP994" s="540"/>
      <c r="CQ994" s="540"/>
      <c r="CR994" s="540"/>
      <c r="CS994" s="540"/>
      <c r="CT994" s="540"/>
      <c r="CU994" s="540"/>
      <c r="CV994" s="540"/>
      <c r="CW994" s="540"/>
      <c r="CX994" s="540"/>
      <c r="CY994" s="540"/>
      <c r="CZ994" s="540"/>
      <c r="DA994" s="540"/>
      <c r="DB994" s="540"/>
      <c r="DC994" s="540"/>
      <c r="DD994" s="540"/>
      <c r="DE994" s="540"/>
    </row>
    <row r="995" spans="1:109" s="116" customFormat="1" x14ac:dyDescent="0.2">
      <c r="A995" s="435"/>
      <c r="B995" s="435"/>
      <c r="C995" s="435"/>
      <c r="D995" s="435"/>
      <c r="AB995" s="540"/>
      <c r="AU995" s="540"/>
      <c r="AV995" s="540"/>
      <c r="AW995" s="540"/>
      <c r="AX995" s="540"/>
      <c r="AY995" s="540"/>
      <c r="AZ995" s="540"/>
      <c r="BA995" s="540"/>
      <c r="BB995" s="540"/>
      <c r="BC995" s="540"/>
      <c r="BD995" s="540"/>
      <c r="BE995" s="540"/>
      <c r="BF995" s="540"/>
      <c r="BG995" s="540"/>
      <c r="BH995" s="540"/>
      <c r="BI995" s="540"/>
      <c r="BJ995" s="540"/>
      <c r="BK995" s="540"/>
      <c r="BL995" s="540"/>
      <c r="BM995" s="540"/>
      <c r="BN995" s="540"/>
      <c r="BO995" s="540"/>
      <c r="BP995" s="540"/>
      <c r="BQ995" s="540"/>
      <c r="BR995" s="540"/>
      <c r="BS995" s="540"/>
      <c r="BT995" s="540"/>
      <c r="BU995" s="540"/>
      <c r="BV995" s="540"/>
      <c r="BW995" s="540"/>
      <c r="BX995" s="540"/>
      <c r="BY995" s="540"/>
      <c r="BZ995" s="540"/>
      <c r="CA995" s="540"/>
      <c r="CB995" s="540"/>
      <c r="CC995" s="540"/>
      <c r="CD995" s="540"/>
      <c r="CE995" s="540"/>
      <c r="CF995" s="540"/>
      <c r="CG995" s="540"/>
      <c r="CH995" s="540"/>
      <c r="CI995" s="540"/>
      <c r="CJ995" s="540"/>
      <c r="CK995" s="540"/>
      <c r="CL995" s="540"/>
      <c r="CM995" s="540"/>
      <c r="CN995" s="540"/>
      <c r="CO995" s="540"/>
      <c r="CP995" s="540"/>
      <c r="CQ995" s="540"/>
      <c r="CR995" s="540"/>
      <c r="CS995" s="540"/>
      <c r="CT995" s="540"/>
      <c r="CU995" s="540"/>
      <c r="CV995" s="540"/>
      <c r="CW995" s="540"/>
      <c r="CX995" s="540"/>
      <c r="CY995" s="540"/>
      <c r="CZ995" s="540"/>
      <c r="DA995" s="540"/>
      <c r="DB995" s="540"/>
      <c r="DC995" s="540"/>
      <c r="DD995" s="540"/>
      <c r="DE995" s="540"/>
    </row>
    <row r="996" spans="1:109" s="116" customFormat="1" x14ac:dyDescent="0.2">
      <c r="A996" s="435"/>
      <c r="B996" s="435"/>
      <c r="C996" s="435"/>
      <c r="D996" s="435"/>
      <c r="AB996" s="540"/>
      <c r="AU996" s="540"/>
      <c r="AV996" s="540"/>
      <c r="AW996" s="540"/>
      <c r="AX996" s="540"/>
      <c r="AY996" s="540"/>
      <c r="AZ996" s="540"/>
      <c r="BA996" s="540"/>
      <c r="BB996" s="540"/>
      <c r="BC996" s="540"/>
      <c r="BD996" s="540"/>
      <c r="BE996" s="540"/>
      <c r="BF996" s="540"/>
      <c r="BG996" s="540"/>
      <c r="BH996" s="540"/>
      <c r="BI996" s="540"/>
      <c r="BJ996" s="540"/>
      <c r="BK996" s="540"/>
      <c r="BL996" s="540"/>
      <c r="BM996" s="540"/>
      <c r="BN996" s="540"/>
      <c r="BO996" s="540"/>
      <c r="BP996" s="540"/>
      <c r="BQ996" s="540"/>
      <c r="BR996" s="540"/>
      <c r="BS996" s="540"/>
      <c r="BT996" s="540"/>
      <c r="BU996" s="540"/>
      <c r="BV996" s="540"/>
      <c r="BW996" s="540"/>
      <c r="BX996" s="540"/>
      <c r="BY996" s="540"/>
      <c r="BZ996" s="540"/>
      <c r="CA996" s="540"/>
      <c r="CB996" s="540"/>
      <c r="CC996" s="540"/>
      <c r="CD996" s="540"/>
      <c r="CE996" s="540"/>
      <c r="CF996" s="540"/>
      <c r="CG996" s="540"/>
      <c r="CH996" s="540"/>
      <c r="CI996" s="540"/>
      <c r="CJ996" s="540"/>
      <c r="CK996" s="540"/>
      <c r="CL996" s="540"/>
      <c r="CM996" s="540"/>
      <c r="CN996" s="540"/>
      <c r="CO996" s="540"/>
      <c r="CP996" s="540"/>
      <c r="CQ996" s="540"/>
      <c r="CR996" s="540"/>
      <c r="CS996" s="540"/>
      <c r="CT996" s="540"/>
      <c r="CU996" s="540"/>
      <c r="CV996" s="540"/>
      <c r="CW996" s="540"/>
      <c r="CX996" s="540"/>
      <c r="CY996" s="540"/>
      <c r="CZ996" s="540"/>
      <c r="DA996" s="540"/>
      <c r="DB996" s="540"/>
      <c r="DC996" s="540"/>
      <c r="DD996" s="540"/>
      <c r="DE996" s="540"/>
    </row>
    <row r="997" spans="1:109" s="116" customFormat="1" x14ac:dyDescent="0.2">
      <c r="A997" s="435"/>
      <c r="B997" s="435"/>
      <c r="C997" s="435"/>
      <c r="D997" s="435"/>
      <c r="AB997" s="540"/>
      <c r="AU997" s="540"/>
      <c r="AV997" s="540"/>
      <c r="AW997" s="540"/>
      <c r="AX997" s="540"/>
      <c r="AY997" s="540"/>
      <c r="AZ997" s="540"/>
      <c r="BA997" s="540"/>
      <c r="BB997" s="540"/>
      <c r="BC997" s="540"/>
      <c r="BD997" s="540"/>
      <c r="BE997" s="540"/>
      <c r="BF997" s="540"/>
      <c r="BG997" s="540"/>
      <c r="BH997" s="540"/>
      <c r="BI997" s="540"/>
      <c r="BJ997" s="540"/>
      <c r="BK997" s="540"/>
      <c r="BL997" s="540"/>
      <c r="BM997" s="540"/>
      <c r="BN997" s="540"/>
      <c r="BO997" s="540"/>
      <c r="BP997" s="540"/>
      <c r="BQ997" s="540"/>
      <c r="BR997" s="540"/>
      <c r="BS997" s="540"/>
      <c r="BT997" s="540"/>
      <c r="BU997" s="540"/>
      <c r="BV997" s="540"/>
      <c r="BW997" s="540"/>
      <c r="BX997" s="540"/>
      <c r="BY997" s="540"/>
      <c r="BZ997" s="540"/>
      <c r="CA997" s="540"/>
      <c r="CB997" s="540"/>
      <c r="CC997" s="540"/>
      <c r="CD997" s="540"/>
      <c r="CE997" s="540"/>
      <c r="CF997" s="540"/>
      <c r="CG997" s="540"/>
      <c r="CH997" s="540"/>
      <c r="CI997" s="540"/>
      <c r="CJ997" s="540"/>
      <c r="CK997" s="540"/>
      <c r="CL997" s="540"/>
      <c r="CM997" s="540"/>
      <c r="CN997" s="540"/>
      <c r="CO997" s="540"/>
      <c r="CP997" s="540"/>
      <c r="CQ997" s="540"/>
      <c r="CR997" s="540"/>
      <c r="CS997" s="540"/>
      <c r="CT997" s="540"/>
      <c r="CU997" s="540"/>
      <c r="CV997" s="540"/>
      <c r="CW997" s="540"/>
      <c r="CX997" s="540"/>
      <c r="CY997" s="540"/>
      <c r="CZ997" s="540"/>
      <c r="DA997" s="540"/>
      <c r="DB997" s="540"/>
      <c r="DC997" s="540"/>
      <c r="DD997" s="540"/>
      <c r="DE997" s="540"/>
    </row>
    <row r="998" spans="1:109" s="116" customFormat="1" x14ac:dyDescent="0.2">
      <c r="A998" s="435"/>
      <c r="B998" s="435"/>
      <c r="C998" s="435"/>
      <c r="D998" s="435"/>
      <c r="AB998" s="540"/>
      <c r="AU998" s="540"/>
      <c r="AV998" s="540"/>
      <c r="AW998" s="540"/>
      <c r="AX998" s="540"/>
      <c r="AY998" s="540"/>
      <c r="AZ998" s="540"/>
      <c r="BA998" s="540"/>
      <c r="BB998" s="540"/>
      <c r="BC998" s="540"/>
      <c r="BD998" s="540"/>
      <c r="BE998" s="540"/>
      <c r="BF998" s="540"/>
      <c r="BG998" s="540"/>
      <c r="BH998" s="540"/>
      <c r="BI998" s="540"/>
      <c r="BJ998" s="540"/>
      <c r="BK998" s="540"/>
      <c r="BL998" s="540"/>
      <c r="BM998" s="540"/>
      <c r="BN998" s="540"/>
      <c r="BO998" s="540"/>
      <c r="BP998" s="540"/>
      <c r="BQ998" s="540"/>
      <c r="BR998" s="540"/>
      <c r="BS998" s="540"/>
      <c r="BT998" s="540"/>
      <c r="BU998" s="540"/>
      <c r="BV998" s="540"/>
      <c r="BW998" s="540"/>
      <c r="BX998" s="540"/>
      <c r="BY998" s="540"/>
      <c r="BZ998" s="540"/>
      <c r="CA998" s="540"/>
      <c r="CB998" s="540"/>
      <c r="CC998" s="540"/>
      <c r="CD998" s="540"/>
      <c r="CE998" s="540"/>
      <c r="CF998" s="540"/>
      <c r="CG998" s="540"/>
      <c r="CH998" s="540"/>
      <c r="CI998" s="540"/>
      <c r="CJ998" s="540"/>
      <c r="CK998" s="540"/>
      <c r="CL998" s="540"/>
      <c r="CM998" s="540"/>
      <c r="CN998" s="540"/>
      <c r="CO998" s="540"/>
      <c r="CP998" s="540"/>
      <c r="CQ998" s="540"/>
      <c r="CR998" s="540"/>
      <c r="CS998" s="540"/>
      <c r="CT998" s="540"/>
      <c r="CU998" s="540"/>
      <c r="CV998" s="540"/>
      <c r="CW998" s="540"/>
      <c r="CX998" s="540"/>
      <c r="CY998" s="540"/>
      <c r="CZ998" s="540"/>
      <c r="DA998" s="540"/>
      <c r="DB998" s="540"/>
      <c r="DC998" s="540"/>
      <c r="DD998" s="540"/>
      <c r="DE998" s="540"/>
    </row>
    <row r="999" spans="1:109" s="116" customFormat="1" x14ac:dyDescent="0.2">
      <c r="A999" s="435"/>
      <c r="B999" s="435"/>
      <c r="C999" s="435"/>
      <c r="D999" s="435"/>
      <c r="AB999" s="540"/>
      <c r="AU999" s="540"/>
      <c r="AV999" s="540"/>
      <c r="AW999" s="540"/>
      <c r="AX999" s="540"/>
      <c r="AY999" s="540"/>
      <c r="AZ999" s="540"/>
      <c r="BA999" s="540"/>
      <c r="BB999" s="540"/>
      <c r="BC999" s="540"/>
      <c r="BD999" s="540"/>
      <c r="BE999" s="540"/>
      <c r="BF999" s="540"/>
      <c r="BG999" s="540"/>
      <c r="BH999" s="540"/>
      <c r="BI999" s="540"/>
      <c r="BJ999" s="540"/>
      <c r="BK999" s="540"/>
      <c r="BL999" s="540"/>
      <c r="BM999" s="540"/>
      <c r="BN999" s="540"/>
      <c r="BO999" s="540"/>
      <c r="BP999" s="540"/>
      <c r="BQ999" s="540"/>
      <c r="BR999" s="540"/>
      <c r="BS999" s="540"/>
      <c r="BT999" s="540"/>
      <c r="BU999" s="540"/>
      <c r="BV999" s="540"/>
      <c r="BW999" s="540"/>
      <c r="BX999" s="540"/>
      <c r="BY999" s="540"/>
      <c r="BZ999" s="540"/>
      <c r="CA999" s="540"/>
      <c r="CB999" s="540"/>
      <c r="CC999" s="540"/>
      <c r="CD999" s="540"/>
      <c r="CE999" s="540"/>
      <c r="CF999" s="540"/>
      <c r="CG999" s="540"/>
      <c r="CH999" s="540"/>
      <c r="CI999" s="540"/>
      <c r="CJ999" s="540"/>
      <c r="CK999" s="540"/>
      <c r="CL999" s="540"/>
      <c r="CM999" s="540"/>
      <c r="CN999" s="540"/>
      <c r="CO999" s="540"/>
      <c r="CP999" s="540"/>
      <c r="CQ999" s="540"/>
      <c r="CR999" s="540"/>
      <c r="CS999" s="540"/>
      <c r="CT999" s="540"/>
      <c r="CU999" s="540"/>
      <c r="CV999" s="540"/>
      <c r="CW999" s="540"/>
      <c r="CX999" s="540"/>
      <c r="CY999" s="540"/>
      <c r="CZ999" s="540"/>
      <c r="DA999" s="540"/>
      <c r="DB999" s="540"/>
      <c r="DC999" s="540"/>
      <c r="DD999" s="540"/>
      <c r="DE999" s="540"/>
    </row>
    <row r="1000" spans="1:109" s="116" customFormat="1" x14ac:dyDescent="0.2">
      <c r="A1000" s="435"/>
      <c r="B1000" s="435"/>
      <c r="C1000" s="435"/>
      <c r="D1000" s="435"/>
      <c r="AB1000" s="540"/>
      <c r="AU1000" s="540"/>
      <c r="AV1000" s="540"/>
      <c r="AW1000" s="540"/>
      <c r="AX1000" s="540"/>
      <c r="AY1000" s="540"/>
      <c r="AZ1000" s="540"/>
      <c r="BA1000" s="540"/>
      <c r="BB1000" s="540"/>
      <c r="BC1000" s="540"/>
      <c r="BD1000" s="540"/>
      <c r="BE1000" s="540"/>
      <c r="BF1000" s="540"/>
      <c r="BG1000" s="540"/>
      <c r="BH1000" s="540"/>
      <c r="BI1000" s="540"/>
      <c r="BJ1000" s="540"/>
      <c r="BK1000" s="540"/>
      <c r="BL1000" s="540"/>
      <c r="BM1000" s="540"/>
      <c r="BN1000" s="540"/>
      <c r="BO1000" s="540"/>
      <c r="BP1000" s="540"/>
      <c r="BQ1000" s="540"/>
      <c r="BR1000" s="540"/>
      <c r="BS1000" s="540"/>
      <c r="BT1000" s="540"/>
      <c r="BU1000" s="540"/>
      <c r="BV1000" s="540"/>
      <c r="BW1000" s="540"/>
      <c r="BX1000" s="540"/>
      <c r="BY1000" s="540"/>
      <c r="BZ1000" s="540"/>
      <c r="CA1000" s="540"/>
      <c r="CB1000" s="540"/>
      <c r="CC1000" s="540"/>
      <c r="CD1000" s="540"/>
      <c r="CE1000" s="540"/>
      <c r="CF1000" s="540"/>
      <c r="CG1000" s="540"/>
      <c r="CH1000" s="540"/>
      <c r="CI1000" s="540"/>
      <c r="CJ1000" s="540"/>
      <c r="CK1000" s="540"/>
      <c r="CL1000" s="540"/>
      <c r="CM1000" s="540"/>
      <c r="CN1000" s="540"/>
      <c r="CO1000" s="540"/>
      <c r="CP1000" s="540"/>
      <c r="CQ1000" s="540"/>
      <c r="CR1000" s="540"/>
      <c r="CS1000" s="540"/>
      <c r="CT1000" s="540"/>
      <c r="CU1000" s="540"/>
      <c r="CV1000" s="540"/>
      <c r="CW1000" s="540"/>
      <c r="CX1000" s="540"/>
      <c r="CY1000" s="540"/>
      <c r="CZ1000" s="540"/>
      <c r="DA1000" s="540"/>
      <c r="DB1000" s="540"/>
      <c r="DC1000" s="540"/>
      <c r="DD1000" s="540"/>
      <c r="DE1000" s="540"/>
    </row>
    <row r="1001" spans="1:109" s="116" customFormat="1" x14ac:dyDescent="0.2">
      <c r="A1001" s="435"/>
      <c r="B1001" s="435"/>
      <c r="C1001" s="435"/>
      <c r="D1001" s="435"/>
      <c r="AB1001" s="540"/>
      <c r="AU1001" s="540"/>
      <c r="AV1001" s="540"/>
      <c r="AW1001" s="540"/>
      <c r="AX1001" s="540"/>
      <c r="AY1001" s="540"/>
      <c r="AZ1001" s="540"/>
      <c r="BA1001" s="540"/>
      <c r="BB1001" s="540"/>
      <c r="BC1001" s="540"/>
      <c r="BD1001" s="540"/>
      <c r="BE1001" s="540"/>
      <c r="BF1001" s="540"/>
      <c r="BG1001" s="540"/>
      <c r="BH1001" s="540"/>
      <c r="BI1001" s="540"/>
      <c r="BJ1001" s="540"/>
      <c r="BK1001" s="540"/>
      <c r="BL1001" s="540"/>
      <c r="BM1001" s="540"/>
      <c r="BN1001" s="540"/>
      <c r="BO1001" s="540"/>
      <c r="BP1001" s="540"/>
      <c r="BQ1001" s="540"/>
      <c r="BR1001" s="540"/>
      <c r="BS1001" s="540"/>
      <c r="BT1001" s="540"/>
      <c r="BU1001" s="540"/>
      <c r="BV1001" s="540"/>
      <c r="BW1001" s="540"/>
      <c r="BX1001" s="540"/>
      <c r="BY1001" s="540"/>
      <c r="BZ1001" s="540"/>
      <c r="CA1001" s="540"/>
      <c r="CB1001" s="540"/>
      <c r="CC1001" s="540"/>
      <c r="CD1001" s="540"/>
      <c r="CE1001" s="540"/>
      <c r="CF1001" s="540"/>
      <c r="CG1001" s="540"/>
      <c r="CH1001" s="540"/>
      <c r="CI1001" s="540"/>
      <c r="CJ1001" s="540"/>
      <c r="CK1001" s="540"/>
      <c r="CL1001" s="540"/>
      <c r="CM1001" s="540"/>
      <c r="CN1001" s="540"/>
      <c r="CO1001" s="540"/>
      <c r="CP1001" s="540"/>
      <c r="CQ1001" s="540"/>
      <c r="CR1001" s="540"/>
      <c r="CS1001" s="540"/>
      <c r="CT1001" s="540"/>
      <c r="CU1001" s="540"/>
      <c r="CV1001" s="540"/>
      <c r="CW1001" s="540"/>
      <c r="CX1001" s="540"/>
      <c r="CY1001" s="540"/>
      <c r="CZ1001" s="540"/>
      <c r="DA1001" s="540"/>
      <c r="DB1001" s="540"/>
      <c r="DC1001" s="540"/>
      <c r="DD1001" s="540"/>
      <c r="DE1001" s="540"/>
    </row>
    <row r="1002" spans="1:109" s="116" customFormat="1" x14ac:dyDescent="0.2">
      <c r="A1002" s="435"/>
      <c r="B1002" s="435"/>
      <c r="C1002" s="435"/>
      <c r="D1002" s="435"/>
      <c r="AB1002" s="540"/>
      <c r="AU1002" s="540"/>
      <c r="AV1002" s="540"/>
      <c r="AW1002" s="540"/>
      <c r="AX1002" s="540"/>
      <c r="AY1002" s="540"/>
      <c r="AZ1002" s="540"/>
      <c r="BA1002" s="540"/>
      <c r="BB1002" s="540"/>
      <c r="BC1002" s="540"/>
      <c r="BD1002" s="540"/>
      <c r="BE1002" s="540"/>
      <c r="BF1002" s="540"/>
      <c r="BG1002" s="540"/>
      <c r="BH1002" s="540"/>
      <c r="BI1002" s="540"/>
      <c r="BJ1002" s="540"/>
      <c r="BK1002" s="540"/>
      <c r="BL1002" s="540"/>
      <c r="BM1002" s="540"/>
      <c r="BN1002" s="540"/>
      <c r="BO1002" s="540"/>
      <c r="BP1002" s="540"/>
      <c r="BQ1002" s="540"/>
      <c r="BR1002" s="540"/>
      <c r="BS1002" s="540"/>
      <c r="BT1002" s="540"/>
      <c r="BU1002" s="540"/>
      <c r="BV1002" s="540"/>
      <c r="BW1002" s="540"/>
      <c r="BX1002" s="540"/>
      <c r="BY1002" s="540"/>
      <c r="BZ1002" s="540"/>
      <c r="CA1002" s="540"/>
      <c r="CB1002" s="540"/>
      <c r="CC1002" s="540"/>
      <c r="CD1002" s="540"/>
      <c r="CE1002" s="540"/>
      <c r="CF1002" s="540"/>
      <c r="CG1002" s="540"/>
      <c r="CH1002" s="540"/>
      <c r="CI1002" s="540"/>
      <c r="CJ1002" s="540"/>
      <c r="CK1002" s="540"/>
      <c r="CL1002" s="540"/>
      <c r="CM1002" s="540"/>
      <c r="CN1002" s="540"/>
      <c r="CO1002" s="540"/>
      <c r="CP1002" s="540"/>
      <c r="CQ1002" s="540"/>
      <c r="CR1002" s="540"/>
      <c r="CS1002" s="540"/>
      <c r="CT1002" s="540"/>
      <c r="CU1002" s="540"/>
      <c r="CV1002" s="540"/>
      <c r="CW1002" s="540"/>
      <c r="CX1002" s="540"/>
      <c r="CY1002" s="540"/>
      <c r="CZ1002" s="540"/>
      <c r="DA1002" s="540"/>
      <c r="DB1002" s="540"/>
      <c r="DC1002" s="540"/>
      <c r="DD1002" s="540"/>
      <c r="DE1002" s="540"/>
    </row>
    <row r="1003" spans="1:109" s="116" customFormat="1" x14ac:dyDescent="0.2">
      <c r="A1003" s="435"/>
      <c r="B1003" s="435"/>
      <c r="C1003" s="435"/>
      <c r="D1003" s="435"/>
      <c r="AB1003" s="540"/>
      <c r="AU1003" s="540"/>
      <c r="AV1003" s="540"/>
      <c r="AW1003" s="540"/>
      <c r="AX1003" s="540"/>
      <c r="AY1003" s="540"/>
      <c r="AZ1003" s="540"/>
      <c r="BA1003" s="540"/>
      <c r="BB1003" s="540"/>
      <c r="BC1003" s="540"/>
      <c r="BD1003" s="540"/>
      <c r="BE1003" s="540"/>
      <c r="BF1003" s="540"/>
      <c r="BG1003" s="540"/>
      <c r="BH1003" s="540"/>
      <c r="BI1003" s="540"/>
      <c r="BJ1003" s="540"/>
      <c r="BK1003" s="540"/>
      <c r="BL1003" s="540"/>
      <c r="BM1003" s="540"/>
      <c r="BN1003" s="540"/>
      <c r="BO1003" s="540"/>
      <c r="BP1003" s="540"/>
      <c r="BQ1003" s="540"/>
      <c r="BR1003" s="540"/>
      <c r="BS1003" s="540"/>
      <c r="BT1003" s="540"/>
      <c r="BU1003" s="540"/>
      <c r="BV1003" s="540"/>
      <c r="BW1003" s="540"/>
      <c r="BX1003" s="540"/>
      <c r="BY1003" s="540"/>
      <c r="BZ1003" s="540"/>
      <c r="CA1003" s="540"/>
      <c r="CB1003" s="540"/>
      <c r="CC1003" s="540"/>
      <c r="CD1003" s="540"/>
      <c r="CE1003" s="540"/>
      <c r="CF1003" s="540"/>
      <c r="CG1003" s="540"/>
      <c r="CH1003" s="540"/>
      <c r="CI1003" s="540"/>
      <c r="CJ1003" s="540"/>
      <c r="CK1003" s="540"/>
      <c r="CL1003" s="540"/>
      <c r="CM1003" s="540"/>
      <c r="CN1003" s="540"/>
      <c r="CO1003" s="540"/>
      <c r="CP1003" s="540"/>
      <c r="CQ1003" s="540"/>
      <c r="CR1003" s="540"/>
      <c r="CS1003" s="540"/>
      <c r="CT1003" s="540"/>
      <c r="CU1003" s="540"/>
      <c r="CV1003" s="540"/>
      <c r="CW1003" s="540"/>
      <c r="CX1003" s="540"/>
      <c r="CY1003" s="540"/>
      <c r="CZ1003" s="540"/>
      <c r="DA1003" s="540"/>
      <c r="DB1003" s="540"/>
      <c r="DC1003" s="540"/>
      <c r="DD1003" s="540"/>
      <c r="DE1003" s="540"/>
    </row>
    <row r="1004" spans="1:109" s="116" customFormat="1" x14ac:dyDescent="0.2">
      <c r="A1004" s="435"/>
      <c r="B1004" s="435"/>
      <c r="C1004" s="435"/>
      <c r="D1004" s="435"/>
      <c r="AB1004" s="540"/>
      <c r="AU1004" s="540"/>
      <c r="AV1004" s="540"/>
      <c r="AW1004" s="540"/>
      <c r="AX1004" s="540"/>
      <c r="AY1004" s="540"/>
      <c r="AZ1004" s="540"/>
      <c r="BA1004" s="540"/>
      <c r="BB1004" s="540"/>
      <c r="BC1004" s="540"/>
      <c r="BD1004" s="540"/>
      <c r="BE1004" s="540"/>
      <c r="BF1004" s="540"/>
      <c r="BG1004" s="540"/>
      <c r="BH1004" s="540"/>
      <c r="BI1004" s="540"/>
      <c r="BJ1004" s="540"/>
      <c r="BK1004" s="540"/>
      <c r="BL1004" s="540"/>
      <c r="BM1004" s="540"/>
      <c r="BN1004" s="540"/>
      <c r="BO1004" s="540"/>
      <c r="BP1004" s="540"/>
      <c r="BQ1004" s="540"/>
      <c r="BR1004" s="540"/>
      <c r="BS1004" s="540"/>
      <c r="BT1004" s="540"/>
      <c r="BU1004" s="540"/>
      <c r="BV1004" s="540"/>
      <c r="BW1004" s="540"/>
      <c r="BX1004" s="540"/>
      <c r="BY1004" s="540"/>
      <c r="BZ1004" s="540"/>
      <c r="CA1004" s="540"/>
      <c r="CB1004" s="540"/>
      <c r="CC1004" s="540"/>
      <c r="CD1004" s="540"/>
      <c r="CE1004" s="540"/>
      <c r="CF1004" s="540"/>
      <c r="CG1004" s="540"/>
      <c r="CH1004" s="540"/>
      <c r="CI1004" s="540"/>
      <c r="CJ1004" s="540"/>
      <c r="CK1004" s="540"/>
      <c r="CL1004" s="540"/>
      <c r="CM1004" s="540"/>
      <c r="CN1004" s="540"/>
      <c r="CO1004" s="540"/>
      <c r="CP1004" s="540"/>
      <c r="CQ1004" s="540"/>
      <c r="CR1004" s="540"/>
      <c r="CS1004" s="540"/>
      <c r="CT1004" s="540"/>
      <c r="CU1004" s="540"/>
      <c r="CV1004" s="540"/>
      <c r="CW1004" s="540"/>
      <c r="CX1004" s="540"/>
      <c r="CY1004" s="540"/>
      <c r="CZ1004" s="540"/>
      <c r="DA1004" s="540"/>
      <c r="DB1004" s="540"/>
      <c r="DC1004" s="540"/>
      <c r="DD1004" s="540"/>
      <c r="DE1004" s="540"/>
    </row>
    <row r="1005" spans="1:109" s="116" customFormat="1" x14ac:dyDescent="0.2">
      <c r="A1005" s="435"/>
      <c r="B1005" s="435"/>
      <c r="C1005" s="435"/>
      <c r="D1005" s="435"/>
      <c r="AB1005" s="540"/>
      <c r="AU1005" s="540"/>
      <c r="AV1005" s="540"/>
      <c r="AW1005" s="540"/>
      <c r="AX1005" s="540"/>
      <c r="AY1005" s="540"/>
      <c r="AZ1005" s="540"/>
      <c r="BA1005" s="540"/>
      <c r="BB1005" s="540"/>
      <c r="BC1005" s="540"/>
      <c r="BD1005" s="540"/>
      <c r="BE1005" s="540"/>
      <c r="BF1005" s="540"/>
      <c r="BG1005" s="540"/>
      <c r="BH1005" s="540"/>
      <c r="BI1005" s="540"/>
      <c r="BJ1005" s="540"/>
      <c r="BK1005" s="540"/>
      <c r="BL1005" s="540"/>
      <c r="BM1005" s="540"/>
      <c r="BN1005" s="540"/>
      <c r="BO1005" s="540"/>
      <c r="BP1005" s="540"/>
      <c r="BQ1005" s="540"/>
      <c r="BR1005" s="540"/>
      <c r="BS1005" s="540"/>
      <c r="BT1005" s="540"/>
      <c r="BU1005" s="540"/>
      <c r="BV1005" s="540"/>
      <c r="BW1005" s="540"/>
      <c r="BX1005" s="540"/>
      <c r="BY1005" s="540"/>
      <c r="BZ1005" s="540"/>
      <c r="CA1005" s="540"/>
      <c r="CB1005" s="540"/>
      <c r="CC1005" s="540"/>
      <c r="CD1005" s="540"/>
      <c r="CE1005" s="540"/>
      <c r="CF1005" s="540"/>
      <c r="CG1005" s="540"/>
      <c r="CH1005" s="540"/>
      <c r="CI1005" s="540"/>
      <c r="CJ1005" s="540"/>
      <c r="CK1005" s="540"/>
      <c r="CL1005" s="540"/>
      <c r="CM1005" s="540"/>
      <c r="CN1005" s="540"/>
      <c r="CO1005" s="540"/>
      <c r="CP1005" s="540"/>
      <c r="CQ1005" s="540"/>
      <c r="CR1005" s="540"/>
      <c r="CS1005" s="540"/>
      <c r="CT1005" s="540"/>
      <c r="CU1005" s="540"/>
      <c r="CV1005" s="540"/>
      <c r="CW1005" s="540"/>
      <c r="CX1005" s="540"/>
      <c r="CY1005" s="540"/>
      <c r="CZ1005" s="540"/>
      <c r="DA1005" s="540"/>
      <c r="DB1005" s="540"/>
      <c r="DC1005" s="540"/>
      <c r="DD1005" s="540"/>
      <c r="DE1005" s="540"/>
    </row>
    <row r="1006" spans="1:109" s="116" customFormat="1" x14ac:dyDescent="0.2">
      <c r="A1006" s="435"/>
      <c r="B1006" s="435"/>
      <c r="C1006" s="435"/>
      <c r="D1006" s="435"/>
      <c r="AB1006" s="540"/>
      <c r="AU1006" s="540"/>
      <c r="AV1006" s="540"/>
      <c r="AW1006" s="540"/>
      <c r="AX1006" s="540"/>
      <c r="AY1006" s="540"/>
      <c r="AZ1006" s="540"/>
      <c r="BA1006" s="540"/>
      <c r="BB1006" s="540"/>
      <c r="BC1006" s="540"/>
      <c r="BD1006" s="540"/>
      <c r="BE1006" s="540"/>
      <c r="BF1006" s="540"/>
      <c r="BG1006" s="540"/>
      <c r="BH1006" s="540"/>
      <c r="BI1006" s="540"/>
      <c r="BJ1006" s="540"/>
      <c r="BK1006" s="540"/>
      <c r="BL1006" s="540"/>
      <c r="BM1006" s="540"/>
      <c r="BN1006" s="540"/>
      <c r="BO1006" s="540"/>
      <c r="BP1006" s="540"/>
      <c r="BQ1006" s="540"/>
      <c r="BR1006" s="540"/>
      <c r="BS1006" s="540"/>
      <c r="BT1006" s="540"/>
      <c r="BU1006" s="540"/>
      <c r="BV1006" s="540"/>
      <c r="BW1006" s="540"/>
      <c r="BX1006" s="540"/>
      <c r="BY1006" s="540"/>
      <c r="BZ1006" s="540"/>
      <c r="CA1006" s="540"/>
      <c r="CB1006" s="540"/>
      <c r="CC1006" s="540"/>
      <c r="CD1006" s="540"/>
      <c r="CE1006" s="540"/>
      <c r="CF1006" s="540"/>
      <c r="CG1006" s="540"/>
      <c r="CH1006" s="540"/>
      <c r="CI1006" s="540"/>
      <c r="CJ1006" s="540"/>
      <c r="CK1006" s="540"/>
      <c r="CL1006" s="540"/>
      <c r="CM1006" s="540"/>
      <c r="CN1006" s="540"/>
      <c r="CO1006" s="540"/>
      <c r="CP1006" s="540"/>
      <c r="CQ1006" s="540"/>
      <c r="CR1006" s="540"/>
      <c r="CS1006" s="540"/>
      <c r="CT1006" s="540"/>
      <c r="CU1006" s="540"/>
      <c r="CV1006" s="540"/>
      <c r="CW1006" s="540"/>
      <c r="CX1006" s="540"/>
      <c r="CY1006" s="540"/>
      <c r="CZ1006" s="540"/>
      <c r="DA1006" s="540"/>
      <c r="DB1006" s="540"/>
      <c r="DC1006" s="540"/>
      <c r="DD1006" s="540"/>
      <c r="DE1006" s="540"/>
    </row>
    <row r="1007" spans="1:109" s="116" customFormat="1" x14ac:dyDescent="0.2">
      <c r="A1007" s="435"/>
      <c r="B1007" s="435"/>
      <c r="C1007" s="435"/>
      <c r="D1007" s="435"/>
      <c r="AB1007" s="540"/>
      <c r="AU1007" s="540"/>
      <c r="AV1007" s="540"/>
      <c r="AW1007" s="540"/>
      <c r="AX1007" s="540"/>
      <c r="AY1007" s="540"/>
      <c r="AZ1007" s="540"/>
      <c r="BA1007" s="540"/>
      <c r="BB1007" s="540"/>
      <c r="BC1007" s="540"/>
      <c r="BD1007" s="540"/>
      <c r="BE1007" s="540"/>
      <c r="BF1007" s="540"/>
      <c r="BG1007" s="540"/>
      <c r="BH1007" s="540"/>
      <c r="BI1007" s="540"/>
      <c r="BJ1007" s="540"/>
      <c r="BK1007" s="540"/>
      <c r="BL1007" s="540"/>
      <c r="BM1007" s="540"/>
      <c r="BN1007" s="540"/>
      <c r="BO1007" s="540"/>
      <c r="BP1007" s="540"/>
      <c r="BQ1007" s="540"/>
      <c r="BR1007" s="540"/>
      <c r="BS1007" s="540"/>
      <c r="BT1007" s="540"/>
      <c r="BU1007" s="540"/>
      <c r="BV1007" s="540"/>
      <c r="BW1007" s="540"/>
      <c r="BX1007" s="540"/>
      <c r="BY1007" s="540"/>
      <c r="BZ1007" s="540"/>
      <c r="CA1007" s="540"/>
      <c r="CB1007" s="540"/>
      <c r="CC1007" s="540"/>
      <c r="CD1007" s="540"/>
      <c r="CE1007" s="540"/>
      <c r="CF1007" s="540"/>
      <c r="CG1007" s="540"/>
      <c r="CH1007" s="540"/>
      <c r="CI1007" s="540"/>
      <c r="CJ1007" s="540"/>
      <c r="CK1007" s="540"/>
      <c r="CL1007" s="540"/>
      <c r="CM1007" s="540"/>
      <c r="CN1007" s="540"/>
      <c r="CO1007" s="540"/>
      <c r="CP1007" s="540"/>
      <c r="CQ1007" s="540"/>
      <c r="CR1007" s="540"/>
      <c r="CS1007" s="540"/>
      <c r="CT1007" s="540"/>
      <c r="CU1007" s="540"/>
      <c r="CV1007" s="540"/>
      <c r="CW1007" s="540"/>
      <c r="CX1007" s="540"/>
      <c r="CY1007" s="540"/>
      <c r="CZ1007" s="540"/>
      <c r="DA1007" s="540"/>
      <c r="DB1007" s="540"/>
      <c r="DC1007" s="540"/>
      <c r="DD1007" s="540"/>
      <c r="DE1007" s="540"/>
    </row>
    <row r="1008" spans="1:109" s="116" customFormat="1" x14ac:dyDescent="0.2">
      <c r="A1008" s="435"/>
      <c r="B1008" s="435"/>
      <c r="C1008" s="435"/>
      <c r="D1008" s="435"/>
      <c r="AB1008" s="540"/>
      <c r="AU1008" s="540"/>
      <c r="AV1008" s="540"/>
      <c r="AW1008" s="540"/>
      <c r="AX1008" s="540"/>
      <c r="AY1008" s="540"/>
      <c r="AZ1008" s="540"/>
      <c r="BA1008" s="540"/>
      <c r="BB1008" s="540"/>
      <c r="BC1008" s="540"/>
      <c r="BD1008" s="540"/>
      <c r="BE1008" s="540"/>
      <c r="BF1008" s="540"/>
      <c r="BG1008" s="540"/>
      <c r="BH1008" s="540"/>
      <c r="BI1008" s="540"/>
      <c r="BJ1008" s="540"/>
      <c r="BK1008" s="540"/>
      <c r="BL1008" s="540"/>
      <c r="BM1008" s="540"/>
      <c r="BN1008" s="540"/>
      <c r="BO1008" s="540"/>
      <c r="BP1008" s="540"/>
      <c r="BQ1008" s="540"/>
      <c r="BR1008" s="540"/>
      <c r="BS1008" s="540"/>
      <c r="BT1008" s="540"/>
      <c r="BU1008" s="540"/>
      <c r="BV1008" s="540"/>
      <c r="BW1008" s="540"/>
      <c r="BX1008" s="540"/>
      <c r="BY1008" s="540"/>
      <c r="BZ1008" s="540"/>
      <c r="CA1008" s="540"/>
      <c r="CB1008" s="540"/>
      <c r="CC1008" s="540"/>
      <c r="CD1008" s="540"/>
      <c r="CE1008" s="540"/>
      <c r="CF1008" s="540"/>
      <c r="CG1008" s="540"/>
      <c r="CH1008" s="540"/>
      <c r="CI1008" s="540"/>
      <c r="CJ1008" s="540"/>
      <c r="CK1008" s="540"/>
      <c r="CL1008" s="540"/>
      <c r="CM1008" s="540"/>
      <c r="CN1008" s="540"/>
      <c r="CO1008" s="540"/>
      <c r="CP1008" s="540"/>
      <c r="CQ1008" s="540"/>
      <c r="CR1008" s="540"/>
      <c r="CS1008" s="540"/>
      <c r="CT1008" s="540"/>
      <c r="CU1008" s="540"/>
      <c r="CV1008" s="540"/>
      <c r="CW1008" s="540"/>
      <c r="CX1008" s="540"/>
      <c r="CY1008" s="540"/>
      <c r="CZ1008" s="540"/>
      <c r="DA1008" s="540"/>
      <c r="DB1008" s="540"/>
      <c r="DC1008" s="540"/>
      <c r="DD1008" s="540"/>
      <c r="DE1008" s="540"/>
    </row>
    <row r="1009" spans="1:109" s="116" customFormat="1" x14ac:dyDescent="0.2">
      <c r="A1009" s="435"/>
      <c r="B1009" s="435"/>
      <c r="C1009" s="435"/>
      <c r="D1009" s="435"/>
      <c r="AB1009" s="540"/>
      <c r="AU1009" s="540"/>
      <c r="AV1009" s="540"/>
      <c r="AW1009" s="540"/>
      <c r="AX1009" s="540"/>
      <c r="AY1009" s="540"/>
      <c r="AZ1009" s="540"/>
      <c r="BA1009" s="540"/>
      <c r="BB1009" s="540"/>
      <c r="BC1009" s="540"/>
      <c r="BD1009" s="540"/>
      <c r="BE1009" s="540"/>
      <c r="BF1009" s="540"/>
      <c r="BG1009" s="540"/>
      <c r="BH1009" s="540"/>
      <c r="BI1009" s="540"/>
      <c r="BJ1009" s="540"/>
      <c r="BK1009" s="540"/>
      <c r="BL1009" s="540"/>
      <c r="BM1009" s="540"/>
      <c r="BN1009" s="540"/>
      <c r="BO1009" s="540"/>
      <c r="BP1009" s="540"/>
      <c r="BQ1009" s="540"/>
      <c r="BR1009" s="540"/>
      <c r="BS1009" s="540"/>
      <c r="BT1009" s="540"/>
      <c r="BU1009" s="540"/>
      <c r="BV1009" s="540"/>
      <c r="BW1009" s="540"/>
      <c r="BX1009" s="540"/>
      <c r="BY1009" s="540"/>
      <c r="BZ1009" s="540"/>
      <c r="CA1009" s="540"/>
      <c r="CB1009" s="540"/>
      <c r="CC1009" s="540"/>
      <c r="CD1009" s="540"/>
      <c r="CE1009" s="540"/>
      <c r="CF1009" s="540"/>
      <c r="CG1009" s="540"/>
      <c r="CH1009" s="540"/>
      <c r="CI1009" s="540"/>
      <c r="CJ1009" s="540"/>
      <c r="CK1009" s="540"/>
      <c r="CL1009" s="540"/>
      <c r="CM1009" s="540"/>
      <c r="CN1009" s="540"/>
      <c r="CO1009" s="540"/>
      <c r="CP1009" s="540"/>
      <c r="CQ1009" s="540"/>
      <c r="CR1009" s="540"/>
      <c r="CS1009" s="540"/>
      <c r="CT1009" s="540"/>
      <c r="CU1009" s="540"/>
      <c r="CV1009" s="540"/>
      <c r="CW1009" s="540"/>
      <c r="CX1009" s="540"/>
      <c r="CY1009" s="540"/>
      <c r="CZ1009" s="540"/>
      <c r="DA1009" s="540"/>
      <c r="DB1009" s="540"/>
      <c r="DC1009" s="540"/>
      <c r="DD1009" s="540"/>
      <c r="DE1009" s="540"/>
    </row>
    <row r="1010" spans="1:109" s="116" customFormat="1" x14ac:dyDescent="0.2">
      <c r="A1010" s="435"/>
      <c r="B1010" s="435"/>
      <c r="C1010" s="435"/>
      <c r="D1010" s="435"/>
      <c r="AB1010" s="540"/>
      <c r="AU1010" s="540"/>
      <c r="AV1010" s="540"/>
      <c r="AW1010" s="540"/>
      <c r="AX1010" s="540"/>
      <c r="AY1010" s="540"/>
      <c r="AZ1010" s="540"/>
      <c r="BA1010" s="540"/>
      <c r="BB1010" s="540"/>
      <c r="BC1010" s="540"/>
      <c r="BD1010" s="540"/>
      <c r="BE1010" s="540"/>
      <c r="BF1010" s="540"/>
      <c r="BG1010" s="540"/>
      <c r="BH1010" s="540"/>
      <c r="BI1010" s="540"/>
      <c r="BJ1010" s="540"/>
      <c r="BK1010" s="540"/>
      <c r="BL1010" s="540"/>
      <c r="BM1010" s="540"/>
      <c r="BN1010" s="540"/>
      <c r="BO1010" s="540"/>
      <c r="BP1010" s="540"/>
      <c r="BQ1010" s="540"/>
      <c r="BR1010" s="540"/>
      <c r="BS1010" s="540"/>
      <c r="BT1010" s="540"/>
      <c r="BU1010" s="540"/>
      <c r="BV1010" s="540"/>
      <c r="BW1010" s="540"/>
      <c r="BX1010" s="540"/>
      <c r="BY1010" s="540"/>
      <c r="BZ1010" s="540"/>
      <c r="CA1010" s="540"/>
      <c r="CB1010" s="540"/>
      <c r="CC1010" s="540"/>
      <c r="CD1010" s="540"/>
      <c r="CE1010" s="540"/>
      <c r="CF1010" s="540"/>
      <c r="CG1010" s="540"/>
      <c r="CH1010" s="540"/>
      <c r="CI1010" s="540"/>
      <c r="CJ1010" s="540"/>
      <c r="CK1010" s="540"/>
      <c r="CL1010" s="540"/>
      <c r="CM1010" s="540"/>
      <c r="CN1010" s="540"/>
      <c r="CO1010" s="540"/>
      <c r="CP1010" s="540"/>
      <c r="CQ1010" s="540"/>
      <c r="CR1010" s="540"/>
      <c r="CS1010" s="540"/>
      <c r="CT1010" s="540"/>
      <c r="CU1010" s="540"/>
      <c r="CV1010" s="540"/>
      <c r="CW1010" s="540"/>
      <c r="CX1010" s="540"/>
      <c r="CY1010" s="540"/>
      <c r="CZ1010" s="540"/>
      <c r="DA1010" s="540"/>
      <c r="DB1010" s="540"/>
      <c r="DC1010" s="540"/>
      <c r="DD1010" s="540"/>
      <c r="DE1010" s="540"/>
    </row>
    <row r="1011" spans="1:109" s="116" customFormat="1" x14ac:dyDescent="0.2">
      <c r="A1011" s="435"/>
      <c r="B1011" s="435"/>
      <c r="C1011" s="435"/>
      <c r="D1011" s="435"/>
      <c r="AB1011" s="540"/>
      <c r="AU1011" s="540"/>
      <c r="AV1011" s="540"/>
      <c r="AW1011" s="540"/>
      <c r="AX1011" s="540"/>
      <c r="AY1011" s="540"/>
      <c r="AZ1011" s="540"/>
      <c r="BA1011" s="540"/>
      <c r="BB1011" s="540"/>
      <c r="BC1011" s="540"/>
      <c r="BD1011" s="540"/>
      <c r="BE1011" s="540"/>
      <c r="BF1011" s="540"/>
      <c r="BG1011" s="540"/>
      <c r="BH1011" s="540"/>
      <c r="BI1011" s="540"/>
      <c r="BJ1011" s="540"/>
      <c r="BK1011" s="540"/>
      <c r="BL1011" s="540"/>
      <c r="BM1011" s="540"/>
      <c r="BN1011" s="540"/>
      <c r="BO1011" s="540"/>
      <c r="BP1011" s="540"/>
      <c r="BQ1011" s="540"/>
      <c r="BR1011" s="540"/>
      <c r="BS1011" s="540"/>
      <c r="BT1011" s="540"/>
      <c r="BU1011" s="540"/>
      <c r="BV1011" s="540"/>
      <c r="BW1011" s="540"/>
      <c r="BX1011" s="540"/>
      <c r="BY1011" s="540"/>
      <c r="BZ1011" s="540"/>
      <c r="CA1011" s="540"/>
      <c r="CB1011" s="540"/>
      <c r="CC1011" s="540"/>
      <c r="CD1011" s="540"/>
      <c r="CE1011" s="540"/>
      <c r="CF1011" s="540"/>
      <c r="CG1011" s="540"/>
      <c r="CH1011" s="540"/>
      <c r="CI1011" s="540"/>
      <c r="CJ1011" s="540"/>
      <c r="CK1011" s="540"/>
      <c r="CL1011" s="540"/>
      <c r="CM1011" s="540"/>
      <c r="CN1011" s="540"/>
      <c r="CO1011" s="540"/>
      <c r="CP1011" s="540"/>
      <c r="CQ1011" s="540"/>
      <c r="CR1011" s="540"/>
      <c r="CS1011" s="540"/>
      <c r="CT1011" s="540"/>
      <c r="CU1011" s="540"/>
      <c r="CV1011" s="540"/>
      <c r="CW1011" s="540"/>
      <c r="CX1011" s="540"/>
      <c r="CY1011" s="540"/>
      <c r="CZ1011" s="540"/>
      <c r="DA1011" s="540"/>
      <c r="DB1011" s="540"/>
      <c r="DC1011" s="540"/>
      <c r="DD1011" s="540"/>
      <c r="DE1011" s="540"/>
    </row>
    <row r="1012" spans="1:109" s="116" customFormat="1" x14ac:dyDescent="0.2">
      <c r="A1012" s="435"/>
      <c r="B1012" s="435"/>
      <c r="C1012" s="435"/>
      <c r="D1012" s="435"/>
      <c r="AB1012" s="540"/>
      <c r="AU1012" s="540"/>
      <c r="AV1012" s="540"/>
      <c r="AW1012" s="540"/>
      <c r="AX1012" s="540"/>
      <c r="AY1012" s="540"/>
      <c r="AZ1012" s="540"/>
      <c r="BA1012" s="540"/>
      <c r="BB1012" s="540"/>
      <c r="BC1012" s="540"/>
      <c r="BD1012" s="540"/>
      <c r="BE1012" s="540"/>
      <c r="BF1012" s="540"/>
      <c r="BG1012" s="540"/>
      <c r="BH1012" s="540"/>
      <c r="BI1012" s="540"/>
      <c r="BJ1012" s="540"/>
      <c r="BK1012" s="540"/>
      <c r="BL1012" s="540"/>
      <c r="BM1012" s="540"/>
      <c r="BN1012" s="540"/>
      <c r="BO1012" s="540"/>
      <c r="BP1012" s="540"/>
      <c r="BQ1012" s="540"/>
      <c r="BR1012" s="540"/>
      <c r="BS1012" s="540"/>
      <c r="BT1012" s="540"/>
      <c r="BU1012" s="540"/>
      <c r="BV1012" s="540"/>
      <c r="BW1012" s="540"/>
      <c r="BX1012" s="540"/>
      <c r="BY1012" s="540"/>
      <c r="BZ1012" s="540"/>
      <c r="CA1012" s="540"/>
      <c r="CB1012" s="540"/>
      <c r="CC1012" s="540"/>
      <c r="CD1012" s="540"/>
      <c r="CE1012" s="540"/>
      <c r="CF1012" s="540"/>
      <c r="CG1012" s="540"/>
      <c r="CH1012" s="540"/>
      <c r="CI1012" s="540"/>
      <c r="CJ1012" s="540"/>
      <c r="CK1012" s="540"/>
      <c r="CL1012" s="540"/>
      <c r="CM1012" s="540"/>
      <c r="CN1012" s="540"/>
      <c r="CO1012" s="540"/>
      <c r="CP1012" s="540"/>
      <c r="CQ1012" s="540"/>
      <c r="CR1012" s="540"/>
      <c r="CS1012" s="540"/>
      <c r="CT1012" s="540"/>
      <c r="CU1012" s="540"/>
      <c r="CV1012" s="540"/>
      <c r="CW1012" s="540"/>
      <c r="CX1012" s="540"/>
      <c r="CY1012" s="540"/>
      <c r="CZ1012" s="540"/>
      <c r="DA1012" s="540"/>
      <c r="DB1012" s="540"/>
      <c r="DC1012" s="540"/>
      <c r="DD1012" s="540"/>
      <c r="DE1012" s="540"/>
    </row>
    <row r="1013" spans="1:109" s="116" customFormat="1" x14ac:dyDescent="0.2">
      <c r="A1013" s="435"/>
      <c r="B1013" s="435"/>
      <c r="C1013" s="435"/>
      <c r="D1013" s="435"/>
      <c r="AB1013" s="540"/>
      <c r="AU1013" s="540"/>
      <c r="AV1013" s="540"/>
      <c r="AW1013" s="540"/>
      <c r="AX1013" s="540"/>
      <c r="AY1013" s="540"/>
      <c r="AZ1013" s="540"/>
      <c r="BA1013" s="540"/>
      <c r="BB1013" s="540"/>
      <c r="BC1013" s="540"/>
      <c r="BD1013" s="540"/>
      <c r="BE1013" s="540"/>
      <c r="BF1013" s="540"/>
      <c r="BG1013" s="540"/>
      <c r="BH1013" s="540"/>
      <c r="BI1013" s="540"/>
      <c r="BJ1013" s="540"/>
      <c r="BK1013" s="540"/>
      <c r="BL1013" s="540"/>
      <c r="BM1013" s="540"/>
      <c r="BN1013" s="540"/>
      <c r="BO1013" s="540"/>
      <c r="BP1013" s="540"/>
      <c r="BQ1013" s="540"/>
      <c r="BR1013" s="540"/>
      <c r="BS1013" s="540"/>
      <c r="BT1013" s="540"/>
      <c r="BU1013" s="540"/>
      <c r="BV1013" s="540"/>
      <c r="BW1013" s="540"/>
      <c r="BX1013" s="540"/>
      <c r="BY1013" s="540"/>
      <c r="BZ1013" s="540"/>
      <c r="CA1013" s="540"/>
      <c r="CB1013" s="540"/>
      <c r="CC1013" s="540"/>
      <c r="CD1013" s="540"/>
      <c r="CE1013" s="540"/>
      <c r="CF1013" s="540"/>
      <c r="CG1013" s="540"/>
      <c r="CH1013" s="540"/>
      <c r="CI1013" s="540"/>
      <c r="CJ1013" s="540"/>
      <c r="CK1013" s="540"/>
      <c r="CL1013" s="540"/>
      <c r="CM1013" s="540"/>
      <c r="CN1013" s="540"/>
      <c r="CO1013" s="540"/>
      <c r="CP1013" s="540"/>
      <c r="CQ1013" s="540"/>
      <c r="CR1013" s="540"/>
      <c r="CS1013" s="540"/>
      <c r="CT1013" s="540"/>
      <c r="CU1013" s="540"/>
      <c r="CV1013" s="540"/>
      <c r="CW1013" s="540"/>
      <c r="CX1013" s="540"/>
      <c r="CY1013" s="540"/>
      <c r="CZ1013" s="540"/>
      <c r="DA1013" s="540"/>
      <c r="DB1013" s="540"/>
      <c r="DC1013" s="540"/>
      <c r="DD1013" s="540"/>
      <c r="DE1013" s="540"/>
    </row>
    <row r="1014" spans="1:109" s="116" customFormat="1" x14ac:dyDescent="0.2">
      <c r="A1014" s="435"/>
      <c r="B1014" s="435"/>
      <c r="C1014" s="435"/>
      <c r="D1014" s="435"/>
      <c r="AB1014" s="540"/>
      <c r="AU1014" s="540"/>
      <c r="AV1014" s="540"/>
      <c r="AW1014" s="540"/>
      <c r="AX1014" s="540"/>
      <c r="AY1014" s="540"/>
      <c r="AZ1014" s="540"/>
      <c r="BA1014" s="540"/>
      <c r="BB1014" s="540"/>
      <c r="BC1014" s="540"/>
      <c r="BD1014" s="540"/>
      <c r="BE1014" s="540"/>
      <c r="BF1014" s="540"/>
      <c r="BG1014" s="540"/>
      <c r="BH1014" s="540"/>
      <c r="BI1014" s="540"/>
      <c r="BJ1014" s="540"/>
      <c r="BK1014" s="540"/>
      <c r="BL1014" s="540"/>
      <c r="BM1014" s="540"/>
      <c r="BN1014" s="540"/>
      <c r="BO1014" s="540"/>
      <c r="BP1014" s="540"/>
      <c r="BQ1014" s="540"/>
      <c r="BR1014" s="540"/>
      <c r="BS1014" s="540"/>
      <c r="BT1014" s="540"/>
      <c r="BU1014" s="540"/>
      <c r="BV1014" s="540"/>
      <c r="BW1014" s="540"/>
      <c r="BX1014" s="540"/>
      <c r="BY1014" s="540"/>
      <c r="BZ1014" s="540"/>
      <c r="CA1014" s="540"/>
      <c r="CB1014" s="540"/>
      <c r="CC1014" s="540"/>
      <c r="CD1014" s="540"/>
      <c r="CE1014" s="540"/>
      <c r="CF1014" s="540"/>
      <c r="CG1014" s="540"/>
      <c r="CH1014" s="540"/>
      <c r="CI1014" s="540"/>
      <c r="CJ1014" s="540"/>
      <c r="CK1014" s="540"/>
      <c r="CL1014" s="540"/>
      <c r="CM1014" s="540"/>
      <c r="CN1014" s="540"/>
      <c r="CO1014" s="540"/>
      <c r="CP1014" s="540"/>
      <c r="CQ1014" s="540"/>
      <c r="CR1014" s="540"/>
      <c r="CS1014" s="540"/>
      <c r="CT1014" s="540"/>
      <c r="CU1014" s="540"/>
      <c r="CV1014" s="540"/>
      <c r="CW1014" s="540"/>
      <c r="CX1014" s="540"/>
      <c r="CY1014" s="540"/>
      <c r="CZ1014" s="540"/>
      <c r="DA1014" s="540"/>
      <c r="DB1014" s="540"/>
      <c r="DC1014" s="540"/>
      <c r="DD1014" s="540"/>
      <c r="DE1014" s="540"/>
    </row>
    <row r="1015" spans="1:109" s="116" customFormat="1" x14ac:dyDescent="0.2">
      <c r="A1015" s="435"/>
      <c r="B1015" s="435"/>
      <c r="C1015" s="435"/>
      <c r="D1015" s="435"/>
      <c r="AB1015" s="540"/>
      <c r="AU1015" s="540"/>
      <c r="AV1015" s="540"/>
      <c r="AW1015" s="540"/>
      <c r="AX1015" s="540"/>
      <c r="AY1015" s="540"/>
      <c r="AZ1015" s="540"/>
      <c r="BA1015" s="540"/>
      <c r="BB1015" s="540"/>
      <c r="BC1015" s="540"/>
      <c r="BD1015" s="540"/>
      <c r="BE1015" s="540"/>
      <c r="BF1015" s="540"/>
      <c r="BG1015" s="540"/>
      <c r="BH1015" s="540"/>
      <c r="BI1015" s="540"/>
      <c r="BJ1015" s="540"/>
      <c r="BK1015" s="540"/>
      <c r="BL1015" s="540"/>
      <c r="BM1015" s="540"/>
      <c r="BN1015" s="540"/>
      <c r="BO1015" s="540"/>
      <c r="BP1015" s="540"/>
      <c r="BQ1015" s="540"/>
      <c r="BR1015" s="540"/>
      <c r="BS1015" s="540"/>
      <c r="BT1015" s="540"/>
      <c r="BU1015" s="540"/>
      <c r="BV1015" s="540"/>
      <c r="BW1015" s="540"/>
      <c r="BX1015" s="540"/>
      <c r="BY1015" s="540"/>
      <c r="BZ1015" s="540"/>
      <c r="CA1015" s="540"/>
      <c r="CB1015" s="540"/>
      <c r="CC1015" s="540"/>
      <c r="CD1015" s="540"/>
      <c r="CE1015" s="540"/>
      <c r="CF1015" s="540"/>
      <c r="CG1015" s="540"/>
      <c r="CH1015" s="540"/>
      <c r="CI1015" s="540"/>
      <c r="CJ1015" s="540"/>
      <c r="CK1015" s="540"/>
      <c r="CL1015" s="540"/>
      <c r="CM1015" s="540"/>
      <c r="CN1015" s="540"/>
      <c r="CO1015" s="540"/>
      <c r="CP1015" s="540"/>
      <c r="CQ1015" s="540"/>
      <c r="CR1015" s="540"/>
      <c r="CS1015" s="540"/>
      <c r="CT1015" s="540"/>
      <c r="CU1015" s="540"/>
      <c r="CV1015" s="540"/>
      <c r="CW1015" s="540"/>
      <c r="CX1015" s="540"/>
      <c r="CY1015" s="540"/>
      <c r="CZ1015" s="540"/>
      <c r="DA1015" s="540"/>
      <c r="DB1015" s="540"/>
      <c r="DC1015" s="540"/>
      <c r="DD1015" s="540"/>
      <c r="DE1015" s="540"/>
    </row>
  </sheetData>
  <sheetProtection sheet="1" objects="1" scenarios="1"/>
  <mergeCells count="2">
    <mergeCell ref="F1:AA1"/>
    <mergeCell ref="AC1:AT1"/>
  </mergeCells>
  <pageMargins left="0.39370078740157483" right="0.39370078740157483" top="0.39370078740157483" bottom="0.39370078740157483" header="0.51181102362204722" footer="0.51181102362204722"/>
  <pageSetup paperSize="8" scale="63" fitToHeight="4"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V551"/>
  <sheetViews>
    <sheetView workbookViewId="0">
      <selection activeCell="L534" sqref="L534"/>
    </sheetView>
  </sheetViews>
  <sheetFormatPr defaultColWidth="9.140625" defaultRowHeight="12.75" x14ac:dyDescent="0.2"/>
  <cols>
    <col min="6" max="6" width="11.28515625" style="961" customWidth="1"/>
    <col min="7" max="7" width="9.140625" style="961"/>
    <col min="8" max="8" width="19.5703125" style="812" customWidth="1"/>
    <col min="9" max="9" width="11.42578125" style="812" customWidth="1"/>
    <col min="10" max="10" width="11.5703125" customWidth="1"/>
    <col min="11" max="11" width="18.85546875" customWidth="1"/>
    <col min="12" max="12" width="16.42578125" bestFit="1" customWidth="1"/>
    <col min="13" max="13" width="15.28515625" bestFit="1" customWidth="1"/>
    <col min="14" max="14" width="14.7109375" bestFit="1" customWidth="1"/>
  </cols>
  <sheetData>
    <row r="1" spans="1:15" x14ac:dyDescent="0.2">
      <c r="A1" s="1733" t="s">
        <v>1113</v>
      </c>
      <c r="B1" t="s">
        <v>1114</v>
      </c>
      <c r="C1" t="s">
        <v>1115</v>
      </c>
      <c r="D1" t="s">
        <v>1116</v>
      </c>
      <c r="E1" t="s">
        <v>1202</v>
      </c>
      <c r="F1" s="812" t="s">
        <v>1117</v>
      </c>
      <c r="G1" t="s">
        <v>1118</v>
      </c>
      <c r="H1" s="277" t="s">
        <v>2313</v>
      </c>
      <c r="I1" s="277" t="s">
        <v>2314</v>
      </c>
      <c r="J1" t="s">
        <v>1198</v>
      </c>
      <c r="K1" t="s">
        <v>1199</v>
      </c>
      <c r="L1" t="s">
        <v>1201</v>
      </c>
      <c r="M1" t="s">
        <v>1200</v>
      </c>
      <c r="O1" s="987"/>
    </row>
    <row r="2" spans="1:15" x14ac:dyDescent="0.2">
      <c r="A2" s="813" t="str">
        <f>'Part 1'!$L$17</f>
        <v>EZZZZ</v>
      </c>
      <c r="B2">
        <v>2017</v>
      </c>
      <c r="C2">
        <v>1</v>
      </c>
      <c r="D2">
        <v>5</v>
      </c>
      <c r="E2" s="969" t="s">
        <v>1191</v>
      </c>
      <c r="F2" s="814">
        <f>'Part 1'!$K$25</f>
        <v>0</v>
      </c>
      <c r="G2" s="814"/>
      <c r="H2" s="812" t="s">
        <v>2372</v>
      </c>
      <c r="I2" s="1734" t="s">
        <v>2315</v>
      </c>
      <c r="J2" s="1008"/>
      <c r="K2" s="1736">
        <f>'Part 1'!L18</f>
        <v>0</v>
      </c>
      <c r="L2">
        <f>'Part 1'!L19:P19</f>
        <v>0</v>
      </c>
      <c r="M2">
        <f>'Part 1'!L20:P20</f>
        <v>0</v>
      </c>
    </row>
    <row r="3" spans="1:15" x14ac:dyDescent="0.2">
      <c r="A3" s="813" t="str">
        <f>'Part 1'!$L$17</f>
        <v>EZZZZ</v>
      </c>
      <c r="B3">
        <v>2017</v>
      </c>
      <c r="C3">
        <v>2</v>
      </c>
      <c r="D3">
        <v>5</v>
      </c>
      <c r="E3" s="969" t="s">
        <v>1191</v>
      </c>
      <c r="F3" s="814">
        <f>'Part 1'!$K$31</f>
        <v>0</v>
      </c>
      <c r="G3" s="814"/>
      <c r="H3" s="812" t="s">
        <v>2373</v>
      </c>
      <c r="I3" s="1734" t="s">
        <v>2315</v>
      </c>
    </row>
    <row r="4" spans="1:15" x14ac:dyDescent="0.2">
      <c r="A4" s="813" t="str">
        <f>'Part 1'!$L$17</f>
        <v>EZZZZ</v>
      </c>
      <c r="B4">
        <v>2017</v>
      </c>
      <c r="C4">
        <v>3</v>
      </c>
      <c r="D4">
        <v>5</v>
      </c>
      <c r="E4" s="969" t="s">
        <v>1191</v>
      </c>
      <c r="F4" s="814">
        <f>'Part 1'!$K$33</f>
        <v>0</v>
      </c>
      <c r="G4" s="814"/>
      <c r="H4" s="812" t="s">
        <v>2374</v>
      </c>
      <c r="I4" s="1734" t="s">
        <v>2315</v>
      </c>
    </row>
    <row r="5" spans="1:15" x14ac:dyDescent="0.2">
      <c r="A5" s="813" t="str">
        <f>'Part 1'!$L$17</f>
        <v>EZZZZ</v>
      </c>
      <c r="B5">
        <v>2017</v>
      </c>
      <c r="C5">
        <v>4</v>
      </c>
      <c r="D5">
        <v>5</v>
      </c>
      <c r="E5" s="969" t="s">
        <v>1191</v>
      </c>
      <c r="F5" s="814" t="e">
        <f>'Part 1'!$K$36</f>
        <v>#N/A</v>
      </c>
      <c r="G5" s="814"/>
      <c r="H5" s="812" t="s">
        <v>2375</v>
      </c>
      <c r="I5" s="1734" t="s">
        <v>2315</v>
      </c>
    </row>
    <row r="6" spans="1:15" x14ac:dyDescent="0.2">
      <c r="A6" s="813" t="str">
        <f>'Part 1'!$L$17</f>
        <v>EZZZZ</v>
      </c>
      <c r="B6">
        <v>2017</v>
      </c>
      <c r="C6">
        <v>5</v>
      </c>
      <c r="D6">
        <v>5</v>
      </c>
      <c r="E6" s="969" t="s">
        <v>1191</v>
      </c>
      <c r="F6" s="814">
        <f>'Part 1'!$K$38</f>
        <v>0</v>
      </c>
      <c r="G6" s="814"/>
      <c r="H6" s="812" t="s">
        <v>2376</v>
      </c>
      <c r="I6" s="1734" t="s">
        <v>2315</v>
      </c>
    </row>
    <row r="7" spans="1:15" x14ac:dyDescent="0.2">
      <c r="A7" s="813" t="str">
        <f>'Part 1'!$L$17</f>
        <v>EZZZZ</v>
      </c>
      <c r="B7">
        <v>2017</v>
      </c>
      <c r="C7">
        <v>6</v>
      </c>
      <c r="D7">
        <v>5</v>
      </c>
      <c r="E7" s="969" t="s">
        <v>1191</v>
      </c>
      <c r="F7" s="814" t="e">
        <f>'Part 1'!$K$40</f>
        <v>#N/A</v>
      </c>
      <c r="G7" s="814"/>
      <c r="H7" s="812" t="s">
        <v>2377</v>
      </c>
      <c r="I7" s="1734" t="s">
        <v>2315</v>
      </c>
    </row>
    <row r="8" spans="1:15" x14ac:dyDescent="0.2">
      <c r="A8" s="813" t="str">
        <f>'Part 1'!$L$17</f>
        <v>EZZZZ</v>
      </c>
      <c r="B8">
        <v>2017</v>
      </c>
      <c r="C8">
        <v>7</v>
      </c>
      <c r="D8">
        <v>5</v>
      </c>
      <c r="E8" s="969" t="s">
        <v>1191</v>
      </c>
      <c r="F8" s="814">
        <f>'Part 1'!$K$43</f>
        <v>0</v>
      </c>
      <c r="G8" s="814"/>
      <c r="H8" s="812" t="s">
        <v>2378</v>
      </c>
      <c r="I8" s="1734" t="s">
        <v>2315</v>
      </c>
    </row>
    <row r="9" spans="1:15" x14ac:dyDescent="0.2">
      <c r="A9" s="813" t="str">
        <f>'Part 1'!$L$17</f>
        <v>EZZZZ</v>
      </c>
      <c r="B9">
        <v>2017</v>
      </c>
      <c r="C9">
        <v>8</v>
      </c>
      <c r="D9">
        <v>5</v>
      </c>
      <c r="E9" s="969" t="s">
        <v>1191</v>
      </c>
      <c r="F9" s="814">
        <f>'Part 1'!$K$46</f>
        <v>0</v>
      </c>
      <c r="G9" s="814"/>
      <c r="H9" s="812" t="s">
        <v>2379</v>
      </c>
      <c r="I9" s="1734" t="s">
        <v>2315</v>
      </c>
    </row>
    <row r="10" spans="1:15" x14ac:dyDescent="0.2">
      <c r="A10" s="813" t="str">
        <f>'Part 1'!$L$17</f>
        <v>EZZZZ</v>
      </c>
      <c r="B10">
        <v>2017</v>
      </c>
      <c r="C10">
        <v>9</v>
      </c>
      <c r="D10">
        <v>5</v>
      </c>
      <c r="E10" s="969" t="s">
        <v>1191</v>
      </c>
      <c r="F10" s="814">
        <f>'Part 1'!$K$48</f>
        <v>0</v>
      </c>
      <c r="G10" s="814"/>
      <c r="H10" s="812" t="s">
        <v>2380</v>
      </c>
      <c r="I10" s="1734" t="s">
        <v>2315</v>
      </c>
    </row>
    <row r="11" spans="1:15" x14ac:dyDescent="0.2">
      <c r="A11" s="813" t="str">
        <f>'Part 1'!$L$17</f>
        <v>EZZZZ</v>
      </c>
      <c r="B11">
        <v>2017</v>
      </c>
      <c r="C11">
        <v>10</v>
      </c>
      <c r="D11">
        <v>5</v>
      </c>
      <c r="E11" s="969" t="s">
        <v>1191</v>
      </c>
      <c r="F11" s="814">
        <f>'Part 1'!$K$51</f>
        <v>0</v>
      </c>
      <c r="G11" s="814"/>
      <c r="H11" s="812" t="s">
        <v>2381</v>
      </c>
      <c r="I11" s="1734" t="s">
        <v>2315</v>
      </c>
    </row>
    <row r="12" spans="1:15" x14ac:dyDescent="0.2">
      <c r="A12" s="813" t="str">
        <f>'Part 1'!$L$17</f>
        <v>EZZZZ</v>
      </c>
      <c r="B12">
        <v>2017</v>
      </c>
      <c r="C12">
        <v>11</v>
      </c>
      <c r="D12">
        <v>5</v>
      </c>
      <c r="E12" s="969" t="s">
        <v>1191</v>
      </c>
      <c r="F12" s="814">
        <f>'Part 1'!$K$53</f>
        <v>0</v>
      </c>
      <c r="G12" s="814"/>
      <c r="H12" s="812" t="s">
        <v>2382</v>
      </c>
      <c r="I12" s="1734" t="s">
        <v>2315</v>
      </c>
    </row>
    <row r="13" spans="1:15" x14ac:dyDescent="0.2">
      <c r="A13" s="813" t="str">
        <f>'Part 1'!$L$17</f>
        <v>EZZZZ</v>
      </c>
      <c r="B13">
        <v>2017</v>
      </c>
      <c r="C13">
        <v>12</v>
      </c>
      <c r="D13">
        <v>5</v>
      </c>
      <c r="E13" s="969" t="s">
        <v>1191</v>
      </c>
      <c r="F13" s="814" t="e">
        <f>'Part 1'!$K$56</f>
        <v>#N/A</v>
      </c>
      <c r="G13" s="814"/>
      <c r="H13" s="812" t="s">
        <v>2383</v>
      </c>
      <c r="I13" s="1734" t="s">
        <v>2315</v>
      </c>
    </row>
    <row r="14" spans="1:15" x14ac:dyDescent="0.2">
      <c r="A14" s="813" t="str">
        <f>'Part 1'!$L$17</f>
        <v>EZZZZ</v>
      </c>
      <c r="B14">
        <v>2017</v>
      </c>
      <c r="C14">
        <v>13</v>
      </c>
      <c r="D14">
        <v>1</v>
      </c>
      <c r="E14" s="969" t="s">
        <v>1191</v>
      </c>
      <c r="F14" s="814">
        <f>'Part 1'!$K$92</f>
        <v>1</v>
      </c>
      <c r="G14" s="814"/>
      <c r="H14" s="812" t="s">
        <v>2384</v>
      </c>
      <c r="I14" s="1734" t="s">
        <v>2315</v>
      </c>
    </row>
    <row r="15" spans="1:15" x14ac:dyDescent="0.2">
      <c r="A15" s="813" t="str">
        <f>'Part 1'!$L$17</f>
        <v>EZZZZ</v>
      </c>
      <c r="B15">
        <v>2017</v>
      </c>
      <c r="C15">
        <v>13</v>
      </c>
      <c r="D15">
        <v>2</v>
      </c>
      <c r="E15" s="969" t="s">
        <v>1191</v>
      </c>
      <c r="F15" s="814">
        <f>'Part 1'!$N$92</f>
        <v>0</v>
      </c>
      <c r="G15" s="814"/>
      <c r="H15" s="812" t="s">
        <v>2385</v>
      </c>
      <c r="I15" s="1734" t="s">
        <v>2315</v>
      </c>
    </row>
    <row r="16" spans="1:15" x14ac:dyDescent="0.2">
      <c r="A16" s="813" t="str">
        <f>'Part 1'!$L$17</f>
        <v>EZZZZ</v>
      </c>
      <c r="B16">
        <v>2017</v>
      </c>
      <c r="C16">
        <v>13</v>
      </c>
      <c r="D16">
        <v>3</v>
      </c>
      <c r="E16" s="969" t="s">
        <v>1191</v>
      </c>
      <c r="F16" s="814">
        <f>'Part 1'!$Q$92</f>
        <v>0</v>
      </c>
      <c r="G16" s="814"/>
      <c r="H16" s="812" t="s">
        <v>2386</v>
      </c>
      <c r="I16" s="1734" t="s">
        <v>2315</v>
      </c>
    </row>
    <row r="17" spans="1:9" x14ac:dyDescent="0.2">
      <c r="A17" s="813" t="str">
        <f>'Part 1'!$L$17</f>
        <v>EZZZZ</v>
      </c>
      <c r="B17">
        <v>2017</v>
      </c>
      <c r="C17">
        <v>13</v>
      </c>
      <c r="D17">
        <v>4</v>
      </c>
      <c r="E17" s="969" t="s">
        <v>1191</v>
      </c>
      <c r="F17" s="814">
        <f>'Part 1'!$T$92</f>
        <v>0</v>
      </c>
      <c r="G17" s="814"/>
      <c r="H17" s="812" t="s">
        <v>2387</v>
      </c>
      <c r="I17" s="1734" t="s">
        <v>2315</v>
      </c>
    </row>
    <row r="18" spans="1:9" x14ac:dyDescent="0.2">
      <c r="A18" s="813" t="str">
        <f>'Part 1'!$L$17</f>
        <v>EZZZZ</v>
      </c>
      <c r="B18">
        <v>2017</v>
      </c>
      <c r="C18">
        <v>13</v>
      </c>
      <c r="D18">
        <v>5</v>
      </c>
      <c r="E18" s="969" t="s">
        <v>1191</v>
      </c>
      <c r="F18" s="814">
        <f>'Part 1'!$W$92</f>
        <v>1</v>
      </c>
      <c r="G18" s="814"/>
      <c r="H18" s="812" t="s">
        <v>2388</v>
      </c>
      <c r="I18" s="1734" t="s">
        <v>2315</v>
      </c>
    </row>
    <row r="19" spans="1:9" x14ac:dyDescent="0.2">
      <c r="A19" s="813" t="str">
        <f>'Part 1'!$L$17</f>
        <v>EZZZZ</v>
      </c>
      <c r="B19">
        <v>2017</v>
      </c>
      <c r="C19">
        <v>14</v>
      </c>
      <c r="D19">
        <v>1</v>
      </c>
      <c r="E19" s="969" t="s">
        <v>1191</v>
      </c>
      <c r="F19" s="814" t="e">
        <f>'Part 1'!$K$96</f>
        <v>#N/A</v>
      </c>
      <c r="G19" s="814"/>
      <c r="H19" s="812" t="s">
        <v>2389</v>
      </c>
      <c r="I19" s="1734" t="s">
        <v>2315</v>
      </c>
    </row>
    <row r="20" spans="1:9" x14ac:dyDescent="0.2">
      <c r="A20" s="813" t="str">
        <f>'Part 1'!$L$17</f>
        <v>EZZZZ</v>
      </c>
      <c r="B20">
        <v>2017</v>
      </c>
      <c r="C20">
        <v>14</v>
      </c>
      <c r="D20">
        <v>2</v>
      </c>
      <c r="E20" s="969" t="s">
        <v>1191</v>
      </c>
      <c r="F20" s="814" t="e">
        <f>'Part 1'!$N$96</f>
        <v>#N/A</v>
      </c>
      <c r="G20" s="814"/>
      <c r="H20" s="812" t="s">
        <v>2390</v>
      </c>
      <c r="I20" s="1734" t="s">
        <v>2315</v>
      </c>
    </row>
    <row r="21" spans="1:9" x14ac:dyDescent="0.2">
      <c r="A21" s="813" t="str">
        <f>'Part 1'!$L$17</f>
        <v>EZZZZ</v>
      </c>
      <c r="B21">
        <v>2017</v>
      </c>
      <c r="C21">
        <v>14</v>
      </c>
      <c r="D21">
        <v>3</v>
      </c>
      <c r="E21" s="969" t="s">
        <v>1191</v>
      </c>
      <c r="F21" s="814" t="e">
        <f>'Part 1'!$Q$96</f>
        <v>#N/A</v>
      </c>
      <c r="G21" s="814"/>
      <c r="H21" s="812" t="s">
        <v>2391</v>
      </c>
      <c r="I21" s="1734" t="s">
        <v>2315</v>
      </c>
    </row>
    <row r="22" spans="1:9" x14ac:dyDescent="0.2">
      <c r="A22" s="813" t="str">
        <f>'Part 1'!$L$17</f>
        <v>EZZZZ</v>
      </c>
      <c r="B22">
        <v>2017</v>
      </c>
      <c r="C22">
        <v>14</v>
      </c>
      <c r="D22">
        <v>4</v>
      </c>
      <c r="E22" s="969" t="s">
        <v>1191</v>
      </c>
      <c r="F22" s="814" t="e">
        <f>'Part 1'!$T$96</f>
        <v>#N/A</v>
      </c>
      <c r="G22" s="814"/>
      <c r="H22" t="s">
        <v>2392</v>
      </c>
      <c r="I22" s="1734" t="s">
        <v>2315</v>
      </c>
    </row>
    <row r="23" spans="1:9" x14ac:dyDescent="0.2">
      <c r="A23" s="813" t="str">
        <f>'Part 1'!$L$17</f>
        <v>EZZZZ</v>
      </c>
      <c r="B23">
        <v>2017</v>
      </c>
      <c r="C23">
        <v>14</v>
      </c>
      <c r="D23">
        <v>5</v>
      </c>
      <c r="E23" s="969" t="s">
        <v>1191</v>
      </c>
      <c r="F23" s="814" t="e">
        <f>'Part 1'!$W$96</f>
        <v>#N/A</v>
      </c>
      <c r="G23" s="814"/>
      <c r="H23" t="s">
        <v>2393</v>
      </c>
      <c r="I23" s="1734" t="s">
        <v>2315</v>
      </c>
    </row>
    <row r="24" spans="1:9" x14ac:dyDescent="0.2">
      <c r="A24" s="813" t="str">
        <f>'Part 1'!$L$17</f>
        <v>EZZZZ</v>
      </c>
      <c r="B24">
        <v>2017</v>
      </c>
      <c r="C24">
        <v>15</v>
      </c>
      <c r="D24">
        <v>1</v>
      </c>
      <c r="E24" s="969" t="s">
        <v>1191</v>
      </c>
      <c r="F24" s="814">
        <f>'Part 1'!$K$99</f>
        <v>0</v>
      </c>
      <c r="G24" s="814"/>
      <c r="H24" s="812" t="s">
        <v>2394</v>
      </c>
      <c r="I24" s="1734" t="s">
        <v>2315</v>
      </c>
    </row>
    <row r="25" spans="1:9" x14ac:dyDescent="0.2">
      <c r="A25" s="813" t="str">
        <f>'Part 1'!$L$17</f>
        <v>EZZZZ</v>
      </c>
      <c r="B25">
        <v>2017</v>
      </c>
      <c r="C25">
        <v>15</v>
      </c>
      <c r="D25">
        <v>2</v>
      </c>
      <c r="E25" s="969" t="s">
        <v>1191</v>
      </c>
      <c r="F25" s="814">
        <f>'Part 1'!$N$99</f>
        <v>0</v>
      </c>
      <c r="G25" s="814"/>
      <c r="H25" s="812" t="s">
        <v>2395</v>
      </c>
      <c r="I25" s="1734" t="s">
        <v>2315</v>
      </c>
    </row>
    <row r="26" spans="1:9" x14ac:dyDescent="0.2">
      <c r="A26" s="813" t="str">
        <f>'Part 1'!$L$17</f>
        <v>EZZZZ</v>
      </c>
      <c r="B26">
        <v>2017</v>
      </c>
      <c r="C26">
        <v>15</v>
      </c>
      <c r="D26">
        <v>3</v>
      </c>
      <c r="E26" s="969" t="s">
        <v>1191</v>
      </c>
      <c r="F26" s="814">
        <f>'Part 1'!$Q$99</f>
        <v>0</v>
      </c>
      <c r="G26" s="814"/>
      <c r="H26" s="812" t="s">
        <v>2396</v>
      </c>
      <c r="I26" s="1734" t="s">
        <v>2315</v>
      </c>
    </row>
    <row r="27" spans="1:9" x14ac:dyDescent="0.2">
      <c r="A27" s="813" t="str">
        <f>'Part 1'!$L$17</f>
        <v>EZZZZ</v>
      </c>
      <c r="B27">
        <v>2017</v>
      </c>
      <c r="C27">
        <v>15</v>
      </c>
      <c r="D27">
        <v>4</v>
      </c>
      <c r="E27" s="969" t="s">
        <v>1191</v>
      </c>
      <c r="F27" s="814">
        <f>'Part 1'!$T$99</f>
        <v>0</v>
      </c>
      <c r="G27" s="814"/>
      <c r="H27" t="s">
        <v>2397</v>
      </c>
      <c r="I27" s="1734" t="s">
        <v>2315</v>
      </c>
    </row>
    <row r="28" spans="1:9" x14ac:dyDescent="0.2">
      <c r="A28" s="813" t="str">
        <f>'Part 1'!$L$17</f>
        <v>EZZZZ</v>
      </c>
      <c r="B28">
        <v>2017</v>
      </c>
      <c r="C28">
        <v>15</v>
      </c>
      <c r="D28">
        <v>5</v>
      </c>
      <c r="E28" s="969" t="s">
        <v>1191</v>
      </c>
      <c r="F28" s="814">
        <f>'Part 1'!$W$99</f>
        <v>0</v>
      </c>
      <c r="G28" s="814"/>
      <c r="H28" t="s">
        <v>2398</v>
      </c>
      <c r="I28" s="1734" t="s">
        <v>2315</v>
      </c>
    </row>
    <row r="29" spans="1:9" ht="15" x14ac:dyDescent="0.25">
      <c r="A29" s="813" t="str">
        <f>'Part 1'!$L$17</f>
        <v>EZZZZ</v>
      </c>
      <c r="B29">
        <v>2017</v>
      </c>
      <c r="C29">
        <v>16</v>
      </c>
      <c r="D29">
        <v>1</v>
      </c>
      <c r="E29" s="970" t="s">
        <v>1191</v>
      </c>
      <c r="F29" s="814" t="e">
        <f>'Part 1'!$K$101</f>
        <v>#N/A</v>
      </c>
      <c r="G29" s="814"/>
      <c r="H29" s="812" t="s">
        <v>2399</v>
      </c>
      <c r="I29" s="1734" t="s">
        <v>2315</v>
      </c>
    </row>
    <row r="30" spans="1:9" ht="15" x14ac:dyDescent="0.25">
      <c r="A30" s="813" t="str">
        <f>'Part 1'!$L$17</f>
        <v>EZZZZ</v>
      </c>
      <c r="B30">
        <v>2017</v>
      </c>
      <c r="C30">
        <v>16</v>
      </c>
      <c r="D30">
        <v>2</v>
      </c>
      <c r="E30" s="970" t="s">
        <v>1191</v>
      </c>
      <c r="F30" s="814" t="e">
        <f>'Part 1'!$N$101</f>
        <v>#N/A</v>
      </c>
      <c r="G30" s="814"/>
      <c r="H30" s="812" t="s">
        <v>2400</v>
      </c>
      <c r="I30" s="1734" t="s">
        <v>2315</v>
      </c>
    </row>
    <row r="31" spans="1:9" ht="15" x14ac:dyDescent="0.25">
      <c r="A31" s="813" t="str">
        <f>'Part 1'!$L$17</f>
        <v>EZZZZ</v>
      </c>
      <c r="B31">
        <v>2017</v>
      </c>
      <c r="C31">
        <v>16</v>
      </c>
      <c r="D31">
        <v>3</v>
      </c>
      <c r="E31" s="970" t="s">
        <v>1191</v>
      </c>
      <c r="F31" s="814" t="e">
        <f>'Part 1'!$Q$101</f>
        <v>#N/A</v>
      </c>
      <c r="G31" s="814"/>
      <c r="H31" s="812" t="s">
        <v>2401</v>
      </c>
      <c r="I31" s="1734" t="s">
        <v>2315</v>
      </c>
    </row>
    <row r="32" spans="1:9" ht="15" x14ac:dyDescent="0.25">
      <c r="A32" s="813" t="str">
        <f>'Part 1'!$L$17</f>
        <v>EZZZZ</v>
      </c>
      <c r="B32">
        <v>2017</v>
      </c>
      <c r="C32">
        <v>16</v>
      </c>
      <c r="D32">
        <v>4</v>
      </c>
      <c r="E32" s="970" t="s">
        <v>1191</v>
      </c>
      <c r="F32" s="814" t="e">
        <f>'Part 1'!$T$101</f>
        <v>#N/A</v>
      </c>
      <c r="G32" s="814"/>
      <c r="H32" t="s">
        <v>2402</v>
      </c>
      <c r="I32" s="1734" t="s">
        <v>2315</v>
      </c>
    </row>
    <row r="33" spans="1:9" ht="15" x14ac:dyDescent="0.25">
      <c r="A33" s="813" t="str">
        <f>'Part 1'!$L$17</f>
        <v>EZZZZ</v>
      </c>
      <c r="B33">
        <v>2017</v>
      </c>
      <c r="C33">
        <v>16</v>
      </c>
      <c r="D33">
        <v>5</v>
      </c>
      <c r="E33" s="970" t="s">
        <v>1191</v>
      </c>
      <c r="F33" s="814" t="e">
        <f>'Part 1'!$W$101</f>
        <v>#N/A</v>
      </c>
      <c r="G33" s="814"/>
      <c r="H33" t="s">
        <v>2403</v>
      </c>
      <c r="I33" s="1734" t="s">
        <v>2315</v>
      </c>
    </row>
    <row r="34" spans="1:9" x14ac:dyDescent="0.2">
      <c r="A34" s="813" t="str">
        <f>'Part 1'!$L$17</f>
        <v>EZZZZ</v>
      </c>
      <c r="B34">
        <v>2017</v>
      </c>
      <c r="C34">
        <v>17</v>
      </c>
      <c r="D34">
        <v>2</v>
      </c>
      <c r="E34" s="969" t="s">
        <v>1191</v>
      </c>
      <c r="F34" s="814" t="e">
        <f>'Part 1'!$N$104</f>
        <v>#N/A</v>
      </c>
      <c r="G34" s="814"/>
      <c r="H34" s="812" t="s">
        <v>2404</v>
      </c>
      <c r="I34" s="1734" t="s">
        <v>2315</v>
      </c>
    </row>
    <row r="35" spans="1:9" x14ac:dyDescent="0.2">
      <c r="A35" s="813" t="str">
        <f>'Part 1'!$L$17</f>
        <v>EZZZZ</v>
      </c>
      <c r="B35">
        <v>2017</v>
      </c>
      <c r="C35">
        <v>17</v>
      </c>
      <c r="D35">
        <v>5</v>
      </c>
      <c r="E35" s="969" t="s">
        <v>1191</v>
      </c>
      <c r="F35" s="814" t="e">
        <f>'Part 1'!$W$104</f>
        <v>#N/A</v>
      </c>
      <c r="G35" s="814"/>
      <c r="H35" t="s">
        <v>2405</v>
      </c>
      <c r="I35" s="1734" t="s">
        <v>2315</v>
      </c>
    </row>
    <row r="36" spans="1:9" x14ac:dyDescent="0.2">
      <c r="A36" s="813" t="str">
        <f>'Part 1'!$L$17</f>
        <v>EZZZZ</v>
      </c>
      <c r="B36">
        <v>2017</v>
      </c>
      <c r="C36">
        <v>18</v>
      </c>
      <c r="D36">
        <v>2</v>
      </c>
      <c r="E36" s="969" t="s">
        <v>1191</v>
      </c>
      <c r="F36" s="814">
        <f>'Part 1'!$N$106</f>
        <v>0</v>
      </c>
      <c r="G36" s="814"/>
      <c r="H36" s="812" t="s">
        <v>2406</v>
      </c>
      <c r="I36" s="1734" t="s">
        <v>2315</v>
      </c>
    </row>
    <row r="37" spans="1:9" x14ac:dyDescent="0.2">
      <c r="A37" s="813" t="str">
        <f>'Part 1'!$L$17</f>
        <v>EZZZZ</v>
      </c>
      <c r="B37">
        <v>2017</v>
      </c>
      <c r="C37">
        <v>18</v>
      </c>
      <c r="D37">
        <v>5</v>
      </c>
      <c r="E37" s="969" t="s">
        <v>1191</v>
      </c>
      <c r="F37" s="814">
        <f>'Part 1'!$W$106</f>
        <v>0</v>
      </c>
      <c r="G37" s="814"/>
      <c r="H37" t="s">
        <v>2407</v>
      </c>
      <c r="I37" s="1734" t="s">
        <v>2315</v>
      </c>
    </row>
    <row r="38" spans="1:9" x14ac:dyDescent="0.2">
      <c r="A38" s="813" t="str">
        <f>'Part 1'!$L$17</f>
        <v>EZZZZ</v>
      </c>
      <c r="B38">
        <v>2017</v>
      </c>
      <c r="C38">
        <v>19</v>
      </c>
      <c r="D38">
        <v>2</v>
      </c>
      <c r="E38" s="969" t="s">
        <v>1191</v>
      </c>
      <c r="F38" s="814">
        <f>'Part 1'!$N$108</f>
        <v>0</v>
      </c>
      <c r="G38" s="814"/>
      <c r="H38" s="812" t="s">
        <v>2408</v>
      </c>
      <c r="I38" s="1734" t="s">
        <v>2315</v>
      </c>
    </row>
    <row r="39" spans="1:9" x14ac:dyDescent="0.2">
      <c r="A39" s="813" t="str">
        <f>'Part 1'!$L$17</f>
        <v>EZZZZ</v>
      </c>
      <c r="B39">
        <v>2017</v>
      </c>
      <c r="C39">
        <v>19</v>
      </c>
      <c r="D39">
        <v>3</v>
      </c>
      <c r="E39" s="969" t="s">
        <v>1191</v>
      </c>
      <c r="F39" s="814">
        <f>'Part 1'!$Q$108</f>
        <v>0</v>
      </c>
      <c r="G39" s="814"/>
      <c r="H39" s="812" t="s">
        <v>2409</v>
      </c>
      <c r="I39" s="1734" t="s">
        <v>2315</v>
      </c>
    </row>
    <row r="40" spans="1:9" x14ac:dyDescent="0.2">
      <c r="A40" s="813" t="str">
        <f>'Part 1'!$L$17</f>
        <v>EZZZZ</v>
      </c>
      <c r="B40">
        <v>2017</v>
      </c>
      <c r="C40">
        <v>19</v>
      </c>
      <c r="D40">
        <v>5</v>
      </c>
      <c r="E40" s="969" t="s">
        <v>1191</v>
      </c>
      <c r="F40" s="814">
        <f>'Part 1'!$W$108</f>
        <v>0</v>
      </c>
      <c r="G40" s="814"/>
      <c r="H40" t="s">
        <v>2410</v>
      </c>
      <c r="I40" s="1734" t="s">
        <v>2315</v>
      </c>
    </row>
    <row r="41" spans="1:9" x14ac:dyDescent="0.2">
      <c r="A41" s="813" t="str">
        <f>'Part 1'!$L$17</f>
        <v>EZZZZ</v>
      </c>
      <c r="B41">
        <v>2017</v>
      </c>
      <c r="C41">
        <v>20</v>
      </c>
      <c r="D41">
        <v>2</v>
      </c>
      <c r="E41" s="969" t="s">
        <v>1191</v>
      </c>
      <c r="F41" s="814">
        <f>'Part 1'!$N$110</f>
        <v>0</v>
      </c>
      <c r="G41" s="814"/>
      <c r="H41" s="812" t="s">
        <v>2411</v>
      </c>
      <c r="I41" s="1734" t="s">
        <v>2315</v>
      </c>
    </row>
    <row r="42" spans="1:9" x14ac:dyDescent="0.2">
      <c r="A42" s="813" t="str">
        <f>'Part 1'!$L$17</f>
        <v>EZZZZ</v>
      </c>
      <c r="B42">
        <v>2017</v>
      </c>
      <c r="C42">
        <v>20</v>
      </c>
      <c r="D42">
        <v>3</v>
      </c>
      <c r="E42" s="969" t="s">
        <v>1191</v>
      </c>
      <c r="F42" s="814">
        <f>'Part 1'!$Q$110</f>
        <v>0</v>
      </c>
      <c r="G42" s="814"/>
      <c r="H42" s="812" t="s">
        <v>2412</v>
      </c>
      <c r="I42" s="1734" t="s">
        <v>2315</v>
      </c>
    </row>
    <row r="43" spans="1:9" x14ac:dyDescent="0.2">
      <c r="A43" s="813" t="str">
        <f>'Part 1'!$L$17</f>
        <v>EZZZZ</v>
      </c>
      <c r="B43">
        <v>2017</v>
      </c>
      <c r="C43">
        <v>20</v>
      </c>
      <c r="D43">
        <v>4</v>
      </c>
      <c r="E43" s="969" t="s">
        <v>1191</v>
      </c>
      <c r="F43" s="814">
        <f>'Part 1'!$T$110</f>
        <v>0</v>
      </c>
      <c r="G43" s="814"/>
      <c r="H43" s="812" t="s">
        <v>2413</v>
      </c>
      <c r="I43" s="1734" t="s">
        <v>2315</v>
      </c>
    </row>
    <row r="44" spans="1:9" x14ac:dyDescent="0.2">
      <c r="A44" s="813" t="str">
        <f>'Part 1'!$L$17</f>
        <v>EZZZZ</v>
      </c>
      <c r="B44">
        <v>2017</v>
      </c>
      <c r="C44">
        <v>20</v>
      </c>
      <c r="D44">
        <v>5</v>
      </c>
      <c r="E44" s="969" t="s">
        <v>1191</v>
      </c>
      <c r="F44" s="814">
        <f>'Part 1'!$W$110</f>
        <v>0</v>
      </c>
      <c r="G44" s="814"/>
      <c r="H44" t="s">
        <v>2414</v>
      </c>
      <c r="I44" s="1734" t="s">
        <v>2315</v>
      </c>
    </row>
    <row r="45" spans="1:9" x14ac:dyDescent="0.2">
      <c r="A45" s="813" t="str">
        <f>'Part 1'!$L$17</f>
        <v>EZZZZ</v>
      </c>
      <c r="B45">
        <v>2017</v>
      </c>
      <c r="C45">
        <v>21</v>
      </c>
      <c r="D45">
        <v>2</v>
      </c>
      <c r="E45" s="969" t="s">
        <v>1191</v>
      </c>
      <c r="F45" s="814">
        <f>'Part 1'!$N$112</f>
        <v>0</v>
      </c>
      <c r="G45" s="814"/>
      <c r="H45" s="812" t="s">
        <v>2415</v>
      </c>
      <c r="I45" s="1734" t="s">
        <v>2315</v>
      </c>
    </row>
    <row r="46" spans="1:9" x14ac:dyDescent="0.2">
      <c r="A46" s="813" t="str">
        <f>'Part 1'!$L$17</f>
        <v>EZZZZ</v>
      </c>
      <c r="B46">
        <v>2017</v>
      </c>
      <c r="C46">
        <v>21</v>
      </c>
      <c r="D46">
        <v>5</v>
      </c>
      <c r="E46" s="969" t="s">
        <v>1191</v>
      </c>
      <c r="F46" s="814">
        <f>'Part 1'!$W$112</f>
        <v>0</v>
      </c>
      <c r="G46" s="814"/>
      <c r="H46" t="s">
        <v>2416</v>
      </c>
      <c r="I46" s="1734" t="s">
        <v>2315</v>
      </c>
    </row>
    <row r="47" spans="1:9" x14ac:dyDescent="0.2">
      <c r="A47" s="813" t="str">
        <f>'Part 1'!$L$17</f>
        <v>EZZZZ</v>
      </c>
      <c r="B47">
        <v>2017</v>
      </c>
      <c r="C47">
        <v>22</v>
      </c>
      <c r="D47">
        <v>2</v>
      </c>
      <c r="E47" s="969" t="s">
        <v>1191</v>
      </c>
      <c r="F47" s="814">
        <f>'Part 1'!$N$114</f>
        <v>0</v>
      </c>
      <c r="G47" s="814"/>
      <c r="H47" s="812" t="s">
        <v>2417</v>
      </c>
      <c r="I47" s="1734" t="s">
        <v>2315</v>
      </c>
    </row>
    <row r="48" spans="1:9" x14ac:dyDescent="0.2">
      <c r="A48" s="813" t="str">
        <f>'Part 1'!$L$17</f>
        <v>EZZZZ</v>
      </c>
      <c r="B48">
        <v>2017</v>
      </c>
      <c r="C48">
        <v>22</v>
      </c>
      <c r="D48">
        <v>3</v>
      </c>
      <c r="E48" s="969" t="s">
        <v>1191</v>
      </c>
      <c r="F48" s="814">
        <f>'Part 1'!$Q$114</f>
        <v>0</v>
      </c>
      <c r="G48" s="814"/>
      <c r="H48" s="812" t="s">
        <v>2418</v>
      </c>
      <c r="I48" s="1734" t="s">
        <v>2315</v>
      </c>
    </row>
    <row r="49" spans="1:9" x14ac:dyDescent="0.2">
      <c r="A49" s="813" t="str">
        <f>'Part 1'!$L$17</f>
        <v>EZZZZ</v>
      </c>
      <c r="B49">
        <v>2017</v>
      </c>
      <c r="C49">
        <v>22</v>
      </c>
      <c r="D49">
        <v>4</v>
      </c>
      <c r="E49" s="969" t="s">
        <v>1191</v>
      </c>
      <c r="F49" s="814">
        <f>'Part 1'!$T$114</f>
        <v>0</v>
      </c>
      <c r="G49" s="814"/>
      <c r="H49" s="812" t="s">
        <v>2419</v>
      </c>
      <c r="I49" s="1734" t="s">
        <v>2315</v>
      </c>
    </row>
    <row r="50" spans="1:9" x14ac:dyDescent="0.2">
      <c r="A50" s="813" t="str">
        <f>'Part 1'!$L$17</f>
        <v>EZZZZ</v>
      </c>
      <c r="B50">
        <v>2017</v>
      </c>
      <c r="C50">
        <v>22</v>
      </c>
      <c r="D50">
        <v>5</v>
      </c>
      <c r="E50" s="969" t="s">
        <v>1191</v>
      </c>
      <c r="F50" s="814">
        <f>'Part 1'!$W$114</f>
        <v>0</v>
      </c>
      <c r="G50" s="814"/>
      <c r="H50" t="s">
        <v>2420</v>
      </c>
      <c r="I50" s="1734" t="s">
        <v>2315</v>
      </c>
    </row>
    <row r="51" spans="1:9" x14ac:dyDescent="0.2">
      <c r="A51" s="813" t="str">
        <f>'Part 1'!$L$17</f>
        <v>EZZZZ</v>
      </c>
      <c r="B51">
        <v>2017</v>
      </c>
      <c r="C51">
        <v>23</v>
      </c>
      <c r="D51">
        <v>2</v>
      </c>
      <c r="E51" s="969" t="s">
        <v>1191</v>
      </c>
      <c r="F51" s="814">
        <f>'Part 1'!$N$116</f>
        <v>0</v>
      </c>
      <c r="G51" s="814"/>
      <c r="H51" t="s">
        <v>2421</v>
      </c>
      <c r="I51" s="1734" t="s">
        <v>2315</v>
      </c>
    </row>
    <row r="52" spans="1:9" x14ac:dyDescent="0.2">
      <c r="A52" s="813" t="str">
        <f>'Part 1'!$L$17</f>
        <v>EZZZZ</v>
      </c>
      <c r="B52">
        <v>2017</v>
      </c>
      <c r="C52">
        <v>23</v>
      </c>
      <c r="D52">
        <v>5</v>
      </c>
      <c r="E52" s="969" t="s">
        <v>1191</v>
      </c>
      <c r="F52" s="814">
        <f>'Part 1'!$W$116</f>
        <v>0</v>
      </c>
      <c r="G52" s="814"/>
      <c r="H52" s="812" t="s">
        <v>2422</v>
      </c>
      <c r="I52" s="1734" t="s">
        <v>2315</v>
      </c>
    </row>
    <row r="53" spans="1:9" x14ac:dyDescent="0.2">
      <c r="A53" s="813" t="str">
        <f>'Part 1'!$L$17</f>
        <v>EZZZZ</v>
      </c>
      <c r="B53">
        <v>2017</v>
      </c>
      <c r="C53">
        <v>24</v>
      </c>
      <c r="D53">
        <v>1</v>
      </c>
      <c r="E53" s="969" t="s">
        <v>1191</v>
      </c>
      <c r="F53" s="814">
        <f>'Part 1'!$K$119</f>
        <v>1</v>
      </c>
      <c r="G53" s="814"/>
      <c r="H53" s="812" t="s">
        <v>2423</v>
      </c>
      <c r="I53" s="1734" t="s">
        <v>2315</v>
      </c>
    </row>
    <row r="54" spans="1:9" x14ac:dyDescent="0.2">
      <c r="A54" s="813" t="str">
        <f>'Part 1'!$L$17</f>
        <v>EZZZZ</v>
      </c>
      <c r="B54">
        <v>2017</v>
      </c>
      <c r="C54">
        <v>24</v>
      </c>
      <c r="D54">
        <v>2</v>
      </c>
      <c r="E54" s="969" t="s">
        <v>1191</v>
      </c>
      <c r="F54" s="814">
        <f>'Part 1'!$N$119</f>
        <v>0</v>
      </c>
      <c r="G54" s="814"/>
      <c r="H54" t="s">
        <v>2424</v>
      </c>
      <c r="I54" s="1734" t="s">
        <v>2315</v>
      </c>
    </row>
    <row r="55" spans="1:9" x14ac:dyDescent="0.2">
      <c r="A55" s="813" t="str">
        <f>'Part 1'!$L$17</f>
        <v>EZZZZ</v>
      </c>
      <c r="B55">
        <v>2017</v>
      </c>
      <c r="C55">
        <v>24</v>
      </c>
      <c r="D55">
        <v>3</v>
      </c>
      <c r="E55" s="969" t="s">
        <v>1191</v>
      </c>
      <c r="F55" s="814">
        <f>'Part 1'!$Q$119</f>
        <v>0</v>
      </c>
      <c r="G55" s="814"/>
      <c r="H55" t="s">
        <v>2425</v>
      </c>
      <c r="I55" s="1734" t="s">
        <v>2315</v>
      </c>
    </row>
    <row r="56" spans="1:9" x14ac:dyDescent="0.2">
      <c r="A56" s="813" t="str">
        <f>'Part 1'!$L$17</f>
        <v>EZZZZ</v>
      </c>
      <c r="B56">
        <v>2017</v>
      </c>
      <c r="C56">
        <v>24</v>
      </c>
      <c r="D56">
        <v>4</v>
      </c>
      <c r="E56" s="969" t="s">
        <v>1191</v>
      </c>
      <c r="F56" s="814">
        <f>'Part 1'!$T$119</f>
        <v>0</v>
      </c>
      <c r="G56" s="814"/>
      <c r="H56" s="812" t="s">
        <v>2426</v>
      </c>
      <c r="I56" s="1734" t="s">
        <v>2315</v>
      </c>
    </row>
    <row r="57" spans="1:9" x14ac:dyDescent="0.2">
      <c r="A57" s="813" t="str">
        <f>'Part 1'!$L$17</f>
        <v>EZZZZ</v>
      </c>
      <c r="B57">
        <v>2017</v>
      </c>
      <c r="C57">
        <v>24</v>
      </c>
      <c r="D57">
        <v>5</v>
      </c>
      <c r="E57" s="969" t="s">
        <v>1191</v>
      </c>
      <c r="F57" s="814">
        <f>'Part 1'!$W$119</f>
        <v>1</v>
      </c>
      <c r="G57" s="814"/>
      <c r="H57" s="812" t="s">
        <v>2427</v>
      </c>
      <c r="I57" s="1734" t="s">
        <v>2315</v>
      </c>
    </row>
    <row r="58" spans="1:9" x14ac:dyDescent="0.2">
      <c r="A58" s="813" t="str">
        <f>'Part 1'!$L$17</f>
        <v>EZZZZ</v>
      </c>
      <c r="B58">
        <v>2017</v>
      </c>
      <c r="C58">
        <v>25</v>
      </c>
      <c r="D58">
        <v>1</v>
      </c>
      <c r="E58" s="969" t="s">
        <v>1191</v>
      </c>
      <c r="F58" s="814">
        <f>'Part 1'!$K$122</f>
        <v>0</v>
      </c>
      <c r="G58" s="814"/>
      <c r="H58" t="s">
        <v>2428</v>
      </c>
      <c r="I58" s="1734" t="s">
        <v>2315</v>
      </c>
    </row>
    <row r="59" spans="1:9" x14ac:dyDescent="0.2">
      <c r="A59" s="813" t="str">
        <f>'Part 1'!$L$17</f>
        <v>EZZZZ</v>
      </c>
      <c r="B59">
        <v>2017</v>
      </c>
      <c r="C59">
        <v>25</v>
      </c>
      <c r="D59">
        <v>2</v>
      </c>
      <c r="E59" s="969" t="s">
        <v>1191</v>
      </c>
      <c r="F59" s="814">
        <f>'Part 1'!$N$122</f>
        <v>0</v>
      </c>
      <c r="G59" s="814"/>
      <c r="H59" t="s">
        <v>2429</v>
      </c>
      <c r="I59" s="1734" t="s">
        <v>2315</v>
      </c>
    </row>
    <row r="60" spans="1:9" x14ac:dyDescent="0.2">
      <c r="A60" s="813" t="str">
        <f>'Part 1'!$L$17</f>
        <v>EZZZZ</v>
      </c>
      <c r="B60">
        <v>2017</v>
      </c>
      <c r="C60">
        <v>25</v>
      </c>
      <c r="D60">
        <v>3</v>
      </c>
      <c r="E60" s="969" t="s">
        <v>1191</v>
      </c>
      <c r="F60" s="814">
        <f>'Part 1'!$Q$122</f>
        <v>0</v>
      </c>
      <c r="G60" s="814"/>
      <c r="H60" t="s">
        <v>2430</v>
      </c>
      <c r="I60" s="1734" t="s">
        <v>2315</v>
      </c>
    </row>
    <row r="61" spans="1:9" x14ac:dyDescent="0.2">
      <c r="A61" s="813" t="str">
        <f>'Part 1'!$L$17</f>
        <v>EZZZZ</v>
      </c>
      <c r="B61">
        <v>2017</v>
      </c>
      <c r="C61">
        <v>25</v>
      </c>
      <c r="D61">
        <v>4</v>
      </c>
      <c r="E61" s="969" t="s">
        <v>1191</v>
      </c>
      <c r="F61" s="814">
        <f>'Part 1'!$T$122</f>
        <v>0</v>
      </c>
      <c r="G61" s="814"/>
      <c r="H61" s="812" t="s">
        <v>2431</v>
      </c>
      <c r="I61" s="1734" t="s">
        <v>2315</v>
      </c>
    </row>
    <row r="62" spans="1:9" x14ac:dyDescent="0.2">
      <c r="A62" s="813" t="str">
        <f>'Part 1'!$L$17</f>
        <v>EZZZZ</v>
      </c>
      <c r="B62">
        <v>2017</v>
      </c>
      <c r="C62">
        <v>25</v>
      </c>
      <c r="D62">
        <v>5</v>
      </c>
      <c r="E62" s="969" t="s">
        <v>1191</v>
      </c>
      <c r="F62" s="814">
        <f>'Part 1'!$W$122</f>
        <v>0</v>
      </c>
      <c r="G62" s="814"/>
      <c r="H62" t="s">
        <v>2432</v>
      </c>
      <c r="I62" s="1734" t="s">
        <v>2315</v>
      </c>
    </row>
    <row r="63" spans="1:9" x14ac:dyDescent="0.2">
      <c r="A63" s="813" t="str">
        <f>'Part 1'!$L$17</f>
        <v>EZZZZ</v>
      </c>
      <c r="B63">
        <v>2017</v>
      </c>
      <c r="C63">
        <v>26</v>
      </c>
      <c r="D63">
        <v>1</v>
      </c>
      <c r="E63" s="969" t="s">
        <v>1191</v>
      </c>
      <c r="F63" s="814" t="e">
        <f>'Part 1'!$K$126</f>
        <v>#N/A</v>
      </c>
      <c r="G63" s="814"/>
      <c r="H63" t="s">
        <v>2433</v>
      </c>
      <c r="I63" s="1734" t="s">
        <v>2315</v>
      </c>
    </row>
    <row r="64" spans="1:9" x14ac:dyDescent="0.2">
      <c r="A64" s="813" t="str">
        <f>'Part 1'!$L$17</f>
        <v>EZZZZ</v>
      </c>
      <c r="B64">
        <v>2017</v>
      </c>
      <c r="C64">
        <v>26</v>
      </c>
      <c r="D64">
        <v>2</v>
      </c>
      <c r="E64" s="969" t="s">
        <v>1191</v>
      </c>
      <c r="F64" s="814" t="e">
        <f>'Part 1'!$N$126</f>
        <v>#N/A</v>
      </c>
      <c r="G64" s="814"/>
      <c r="H64" t="s">
        <v>2434</v>
      </c>
      <c r="I64" s="1734" t="s">
        <v>2315</v>
      </c>
    </row>
    <row r="65" spans="1:9" x14ac:dyDescent="0.2">
      <c r="A65" s="813" t="str">
        <f>'Part 1'!$L$17</f>
        <v>EZZZZ</v>
      </c>
      <c r="B65">
        <v>2017</v>
      </c>
      <c r="C65">
        <v>26</v>
      </c>
      <c r="D65">
        <v>3</v>
      </c>
      <c r="E65" s="969" t="s">
        <v>1191</v>
      </c>
      <c r="F65" s="814" t="e">
        <f>'Part 1'!$Q$126</f>
        <v>#N/A</v>
      </c>
      <c r="G65" s="814"/>
      <c r="H65" s="812" t="s">
        <v>2435</v>
      </c>
      <c r="I65" s="1734" t="s">
        <v>2315</v>
      </c>
    </row>
    <row r="66" spans="1:9" x14ac:dyDescent="0.2">
      <c r="A66" s="813" t="str">
        <f>'Part 1'!$L$17</f>
        <v>EZZZZ</v>
      </c>
      <c r="B66">
        <v>2017</v>
      </c>
      <c r="C66">
        <v>26</v>
      </c>
      <c r="D66">
        <v>4</v>
      </c>
      <c r="E66" s="969" t="s">
        <v>1191</v>
      </c>
      <c r="F66" s="814" t="e">
        <f>'Part 1'!$T$126</f>
        <v>#N/A</v>
      </c>
      <c r="G66" s="814"/>
      <c r="H66" t="s">
        <v>2436</v>
      </c>
      <c r="I66" s="1734" t="s">
        <v>2315</v>
      </c>
    </row>
    <row r="67" spans="1:9" x14ac:dyDescent="0.2">
      <c r="A67" s="813" t="str">
        <f>'Part 1'!$L$17</f>
        <v>EZZZZ</v>
      </c>
      <c r="B67">
        <v>2017</v>
      </c>
      <c r="C67">
        <v>26</v>
      </c>
      <c r="D67">
        <v>5</v>
      </c>
      <c r="E67" s="969" t="s">
        <v>1191</v>
      </c>
      <c r="F67" s="814" t="e">
        <f>'Part 1'!$W$126</f>
        <v>#N/A</v>
      </c>
      <c r="G67" s="814"/>
      <c r="H67" t="s">
        <v>2437</v>
      </c>
      <c r="I67" s="1734" t="s">
        <v>2315</v>
      </c>
    </row>
    <row r="68" spans="1:9" x14ac:dyDescent="0.2">
      <c r="A68" s="813" t="str">
        <f>'Part 1'!$L$17</f>
        <v>EZZZZ</v>
      </c>
      <c r="B68">
        <v>2017</v>
      </c>
      <c r="C68">
        <v>27</v>
      </c>
      <c r="D68">
        <v>2</v>
      </c>
      <c r="E68" s="969" t="s">
        <v>1191</v>
      </c>
      <c r="F68" s="814" t="e">
        <f>'Part 1'!$N$165</f>
        <v>#N/A</v>
      </c>
      <c r="G68" s="814"/>
      <c r="H68" t="s">
        <v>2438</v>
      </c>
      <c r="I68" s="1734" t="s">
        <v>2315</v>
      </c>
    </row>
    <row r="69" spans="1:9" x14ac:dyDescent="0.2">
      <c r="A69" s="813" t="str">
        <f>'Part 1'!$L$17</f>
        <v>EZZZZ</v>
      </c>
      <c r="B69">
        <v>2017</v>
      </c>
      <c r="C69">
        <v>27</v>
      </c>
      <c r="D69">
        <v>3</v>
      </c>
      <c r="E69" s="969" t="s">
        <v>1191</v>
      </c>
      <c r="F69" s="814" t="e">
        <f>'Part 1'!$Q$165</f>
        <v>#N/A</v>
      </c>
      <c r="G69" s="814"/>
      <c r="H69" s="812" t="s">
        <v>2439</v>
      </c>
      <c r="I69" s="1734" t="s">
        <v>2315</v>
      </c>
    </row>
    <row r="70" spans="1:9" x14ac:dyDescent="0.2">
      <c r="A70" s="813" t="str">
        <f>'Part 1'!$L$17</f>
        <v>EZZZZ</v>
      </c>
      <c r="B70">
        <v>2017</v>
      </c>
      <c r="C70">
        <v>27</v>
      </c>
      <c r="D70">
        <v>4</v>
      </c>
      <c r="E70" s="969" t="s">
        <v>1191</v>
      </c>
      <c r="F70" s="814" t="e">
        <f>'Part 1'!$T$165</f>
        <v>#N/A</v>
      </c>
      <c r="G70" s="814"/>
      <c r="H70" t="s">
        <v>2440</v>
      </c>
      <c r="I70" s="1734" t="s">
        <v>2315</v>
      </c>
    </row>
    <row r="71" spans="1:9" x14ac:dyDescent="0.2">
      <c r="A71" s="813" t="str">
        <f>'Part 1'!$L$17</f>
        <v>EZZZZ</v>
      </c>
      <c r="B71">
        <v>2017</v>
      </c>
      <c r="C71">
        <v>27</v>
      </c>
      <c r="D71">
        <v>5</v>
      </c>
      <c r="E71" s="969" t="s">
        <v>1191</v>
      </c>
      <c r="F71" s="814" t="e">
        <f>'Part 1'!$W$165</f>
        <v>#N/A</v>
      </c>
      <c r="G71" s="814"/>
      <c r="H71" t="s">
        <v>2441</v>
      </c>
      <c r="I71" s="1734" t="s">
        <v>2315</v>
      </c>
    </row>
    <row r="72" spans="1:9" x14ac:dyDescent="0.2">
      <c r="A72" s="813" t="str">
        <f>'Part 1'!$L$17</f>
        <v>EZZZZ</v>
      </c>
      <c r="B72">
        <v>2017</v>
      </c>
      <c r="C72">
        <v>28</v>
      </c>
      <c r="D72">
        <v>2</v>
      </c>
      <c r="E72" s="969" t="s">
        <v>1191</v>
      </c>
      <c r="F72" s="814">
        <f>'Part 1'!$N$168</f>
        <v>0</v>
      </c>
      <c r="G72" s="814"/>
      <c r="H72" t="s">
        <v>2442</v>
      </c>
      <c r="I72" s="1734" t="s">
        <v>2315</v>
      </c>
    </row>
    <row r="73" spans="1:9" x14ac:dyDescent="0.2">
      <c r="A73" s="813" t="str">
        <f>'Part 1'!$L$17</f>
        <v>EZZZZ</v>
      </c>
      <c r="B73">
        <v>2017</v>
      </c>
      <c r="C73">
        <v>28</v>
      </c>
      <c r="D73">
        <v>3</v>
      </c>
      <c r="E73" s="969" t="s">
        <v>1191</v>
      </c>
      <c r="F73" s="814">
        <f>'Part 1'!$Q$168</f>
        <v>0</v>
      </c>
      <c r="G73" s="814"/>
      <c r="H73" s="812" t="s">
        <v>2443</v>
      </c>
      <c r="I73" s="1734" t="s">
        <v>2315</v>
      </c>
    </row>
    <row r="74" spans="1:9" x14ac:dyDescent="0.2">
      <c r="A74" s="813" t="str">
        <f>'Part 1'!$L$17</f>
        <v>EZZZZ</v>
      </c>
      <c r="B74">
        <v>2017</v>
      </c>
      <c r="C74">
        <v>28</v>
      </c>
      <c r="D74">
        <v>4</v>
      </c>
      <c r="E74" s="969" t="s">
        <v>1191</v>
      </c>
      <c r="F74" s="814">
        <f>'Part 1'!$T$168</f>
        <v>0</v>
      </c>
      <c r="G74" s="814"/>
      <c r="H74" t="s">
        <v>2444</v>
      </c>
      <c r="I74" s="1734" t="s">
        <v>2315</v>
      </c>
    </row>
    <row r="75" spans="1:9" x14ac:dyDescent="0.2">
      <c r="A75" s="813" t="str">
        <f>'Part 1'!$L$17</f>
        <v>EZZZZ</v>
      </c>
      <c r="B75">
        <v>2017</v>
      </c>
      <c r="C75">
        <v>28</v>
      </c>
      <c r="D75">
        <v>5</v>
      </c>
      <c r="E75" s="969" t="s">
        <v>1191</v>
      </c>
      <c r="F75" s="814">
        <f>'Part 1'!$W$168</f>
        <v>0</v>
      </c>
      <c r="G75" s="814"/>
      <c r="H75" t="s">
        <v>2445</v>
      </c>
      <c r="I75" s="1734" t="s">
        <v>2315</v>
      </c>
    </row>
    <row r="76" spans="1:9" x14ac:dyDescent="0.2">
      <c r="A76" s="813" t="str">
        <f>'Part 1'!$L$17</f>
        <v>EZZZZ</v>
      </c>
      <c r="B76">
        <v>2017</v>
      </c>
      <c r="C76">
        <v>29</v>
      </c>
      <c r="D76">
        <v>2</v>
      </c>
      <c r="E76" s="969" t="s">
        <v>1191</v>
      </c>
      <c r="F76" s="814">
        <f>'Part 1'!$N$170</f>
        <v>0</v>
      </c>
      <c r="G76" s="814"/>
      <c r="H76" t="s">
        <v>2446</v>
      </c>
      <c r="I76" s="1734" t="s">
        <v>2315</v>
      </c>
    </row>
    <row r="77" spans="1:9" x14ac:dyDescent="0.2">
      <c r="A77" s="813" t="str">
        <f>'Part 1'!$L$17</f>
        <v>EZZZZ</v>
      </c>
      <c r="B77">
        <v>2017</v>
      </c>
      <c r="C77">
        <v>29</v>
      </c>
      <c r="D77">
        <v>3</v>
      </c>
      <c r="E77" s="969" t="s">
        <v>1191</v>
      </c>
      <c r="F77" s="814">
        <f>'Part 1'!$Q$170</f>
        <v>0</v>
      </c>
      <c r="G77" s="814"/>
      <c r="H77" s="812" t="s">
        <v>2447</v>
      </c>
      <c r="I77" s="1734" t="s">
        <v>2315</v>
      </c>
    </row>
    <row r="78" spans="1:9" x14ac:dyDescent="0.2">
      <c r="A78" s="813" t="str">
        <f>'Part 1'!$L$17</f>
        <v>EZZZZ</v>
      </c>
      <c r="B78">
        <v>2017</v>
      </c>
      <c r="C78">
        <v>29</v>
      </c>
      <c r="D78">
        <v>4</v>
      </c>
      <c r="E78" s="969" t="s">
        <v>1191</v>
      </c>
      <c r="F78" s="814">
        <f>'Part 1'!$T$170</f>
        <v>0</v>
      </c>
      <c r="G78" s="814"/>
      <c r="H78" t="s">
        <v>2448</v>
      </c>
      <c r="I78" s="1734" t="s">
        <v>2315</v>
      </c>
    </row>
    <row r="79" spans="1:9" x14ac:dyDescent="0.2">
      <c r="A79" s="813" t="str">
        <f>'Part 1'!$L$17</f>
        <v>EZZZZ</v>
      </c>
      <c r="B79">
        <v>2017</v>
      </c>
      <c r="C79">
        <v>29</v>
      </c>
      <c r="D79">
        <v>5</v>
      </c>
      <c r="E79" s="969" t="s">
        <v>1191</v>
      </c>
      <c r="F79" s="814">
        <f>'Part 1'!$W$170</f>
        <v>0</v>
      </c>
      <c r="G79" s="814"/>
      <c r="H79" t="s">
        <v>2449</v>
      </c>
      <c r="I79" s="1734" t="s">
        <v>2315</v>
      </c>
    </row>
    <row r="80" spans="1:9" x14ac:dyDescent="0.2">
      <c r="A80" s="813" t="str">
        <f>'Part 1'!$L$17</f>
        <v>EZZZZ</v>
      </c>
      <c r="B80">
        <v>2017</v>
      </c>
      <c r="C80">
        <v>30</v>
      </c>
      <c r="D80">
        <v>2</v>
      </c>
      <c r="E80" s="969" t="s">
        <v>1191</v>
      </c>
      <c r="F80" s="814">
        <f>'Part 1'!$N$173</f>
        <v>0</v>
      </c>
      <c r="G80" s="814"/>
      <c r="H80" t="s">
        <v>2450</v>
      </c>
      <c r="I80" s="1734" t="s">
        <v>2315</v>
      </c>
    </row>
    <row r="81" spans="1:9" x14ac:dyDescent="0.2">
      <c r="A81" s="813" t="str">
        <f>'Part 1'!$L$17</f>
        <v>EZZZZ</v>
      </c>
      <c r="B81">
        <v>2017</v>
      </c>
      <c r="C81">
        <v>30</v>
      </c>
      <c r="D81">
        <v>3</v>
      </c>
      <c r="E81" s="969" t="s">
        <v>1191</v>
      </c>
      <c r="F81" s="814">
        <f>'Part 1'!$Q$173</f>
        <v>0</v>
      </c>
      <c r="G81" s="814"/>
      <c r="H81" s="812" t="s">
        <v>2451</v>
      </c>
      <c r="I81" s="1734" t="s">
        <v>2315</v>
      </c>
    </row>
    <row r="82" spans="1:9" x14ac:dyDescent="0.2">
      <c r="A82" s="813" t="str">
        <f>'Part 1'!$L$17</f>
        <v>EZZZZ</v>
      </c>
      <c r="B82">
        <v>2017</v>
      </c>
      <c r="C82">
        <v>30</v>
      </c>
      <c r="D82">
        <v>4</v>
      </c>
      <c r="E82" s="969" t="s">
        <v>1191</v>
      </c>
      <c r="F82" s="814">
        <f>'Part 1'!$T$173</f>
        <v>0</v>
      </c>
      <c r="G82" s="814"/>
      <c r="H82" t="s">
        <v>2452</v>
      </c>
      <c r="I82" s="1734" t="s">
        <v>2315</v>
      </c>
    </row>
    <row r="83" spans="1:9" x14ac:dyDescent="0.2">
      <c r="A83" s="813" t="str">
        <f>'Part 1'!$L$17</f>
        <v>EZZZZ</v>
      </c>
      <c r="B83">
        <v>2017</v>
      </c>
      <c r="C83">
        <v>30</v>
      </c>
      <c r="D83">
        <v>5</v>
      </c>
      <c r="E83" s="969" t="s">
        <v>1191</v>
      </c>
      <c r="F83" s="814">
        <f>'Part 1'!$W$173</f>
        <v>0</v>
      </c>
      <c r="G83" s="814"/>
      <c r="H83" t="s">
        <v>2453</v>
      </c>
      <c r="I83" s="1734" t="s">
        <v>2315</v>
      </c>
    </row>
    <row r="84" spans="1:9" x14ac:dyDescent="0.2">
      <c r="A84" s="813" t="str">
        <f>'Part 1'!$L$17</f>
        <v>EZZZZ</v>
      </c>
      <c r="B84">
        <v>2017</v>
      </c>
      <c r="C84">
        <v>31</v>
      </c>
      <c r="D84">
        <v>2</v>
      </c>
      <c r="E84" s="969" t="s">
        <v>1191</v>
      </c>
      <c r="F84" s="814">
        <f>'Part 1'!$N$176</f>
        <v>0</v>
      </c>
      <c r="G84" s="814"/>
      <c r="H84" t="s">
        <v>2454</v>
      </c>
      <c r="I84" s="1734" t="s">
        <v>2315</v>
      </c>
    </row>
    <row r="85" spans="1:9" x14ac:dyDescent="0.2">
      <c r="A85" s="813" t="str">
        <f>'Part 1'!$L$17</f>
        <v>EZZZZ</v>
      </c>
      <c r="B85">
        <v>2017</v>
      </c>
      <c r="C85">
        <v>31</v>
      </c>
      <c r="D85">
        <v>3</v>
      </c>
      <c r="E85" s="969" t="s">
        <v>1191</v>
      </c>
      <c r="F85" s="814">
        <f>'Part 1'!$Q$176</f>
        <v>0</v>
      </c>
      <c r="G85" s="814"/>
      <c r="H85" s="812" t="s">
        <v>2455</v>
      </c>
      <c r="I85" s="1734" t="s">
        <v>2315</v>
      </c>
    </row>
    <row r="86" spans="1:9" x14ac:dyDescent="0.2">
      <c r="A86" s="813" t="str">
        <f>'Part 1'!$L$17</f>
        <v>EZZZZ</v>
      </c>
      <c r="B86">
        <v>2017</v>
      </c>
      <c r="C86">
        <v>31</v>
      </c>
      <c r="D86">
        <v>4</v>
      </c>
      <c r="E86" s="969" t="s">
        <v>1191</v>
      </c>
      <c r="F86" s="814">
        <f>'Part 1'!$T$176</f>
        <v>0</v>
      </c>
      <c r="G86" s="814"/>
      <c r="H86" t="s">
        <v>2456</v>
      </c>
      <c r="I86" s="1734" t="s">
        <v>2315</v>
      </c>
    </row>
    <row r="87" spans="1:9" x14ac:dyDescent="0.2">
      <c r="A87" s="813" t="str">
        <f>'Part 1'!$L$17</f>
        <v>EZZZZ</v>
      </c>
      <c r="B87">
        <v>2017</v>
      </c>
      <c r="C87">
        <v>31</v>
      </c>
      <c r="D87">
        <v>5</v>
      </c>
      <c r="E87" s="969" t="s">
        <v>1191</v>
      </c>
      <c r="F87" s="814">
        <f>'Part 1'!$W$176</f>
        <v>0</v>
      </c>
      <c r="G87" s="814"/>
      <c r="H87" t="s">
        <v>2457</v>
      </c>
      <c r="I87" s="1734" t="s">
        <v>2315</v>
      </c>
    </row>
    <row r="88" spans="1:9" x14ac:dyDescent="0.2">
      <c r="A88" s="813" t="str">
        <f>'Part 1'!$L$17</f>
        <v>EZZZZ</v>
      </c>
      <c r="B88">
        <v>2017</v>
      </c>
      <c r="C88">
        <v>32</v>
      </c>
      <c r="D88">
        <v>2</v>
      </c>
      <c r="E88" s="969" t="s">
        <v>1191</v>
      </c>
      <c r="F88" s="814">
        <f>'Part 1'!$N$179</f>
        <v>0</v>
      </c>
      <c r="G88" s="814"/>
      <c r="H88" t="s">
        <v>2458</v>
      </c>
      <c r="I88" s="1734" t="s">
        <v>2315</v>
      </c>
    </row>
    <row r="89" spans="1:9" x14ac:dyDescent="0.2">
      <c r="A89" s="813" t="str">
        <f>'Part 1'!$L$17</f>
        <v>EZZZZ</v>
      </c>
      <c r="B89">
        <v>2017</v>
      </c>
      <c r="C89">
        <v>32</v>
      </c>
      <c r="D89">
        <v>3</v>
      </c>
      <c r="E89" s="969" t="s">
        <v>1191</v>
      </c>
      <c r="F89" s="814">
        <f>'Part 1'!$Q$179</f>
        <v>0</v>
      </c>
      <c r="G89" s="814"/>
      <c r="H89" t="s">
        <v>2459</v>
      </c>
      <c r="I89" s="1734" t="s">
        <v>2315</v>
      </c>
    </row>
    <row r="90" spans="1:9" x14ac:dyDescent="0.2">
      <c r="A90" s="813" t="str">
        <f>'Part 1'!$L$17</f>
        <v>EZZZZ</v>
      </c>
      <c r="B90">
        <v>2017</v>
      </c>
      <c r="C90">
        <v>32</v>
      </c>
      <c r="D90">
        <v>4</v>
      </c>
      <c r="E90" s="969" t="s">
        <v>1191</v>
      </c>
      <c r="F90" s="814">
        <f>'Part 1'!$T$179</f>
        <v>0</v>
      </c>
      <c r="G90" s="814"/>
      <c r="H90" t="s">
        <v>2460</v>
      </c>
      <c r="I90" s="1734" t="s">
        <v>2315</v>
      </c>
    </row>
    <row r="91" spans="1:9" x14ac:dyDescent="0.2">
      <c r="A91" s="813" t="str">
        <f>'Part 1'!$L$17</f>
        <v>EZZZZ</v>
      </c>
      <c r="B91">
        <v>2017</v>
      </c>
      <c r="C91">
        <v>32</v>
      </c>
      <c r="D91">
        <v>5</v>
      </c>
      <c r="E91" s="969" t="s">
        <v>1191</v>
      </c>
      <c r="F91" s="814">
        <f>'Part 1'!$W$179</f>
        <v>0</v>
      </c>
      <c r="G91" s="814"/>
      <c r="H91" t="s">
        <v>2461</v>
      </c>
      <c r="I91" s="1734" t="s">
        <v>2315</v>
      </c>
    </row>
    <row r="92" spans="1:9" x14ac:dyDescent="0.2">
      <c r="A92" s="813" t="str">
        <f>'Part 1'!$L$17</f>
        <v>EZZZZ</v>
      </c>
      <c r="B92">
        <v>2017</v>
      </c>
      <c r="C92">
        <v>33</v>
      </c>
      <c r="D92">
        <v>2</v>
      </c>
      <c r="E92" s="969" t="s">
        <v>1191</v>
      </c>
      <c r="F92" s="814">
        <f>'Part 1'!$N$182</f>
        <v>0</v>
      </c>
      <c r="G92" s="814"/>
      <c r="H92" t="s">
        <v>2462</v>
      </c>
      <c r="I92" s="1734" t="s">
        <v>2315</v>
      </c>
    </row>
    <row r="93" spans="1:9" x14ac:dyDescent="0.2">
      <c r="A93" s="813" t="str">
        <f>'Part 1'!$L$17</f>
        <v>EZZZZ</v>
      </c>
      <c r="B93">
        <v>2017</v>
      </c>
      <c r="C93">
        <v>33</v>
      </c>
      <c r="D93">
        <v>3</v>
      </c>
      <c r="E93" s="969" t="s">
        <v>1191</v>
      </c>
      <c r="F93" s="814">
        <f>'Part 1'!$Q$182</f>
        <v>0</v>
      </c>
      <c r="G93" s="814"/>
      <c r="H93" t="s">
        <v>2463</v>
      </c>
      <c r="I93" s="1734" t="s">
        <v>2315</v>
      </c>
    </row>
    <row r="94" spans="1:9" x14ac:dyDescent="0.2">
      <c r="A94" s="813" t="str">
        <f>'Part 1'!$L$17</f>
        <v>EZZZZ</v>
      </c>
      <c r="B94">
        <v>2017</v>
      </c>
      <c r="C94">
        <v>33</v>
      </c>
      <c r="D94">
        <v>4</v>
      </c>
      <c r="E94" s="969" t="s">
        <v>1191</v>
      </c>
      <c r="F94" s="814">
        <f>'Part 1'!$T$182</f>
        <v>0</v>
      </c>
      <c r="G94" s="814"/>
      <c r="H94" t="s">
        <v>2464</v>
      </c>
      <c r="I94" s="1734" t="s">
        <v>2315</v>
      </c>
    </row>
    <row r="95" spans="1:9" x14ac:dyDescent="0.2">
      <c r="A95" s="813" t="str">
        <f>'Part 1'!$L$17</f>
        <v>EZZZZ</v>
      </c>
      <c r="B95">
        <v>2017</v>
      </c>
      <c r="C95">
        <v>33</v>
      </c>
      <c r="D95">
        <v>5</v>
      </c>
      <c r="E95" s="969" t="s">
        <v>1191</v>
      </c>
      <c r="F95" s="814">
        <f>'Part 1'!$W$182</f>
        <v>0</v>
      </c>
      <c r="G95" s="814"/>
      <c r="H95" t="s">
        <v>2465</v>
      </c>
      <c r="I95" s="1734" t="s">
        <v>2315</v>
      </c>
    </row>
    <row r="96" spans="1:9" x14ac:dyDescent="0.2">
      <c r="A96" s="813" t="str">
        <f>'Part 1'!$L$17</f>
        <v>EZZZZ</v>
      </c>
      <c r="B96">
        <v>2017</v>
      </c>
      <c r="C96">
        <v>34</v>
      </c>
      <c r="D96">
        <v>2</v>
      </c>
      <c r="E96" s="969" t="s">
        <v>1191</v>
      </c>
      <c r="F96" s="814">
        <f>'Part 1'!$N$185</f>
        <v>0</v>
      </c>
      <c r="G96" s="814"/>
      <c r="H96" t="s">
        <v>2466</v>
      </c>
      <c r="I96" s="1734" t="s">
        <v>2315</v>
      </c>
    </row>
    <row r="97" spans="1:9" x14ac:dyDescent="0.2">
      <c r="A97" s="813" t="str">
        <f>'Part 1'!$L$17</f>
        <v>EZZZZ</v>
      </c>
      <c r="B97">
        <v>2017</v>
      </c>
      <c r="C97">
        <v>34</v>
      </c>
      <c r="D97">
        <v>3</v>
      </c>
      <c r="E97" s="969" t="s">
        <v>1191</v>
      </c>
      <c r="F97" s="814">
        <f>'Part 1'!$Q$185</f>
        <v>0</v>
      </c>
      <c r="G97" s="814"/>
      <c r="H97" t="s">
        <v>2467</v>
      </c>
      <c r="I97" s="1734" t="s">
        <v>2315</v>
      </c>
    </row>
    <row r="98" spans="1:9" x14ac:dyDescent="0.2">
      <c r="A98" s="813" t="str">
        <f>'Part 1'!$L$17</f>
        <v>EZZZZ</v>
      </c>
      <c r="B98">
        <v>2017</v>
      </c>
      <c r="C98">
        <v>34</v>
      </c>
      <c r="D98">
        <v>4</v>
      </c>
      <c r="E98" s="969" t="s">
        <v>1191</v>
      </c>
      <c r="F98" s="814">
        <f>'Part 1'!$T$185</f>
        <v>0</v>
      </c>
      <c r="G98" s="814"/>
      <c r="H98" t="s">
        <v>2468</v>
      </c>
      <c r="I98" s="1734" t="s">
        <v>2315</v>
      </c>
    </row>
    <row r="99" spans="1:9" x14ac:dyDescent="0.2">
      <c r="A99" s="813" t="str">
        <f>'Part 1'!$L$17</f>
        <v>EZZZZ</v>
      </c>
      <c r="B99">
        <v>2017</v>
      </c>
      <c r="C99">
        <v>34</v>
      </c>
      <c r="D99">
        <v>5</v>
      </c>
      <c r="E99" s="969" t="s">
        <v>1191</v>
      </c>
      <c r="F99" s="814">
        <f>'Part 1'!$W$185</f>
        <v>0</v>
      </c>
      <c r="G99" s="814"/>
      <c r="H99" t="s">
        <v>2469</v>
      </c>
      <c r="I99" s="1734" t="s">
        <v>2315</v>
      </c>
    </row>
    <row r="100" spans="1:9" x14ac:dyDescent="0.2">
      <c r="A100" s="813" t="str">
        <f>'Part 1'!$L$17</f>
        <v>EZZZZ</v>
      </c>
      <c r="B100">
        <v>2017</v>
      </c>
      <c r="C100">
        <v>35</v>
      </c>
      <c r="D100">
        <v>2</v>
      </c>
      <c r="E100" s="969" t="s">
        <v>1191</v>
      </c>
      <c r="F100" s="814" t="e">
        <f>'Part 1'!$N$189</f>
        <v>#N/A</v>
      </c>
      <c r="G100" s="814"/>
      <c r="H100" t="s">
        <v>2470</v>
      </c>
      <c r="I100" s="1734" t="s">
        <v>2315</v>
      </c>
    </row>
    <row r="101" spans="1:9" x14ac:dyDescent="0.2">
      <c r="A101" s="813" t="str">
        <f>'Part 1'!$L$17</f>
        <v>EZZZZ</v>
      </c>
      <c r="B101">
        <v>2017</v>
      </c>
      <c r="C101">
        <v>35</v>
      </c>
      <c r="D101">
        <v>3</v>
      </c>
      <c r="E101" s="969" t="s">
        <v>1191</v>
      </c>
      <c r="F101" s="814" t="e">
        <f>'Part 1'!$Q$189</f>
        <v>#N/A</v>
      </c>
      <c r="G101" s="814"/>
      <c r="H101" t="s">
        <v>2471</v>
      </c>
      <c r="I101" s="1734" t="s">
        <v>2315</v>
      </c>
    </row>
    <row r="102" spans="1:9" x14ac:dyDescent="0.2">
      <c r="A102" s="813" t="str">
        <f>'Part 1'!$L$17</f>
        <v>EZZZZ</v>
      </c>
      <c r="B102">
        <v>2017</v>
      </c>
      <c r="C102">
        <v>35</v>
      </c>
      <c r="D102">
        <v>4</v>
      </c>
      <c r="E102" s="969" t="s">
        <v>1191</v>
      </c>
      <c r="F102" s="814" t="e">
        <f>'Part 1'!$T$189</f>
        <v>#N/A</v>
      </c>
      <c r="G102" s="814"/>
      <c r="H102" t="s">
        <v>2472</v>
      </c>
      <c r="I102" s="1734" t="s">
        <v>2315</v>
      </c>
    </row>
    <row r="103" spans="1:9" x14ac:dyDescent="0.2">
      <c r="A103" s="813" t="str">
        <f>'Part 1'!$L$17</f>
        <v>EZZZZ</v>
      </c>
      <c r="B103">
        <v>2017</v>
      </c>
      <c r="C103">
        <v>35</v>
      </c>
      <c r="D103">
        <v>5</v>
      </c>
      <c r="E103" s="969" t="s">
        <v>1191</v>
      </c>
      <c r="F103" s="814" t="e">
        <f>'Part 1'!$W$189</f>
        <v>#N/A</v>
      </c>
      <c r="G103" s="814"/>
      <c r="H103" t="s">
        <v>2473</v>
      </c>
      <c r="I103" s="1734" t="s">
        <v>2315</v>
      </c>
    </row>
    <row r="104" spans="1:9" x14ac:dyDescent="0.2">
      <c r="A104" s="813" t="str">
        <f>'Part 1'!$L$17</f>
        <v>EZZZZ</v>
      </c>
      <c r="B104">
        <v>2017</v>
      </c>
      <c r="C104">
        <v>1</v>
      </c>
      <c r="D104">
        <v>4</v>
      </c>
      <c r="E104" t="s">
        <v>1192</v>
      </c>
      <c r="F104" s="814">
        <f>'Part 2'!$F$18</f>
        <v>0</v>
      </c>
      <c r="G104" s="812"/>
      <c r="H104" t="s">
        <v>2474</v>
      </c>
      <c r="I104" s="1734" t="s">
        <v>2315</v>
      </c>
    </row>
    <row r="105" spans="1:9" x14ac:dyDescent="0.2">
      <c r="A105" s="813" t="str">
        <f>'Part 1'!$L$17</f>
        <v>EZZZZ</v>
      </c>
      <c r="B105">
        <v>2017</v>
      </c>
      <c r="C105">
        <v>1</v>
      </c>
      <c r="D105">
        <v>1</v>
      </c>
      <c r="E105" t="s">
        <v>1192</v>
      </c>
      <c r="F105" s="814">
        <f>'Part 2'!$J$18</f>
        <v>0</v>
      </c>
      <c r="G105" s="334"/>
      <c r="H105" t="s">
        <v>2475</v>
      </c>
      <c r="I105" s="1734" t="s">
        <v>2315</v>
      </c>
    </row>
    <row r="106" spans="1:9" x14ac:dyDescent="0.2">
      <c r="A106" s="813" t="str">
        <f>'Part 1'!$L$17</f>
        <v>EZZZZ</v>
      </c>
      <c r="B106">
        <v>2017</v>
      </c>
      <c r="C106">
        <v>1</v>
      </c>
      <c r="D106">
        <v>2</v>
      </c>
      <c r="E106" t="s">
        <v>1192</v>
      </c>
      <c r="F106" s="814">
        <f>'Part 2'!$N$18</f>
        <v>0</v>
      </c>
      <c r="G106" s="812"/>
      <c r="H106" t="s">
        <v>2476</v>
      </c>
      <c r="I106" s="1734" t="s">
        <v>2315</v>
      </c>
    </row>
    <row r="107" spans="1:9" x14ac:dyDescent="0.2">
      <c r="A107" s="813" t="str">
        <f>'Part 1'!$L$17</f>
        <v>EZZZZ</v>
      </c>
      <c r="B107">
        <v>2017</v>
      </c>
      <c r="C107">
        <v>1</v>
      </c>
      <c r="D107">
        <v>3</v>
      </c>
      <c r="E107" t="s">
        <v>1192</v>
      </c>
      <c r="F107" s="814">
        <f>'Part 2'!$R$18</f>
        <v>0</v>
      </c>
      <c r="G107" s="334"/>
      <c r="H107" t="s">
        <v>2477</v>
      </c>
      <c r="I107" s="1734" t="s">
        <v>2315</v>
      </c>
    </row>
    <row r="108" spans="1:9" x14ac:dyDescent="0.2">
      <c r="A108" s="813" t="str">
        <f>'Part 1'!$L$17</f>
        <v>EZZZZ</v>
      </c>
      <c r="B108">
        <v>2017</v>
      </c>
      <c r="C108">
        <v>2</v>
      </c>
      <c r="D108">
        <v>4</v>
      </c>
      <c r="E108" t="s">
        <v>1192</v>
      </c>
      <c r="F108" s="814">
        <f>'Part 2'!$G$20</f>
        <v>46.6</v>
      </c>
      <c r="G108" s="334"/>
      <c r="H108" t="s">
        <v>2478</v>
      </c>
      <c r="I108" s="1734" t="s">
        <v>2315</v>
      </c>
    </row>
    <row r="109" spans="1:9" x14ac:dyDescent="0.2">
      <c r="A109" s="813" t="str">
        <f>'Part 1'!$L$17</f>
        <v>EZZZZ</v>
      </c>
      <c r="B109">
        <v>2017</v>
      </c>
      <c r="C109">
        <v>3</v>
      </c>
      <c r="D109">
        <v>1</v>
      </c>
      <c r="E109" t="s">
        <v>1192</v>
      </c>
      <c r="F109" s="814">
        <f>'Part 2'!$J$23</f>
        <v>0</v>
      </c>
      <c r="G109" s="812"/>
      <c r="H109" t="s">
        <v>2479</v>
      </c>
      <c r="I109" s="1734" t="s">
        <v>2315</v>
      </c>
    </row>
    <row r="110" spans="1:9" x14ac:dyDescent="0.2">
      <c r="A110" s="813" t="str">
        <f>'Part 1'!$L$17</f>
        <v>EZZZZ</v>
      </c>
      <c r="B110">
        <v>2017</v>
      </c>
      <c r="C110">
        <v>3</v>
      </c>
      <c r="D110">
        <v>2</v>
      </c>
      <c r="E110" t="s">
        <v>1192</v>
      </c>
      <c r="F110" s="814">
        <f>'Part 2'!$N$23</f>
        <v>0</v>
      </c>
      <c r="G110" s="812"/>
      <c r="H110" t="s">
        <v>2480</v>
      </c>
      <c r="I110" s="1734" t="s">
        <v>2315</v>
      </c>
    </row>
    <row r="111" spans="1:9" x14ac:dyDescent="0.2">
      <c r="A111" s="813" t="str">
        <f>'Part 1'!$L$17</f>
        <v>EZZZZ</v>
      </c>
      <c r="B111">
        <v>2017</v>
      </c>
      <c r="C111">
        <v>4</v>
      </c>
      <c r="D111">
        <v>1</v>
      </c>
      <c r="E111" t="s">
        <v>1192</v>
      </c>
      <c r="F111" s="814">
        <f>'Part 2'!$J$25</f>
        <v>0</v>
      </c>
      <c r="G111" s="812"/>
      <c r="H111" t="s">
        <v>2481</v>
      </c>
      <c r="I111" s="1734" t="s">
        <v>2315</v>
      </c>
    </row>
    <row r="112" spans="1:9" x14ac:dyDescent="0.2">
      <c r="A112" s="813" t="str">
        <f>'Part 1'!$L$17</f>
        <v>EZZZZ</v>
      </c>
      <c r="B112">
        <v>2017</v>
      </c>
      <c r="C112">
        <v>4</v>
      </c>
      <c r="D112">
        <v>2</v>
      </c>
      <c r="E112" t="s">
        <v>1192</v>
      </c>
      <c r="F112" s="814">
        <f>'Part 2'!$N$25</f>
        <v>0</v>
      </c>
      <c r="G112" s="812"/>
      <c r="H112" t="s">
        <v>2482</v>
      </c>
      <c r="I112" s="1734" t="s">
        <v>2315</v>
      </c>
    </row>
    <row r="113" spans="1:9" x14ac:dyDescent="0.2">
      <c r="A113" s="813" t="str">
        <f>'Part 1'!$L$17</f>
        <v>EZZZZ</v>
      </c>
      <c r="B113">
        <v>2017</v>
      </c>
      <c r="C113">
        <v>5</v>
      </c>
      <c r="D113">
        <v>1</v>
      </c>
      <c r="E113" t="s">
        <v>1192</v>
      </c>
      <c r="F113" s="814">
        <f>'Part 2'!$J$28</f>
        <v>0</v>
      </c>
      <c r="G113" s="812"/>
      <c r="H113" t="s">
        <v>2483</v>
      </c>
      <c r="I113" s="1734" t="s">
        <v>2315</v>
      </c>
    </row>
    <row r="114" spans="1:9" x14ac:dyDescent="0.2">
      <c r="A114" s="813" t="str">
        <f>'Part 1'!$L$17</f>
        <v>EZZZZ</v>
      </c>
      <c r="B114">
        <v>2017</v>
      </c>
      <c r="C114">
        <v>5</v>
      </c>
      <c r="D114">
        <v>2</v>
      </c>
      <c r="E114" t="s">
        <v>1192</v>
      </c>
      <c r="F114" s="814">
        <f>'Part 2'!$N$28</f>
        <v>0</v>
      </c>
      <c r="G114" s="812"/>
      <c r="H114" t="s">
        <v>2484</v>
      </c>
      <c r="I114" s="1734" t="s">
        <v>2315</v>
      </c>
    </row>
    <row r="115" spans="1:9" x14ac:dyDescent="0.2">
      <c r="A115" s="813" t="str">
        <f>'Part 1'!$L$17</f>
        <v>EZZZZ</v>
      </c>
      <c r="B115">
        <v>2017</v>
      </c>
      <c r="C115">
        <v>5</v>
      </c>
      <c r="D115">
        <v>3</v>
      </c>
      <c r="E115" t="s">
        <v>1192</v>
      </c>
      <c r="F115" s="814">
        <f>'Part 2'!$R$28</f>
        <v>0</v>
      </c>
      <c r="G115" s="812"/>
      <c r="H115" t="s">
        <v>2485</v>
      </c>
      <c r="I115" s="1734" t="s">
        <v>2315</v>
      </c>
    </row>
    <row r="116" spans="1:9" x14ac:dyDescent="0.2">
      <c r="A116" s="813" t="str">
        <f>'Part 1'!$L$17</f>
        <v>EZZZZ</v>
      </c>
      <c r="B116">
        <v>2017</v>
      </c>
      <c r="C116">
        <v>6</v>
      </c>
      <c r="D116">
        <v>1</v>
      </c>
      <c r="E116" t="s">
        <v>1192</v>
      </c>
      <c r="F116" s="814">
        <f>'Part 2'!$J$32</f>
        <v>0</v>
      </c>
      <c r="G116" s="812"/>
      <c r="H116" t="s">
        <v>2486</v>
      </c>
      <c r="I116" s="1734" t="s">
        <v>2315</v>
      </c>
    </row>
    <row r="117" spans="1:9" x14ac:dyDescent="0.2">
      <c r="A117" s="813" t="str">
        <f>'Part 1'!$L$17</f>
        <v>EZZZZ</v>
      </c>
      <c r="B117">
        <v>2017</v>
      </c>
      <c r="C117">
        <v>6</v>
      </c>
      <c r="D117">
        <v>2</v>
      </c>
      <c r="E117" t="s">
        <v>1192</v>
      </c>
      <c r="F117" s="814">
        <f>'Part 2'!$N$32</f>
        <v>0</v>
      </c>
      <c r="G117" s="812"/>
      <c r="H117" t="s">
        <v>2487</v>
      </c>
      <c r="I117" s="1734" t="s">
        <v>2315</v>
      </c>
    </row>
    <row r="118" spans="1:9" x14ac:dyDescent="0.2">
      <c r="A118" s="813" t="str">
        <f>'Part 1'!$L$17</f>
        <v>EZZZZ</v>
      </c>
      <c r="B118">
        <v>2017</v>
      </c>
      <c r="C118">
        <v>6</v>
      </c>
      <c r="D118">
        <v>3</v>
      </c>
      <c r="E118" t="s">
        <v>1192</v>
      </c>
      <c r="F118" s="814">
        <f>'Part 2'!$R$32</f>
        <v>0</v>
      </c>
      <c r="G118" s="812"/>
      <c r="H118" t="s">
        <v>2488</v>
      </c>
      <c r="I118" s="1734" t="s">
        <v>2315</v>
      </c>
    </row>
    <row r="119" spans="1:9" x14ac:dyDescent="0.2">
      <c r="A119" s="813" t="str">
        <f>'Part 1'!$L$17</f>
        <v>EZZZZ</v>
      </c>
      <c r="B119">
        <v>2017</v>
      </c>
      <c r="C119">
        <v>7</v>
      </c>
      <c r="D119">
        <v>1</v>
      </c>
      <c r="E119" t="s">
        <v>1192</v>
      </c>
      <c r="F119" s="814">
        <f>'Part 2'!$J$35</f>
        <v>0</v>
      </c>
      <c r="G119" s="812"/>
      <c r="H119" t="s">
        <v>2489</v>
      </c>
      <c r="I119" s="1734" t="s">
        <v>2315</v>
      </c>
    </row>
    <row r="120" spans="1:9" x14ac:dyDescent="0.2">
      <c r="A120" s="813" t="str">
        <f>'Part 1'!$L$17</f>
        <v>EZZZZ</v>
      </c>
      <c r="B120">
        <v>2017</v>
      </c>
      <c r="C120">
        <v>7</v>
      </c>
      <c r="D120">
        <v>2</v>
      </c>
      <c r="E120" t="s">
        <v>1192</v>
      </c>
      <c r="F120" s="814">
        <f>'Part 2'!$N$35</f>
        <v>0</v>
      </c>
      <c r="G120" s="812"/>
      <c r="H120" t="s">
        <v>2490</v>
      </c>
      <c r="I120" s="1734" t="s">
        <v>2315</v>
      </c>
    </row>
    <row r="121" spans="1:9" x14ac:dyDescent="0.2">
      <c r="A121" s="813" t="str">
        <f>'Part 1'!$L$17</f>
        <v>EZZZZ</v>
      </c>
      <c r="B121">
        <v>2017</v>
      </c>
      <c r="C121">
        <v>7</v>
      </c>
      <c r="D121">
        <v>3</v>
      </c>
      <c r="E121" t="s">
        <v>1192</v>
      </c>
      <c r="F121" s="814">
        <f>'Part 2'!$R$35</f>
        <v>0</v>
      </c>
      <c r="G121" s="812"/>
      <c r="H121" t="s">
        <v>2491</v>
      </c>
      <c r="I121" s="1734" t="s">
        <v>2315</v>
      </c>
    </row>
    <row r="122" spans="1:9" x14ac:dyDescent="0.2">
      <c r="A122" s="813" t="str">
        <f>'Part 1'!$L$17</f>
        <v>EZZZZ</v>
      </c>
      <c r="B122">
        <v>2017</v>
      </c>
      <c r="C122">
        <v>8</v>
      </c>
      <c r="D122">
        <v>1</v>
      </c>
      <c r="E122" t="s">
        <v>1192</v>
      </c>
      <c r="F122" s="814">
        <f>'Part 2'!$J$39</f>
        <v>0</v>
      </c>
      <c r="G122" s="812"/>
      <c r="H122" t="s">
        <v>2492</v>
      </c>
      <c r="I122" s="1734" t="s">
        <v>2315</v>
      </c>
    </row>
    <row r="123" spans="1:9" x14ac:dyDescent="0.2">
      <c r="A123" s="813" t="str">
        <f>'Part 1'!$L$17</f>
        <v>EZZZZ</v>
      </c>
      <c r="B123">
        <v>2017</v>
      </c>
      <c r="C123">
        <v>8</v>
      </c>
      <c r="D123">
        <v>2</v>
      </c>
      <c r="E123" t="s">
        <v>1192</v>
      </c>
      <c r="F123" s="814">
        <f>'Part 2'!$N$39</f>
        <v>0</v>
      </c>
      <c r="G123" s="812"/>
      <c r="H123" t="s">
        <v>2493</v>
      </c>
      <c r="I123" s="1734" t="s">
        <v>2315</v>
      </c>
    </row>
    <row r="124" spans="1:9" x14ac:dyDescent="0.2">
      <c r="A124" s="813" t="str">
        <f>'Part 1'!$L$17</f>
        <v>EZZZZ</v>
      </c>
      <c r="B124">
        <v>2017</v>
      </c>
      <c r="C124">
        <v>9</v>
      </c>
      <c r="D124">
        <v>1</v>
      </c>
      <c r="E124" t="s">
        <v>1192</v>
      </c>
      <c r="F124" s="814">
        <f>'Part 2'!$J$41</f>
        <v>0</v>
      </c>
      <c r="G124" s="812"/>
      <c r="H124" t="s">
        <v>2494</v>
      </c>
      <c r="I124" s="1734" t="s">
        <v>2315</v>
      </c>
    </row>
    <row r="125" spans="1:9" x14ac:dyDescent="0.2">
      <c r="A125" s="813" t="str">
        <f>'Part 1'!$L$17</f>
        <v>EZZZZ</v>
      </c>
      <c r="B125">
        <v>2017</v>
      </c>
      <c r="C125">
        <v>9</v>
      </c>
      <c r="D125">
        <v>2</v>
      </c>
      <c r="E125" t="s">
        <v>1192</v>
      </c>
      <c r="F125" s="814">
        <f>'Part 2'!$N$41</f>
        <v>0</v>
      </c>
      <c r="G125" s="812"/>
      <c r="H125" t="s">
        <v>2495</v>
      </c>
      <c r="I125" s="1734" t="s">
        <v>2315</v>
      </c>
    </row>
    <row r="126" spans="1:9" x14ac:dyDescent="0.2">
      <c r="A126" s="813" t="str">
        <f>'Part 1'!$L$17</f>
        <v>EZZZZ</v>
      </c>
      <c r="B126">
        <v>2017</v>
      </c>
      <c r="C126">
        <v>10</v>
      </c>
      <c r="D126">
        <v>1</v>
      </c>
      <c r="E126" t="s">
        <v>1192</v>
      </c>
      <c r="F126" s="814">
        <f>'Part 2'!$J$45</f>
        <v>0</v>
      </c>
      <c r="G126" s="812"/>
      <c r="H126" t="s">
        <v>2496</v>
      </c>
      <c r="I126" s="1734" t="s">
        <v>2315</v>
      </c>
    </row>
    <row r="127" spans="1:9" x14ac:dyDescent="0.2">
      <c r="A127" s="813" t="str">
        <f>'Part 1'!$L$17</f>
        <v>EZZZZ</v>
      </c>
      <c r="B127">
        <v>2017</v>
      </c>
      <c r="C127">
        <v>10</v>
      </c>
      <c r="D127">
        <v>2</v>
      </c>
      <c r="E127" t="s">
        <v>1192</v>
      </c>
      <c r="F127" s="814">
        <f>'Part 2'!$N$45</f>
        <v>0</v>
      </c>
      <c r="G127" s="812"/>
      <c r="H127" t="s">
        <v>2497</v>
      </c>
      <c r="I127" s="1734" t="s">
        <v>2315</v>
      </c>
    </row>
    <row r="128" spans="1:9" x14ac:dyDescent="0.2">
      <c r="A128" s="813" t="str">
        <f>'Part 1'!$L$17</f>
        <v>EZZZZ</v>
      </c>
      <c r="B128">
        <v>2017</v>
      </c>
      <c r="C128">
        <v>10</v>
      </c>
      <c r="D128">
        <v>3</v>
      </c>
      <c r="E128" t="s">
        <v>1192</v>
      </c>
      <c r="F128" s="814">
        <f>'Part 2'!$R$45</f>
        <v>0</v>
      </c>
      <c r="G128" s="812"/>
      <c r="H128" t="s">
        <v>2498</v>
      </c>
      <c r="I128" s="1734" t="s">
        <v>2315</v>
      </c>
    </row>
    <row r="129" spans="1:9" x14ac:dyDescent="0.2">
      <c r="A129" s="813" t="str">
        <f>'Part 1'!$L$17</f>
        <v>EZZZZ</v>
      </c>
      <c r="B129">
        <v>2017</v>
      </c>
      <c r="C129">
        <v>11</v>
      </c>
      <c r="D129">
        <v>1</v>
      </c>
      <c r="E129" t="s">
        <v>1192</v>
      </c>
      <c r="F129" s="814">
        <f>'Part 2'!$J$50</f>
        <v>0</v>
      </c>
      <c r="G129" s="812"/>
      <c r="H129" t="s">
        <v>2499</v>
      </c>
      <c r="I129" s="1734" t="s">
        <v>2315</v>
      </c>
    </row>
    <row r="130" spans="1:9" x14ac:dyDescent="0.2">
      <c r="A130" s="813" t="str">
        <f>'Part 1'!$L$17</f>
        <v>EZZZZ</v>
      </c>
      <c r="B130">
        <v>2017</v>
      </c>
      <c r="C130">
        <v>11</v>
      </c>
      <c r="D130">
        <v>2</v>
      </c>
      <c r="E130" t="s">
        <v>1192</v>
      </c>
      <c r="F130" s="814">
        <f>'Part 2'!$N$50</f>
        <v>0</v>
      </c>
      <c r="G130" s="812"/>
      <c r="H130" t="s">
        <v>2500</v>
      </c>
      <c r="I130" s="1734" t="s">
        <v>2315</v>
      </c>
    </row>
    <row r="131" spans="1:9" x14ac:dyDescent="0.2">
      <c r="A131" s="813" t="str">
        <f>'Part 1'!$L$17</f>
        <v>EZZZZ</v>
      </c>
      <c r="B131">
        <v>2017</v>
      </c>
      <c r="C131">
        <v>11</v>
      </c>
      <c r="D131">
        <v>3</v>
      </c>
      <c r="E131" t="s">
        <v>1192</v>
      </c>
      <c r="F131" s="814">
        <f>'Part 2'!$R$50</f>
        <v>0</v>
      </c>
      <c r="G131" s="812"/>
      <c r="H131" t="s">
        <v>2501</v>
      </c>
      <c r="I131" s="1734" t="s">
        <v>2315</v>
      </c>
    </row>
    <row r="132" spans="1:9" x14ac:dyDescent="0.2">
      <c r="A132" s="813" t="str">
        <f>'Part 1'!$L$17</f>
        <v>EZZZZ</v>
      </c>
      <c r="B132">
        <v>2017</v>
      </c>
      <c r="C132">
        <v>12</v>
      </c>
      <c r="D132">
        <v>1</v>
      </c>
      <c r="E132" t="s">
        <v>1192</v>
      </c>
      <c r="F132" s="814">
        <f>'Part 2'!$J$56</f>
        <v>0</v>
      </c>
      <c r="G132" s="812"/>
      <c r="H132" t="s">
        <v>2502</v>
      </c>
      <c r="I132" s="1734" t="s">
        <v>2315</v>
      </c>
    </row>
    <row r="133" spans="1:9" x14ac:dyDescent="0.2">
      <c r="A133" s="813" t="str">
        <f>'Part 1'!$L$17</f>
        <v>EZZZZ</v>
      </c>
      <c r="B133">
        <v>2017</v>
      </c>
      <c r="C133">
        <v>12</v>
      </c>
      <c r="D133">
        <v>2</v>
      </c>
      <c r="E133" t="s">
        <v>1192</v>
      </c>
      <c r="F133" s="814">
        <f>'Part 2'!$N$56</f>
        <v>0</v>
      </c>
      <c r="G133" s="812"/>
      <c r="H133" t="s">
        <v>2503</v>
      </c>
      <c r="I133" s="1734" t="s">
        <v>2315</v>
      </c>
    </row>
    <row r="134" spans="1:9" x14ac:dyDescent="0.2">
      <c r="A134" s="813" t="str">
        <f>'Part 1'!$L$17</f>
        <v>EZZZZ</v>
      </c>
      <c r="B134">
        <v>2017</v>
      </c>
      <c r="C134">
        <v>12</v>
      </c>
      <c r="D134">
        <v>3</v>
      </c>
      <c r="E134" t="s">
        <v>1192</v>
      </c>
      <c r="F134" s="814">
        <f>'Part 2'!$R$56</f>
        <v>0</v>
      </c>
      <c r="G134" s="334"/>
      <c r="H134" t="s">
        <v>2504</v>
      </c>
      <c r="I134" s="1734" t="s">
        <v>2315</v>
      </c>
    </row>
    <row r="135" spans="1:9" x14ac:dyDescent="0.2">
      <c r="A135" s="813" t="str">
        <f>'Part 1'!$L$17</f>
        <v>EZZZZ</v>
      </c>
      <c r="B135">
        <v>2017</v>
      </c>
      <c r="C135">
        <v>13</v>
      </c>
      <c r="D135">
        <v>1</v>
      </c>
      <c r="E135" t="s">
        <v>1192</v>
      </c>
      <c r="F135" s="814">
        <f>'Part 2'!$J$58</f>
        <v>0</v>
      </c>
      <c r="G135" s="812"/>
      <c r="H135" t="s">
        <v>2505</v>
      </c>
      <c r="I135" s="1734" t="s">
        <v>2315</v>
      </c>
    </row>
    <row r="136" spans="1:9" x14ac:dyDescent="0.2">
      <c r="A136" s="813" t="str">
        <f>'Part 1'!$L$17</f>
        <v>EZZZZ</v>
      </c>
      <c r="B136">
        <v>2017</v>
      </c>
      <c r="C136">
        <v>13</v>
      </c>
      <c r="D136">
        <v>2</v>
      </c>
      <c r="E136" t="s">
        <v>1192</v>
      </c>
      <c r="F136" s="814">
        <f>'Part 2'!$N$58</f>
        <v>0</v>
      </c>
      <c r="G136" s="812"/>
      <c r="H136" t="s">
        <v>2506</v>
      </c>
      <c r="I136" s="1734" t="s">
        <v>2315</v>
      </c>
    </row>
    <row r="137" spans="1:9" x14ac:dyDescent="0.2">
      <c r="A137" s="813" t="str">
        <f>'Part 1'!$L$17</f>
        <v>EZZZZ</v>
      </c>
      <c r="B137">
        <v>2017</v>
      </c>
      <c r="C137">
        <v>13</v>
      </c>
      <c r="D137">
        <v>3</v>
      </c>
      <c r="E137" t="s">
        <v>1192</v>
      </c>
      <c r="F137" s="814">
        <f>'Part 2'!$R$58</f>
        <v>0</v>
      </c>
      <c r="G137" s="812"/>
      <c r="H137" t="s">
        <v>2507</v>
      </c>
      <c r="I137" s="1734" t="s">
        <v>2315</v>
      </c>
    </row>
    <row r="138" spans="1:9" x14ac:dyDescent="0.2">
      <c r="A138" s="813" t="str">
        <f>'Part 1'!$L$17</f>
        <v>EZZZZ</v>
      </c>
      <c r="B138">
        <v>2017</v>
      </c>
      <c r="C138">
        <v>14</v>
      </c>
      <c r="D138">
        <v>1</v>
      </c>
      <c r="E138" t="s">
        <v>1192</v>
      </c>
      <c r="F138" s="814">
        <f>'Part 2'!$J$61</f>
        <v>0</v>
      </c>
      <c r="G138" s="334"/>
      <c r="H138" t="s">
        <v>2508</v>
      </c>
      <c r="I138" s="1734" t="s">
        <v>2315</v>
      </c>
    </row>
    <row r="139" spans="1:9" x14ac:dyDescent="0.2">
      <c r="A139" s="813" t="str">
        <f>'Part 1'!$L$17</f>
        <v>EZZZZ</v>
      </c>
      <c r="B139">
        <v>2017</v>
      </c>
      <c r="C139">
        <v>14</v>
      </c>
      <c r="D139">
        <v>2</v>
      </c>
      <c r="E139" t="s">
        <v>1192</v>
      </c>
      <c r="F139" s="814">
        <f>'Part 2'!$N$61</f>
        <v>0</v>
      </c>
      <c r="G139" s="812"/>
      <c r="H139" t="s">
        <v>2509</v>
      </c>
      <c r="I139" s="1734" t="s">
        <v>2315</v>
      </c>
    </row>
    <row r="140" spans="1:9" x14ac:dyDescent="0.2">
      <c r="A140" s="813" t="str">
        <f>'Part 1'!$L$17</f>
        <v>EZZZZ</v>
      </c>
      <c r="B140">
        <v>2017</v>
      </c>
      <c r="C140">
        <v>14</v>
      </c>
      <c r="D140">
        <v>3</v>
      </c>
      <c r="E140" t="s">
        <v>1192</v>
      </c>
      <c r="F140" s="814">
        <f>'Part 2'!$R$61</f>
        <v>0</v>
      </c>
      <c r="G140" s="334"/>
      <c r="H140" t="s">
        <v>2510</v>
      </c>
      <c r="I140" s="1734" t="s">
        <v>2315</v>
      </c>
    </row>
    <row r="141" spans="1:9" x14ac:dyDescent="0.2">
      <c r="A141" s="813" t="str">
        <f>'Part 1'!$L$17</f>
        <v>EZZZZ</v>
      </c>
      <c r="B141">
        <v>2017</v>
      </c>
      <c r="C141">
        <v>15</v>
      </c>
      <c r="D141">
        <v>1</v>
      </c>
      <c r="E141" t="s">
        <v>1192</v>
      </c>
      <c r="F141" s="814">
        <f>'Part 2'!$J$64</f>
        <v>0</v>
      </c>
      <c r="G141" s="812"/>
      <c r="H141" t="s">
        <v>2511</v>
      </c>
      <c r="I141" s="1734" t="s">
        <v>2315</v>
      </c>
    </row>
    <row r="142" spans="1:9" x14ac:dyDescent="0.2">
      <c r="A142" s="813" t="str">
        <f>'Part 1'!$L$17</f>
        <v>EZZZZ</v>
      </c>
      <c r="B142">
        <v>2017</v>
      </c>
      <c r="C142">
        <v>15</v>
      </c>
      <c r="D142">
        <v>2</v>
      </c>
      <c r="E142" t="s">
        <v>1192</v>
      </c>
      <c r="F142" s="814">
        <f>'Part 2'!$N$64</f>
        <v>0</v>
      </c>
      <c r="G142" s="812"/>
      <c r="H142" t="s">
        <v>2512</v>
      </c>
      <c r="I142" s="1734" t="s">
        <v>2315</v>
      </c>
    </row>
    <row r="143" spans="1:9" x14ac:dyDescent="0.2">
      <c r="A143" s="813" t="str">
        <f>'Part 1'!$L$17</f>
        <v>EZZZZ</v>
      </c>
      <c r="B143">
        <v>2017</v>
      </c>
      <c r="C143">
        <v>15</v>
      </c>
      <c r="D143">
        <v>3</v>
      </c>
      <c r="E143" t="s">
        <v>1192</v>
      </c>
      <c r="F143" s="814">
        <f>'Part 2'!$R$64</f>
        <v>0</v>
      </c>
      <c r="G143" s="334"/>
      <c r="H143" t="s">
        <v>2513</v>
      </c>
      <c r="I143" s="1734" t="s">
        <v>2315</v>
      </c>
    </row>
    <row r="144" spans="1:9" x14ac:dyDescent="0.2">
      <c r="A144" s="813" t="str">
        <f>'Part 1'!$L$17</f>
        <v>EZZZZ</v>
      </c>
      <c r="B144">
        <v>2017</v>
      </c>
      <c r="C144">
        <v>16</v>
      </c>
      <c r="D144">
        <v>1</v>
      </c>
      <c r="E144" t="s">
        <v>1192</v>
      </c>
      <c r="F144" s="814">
        <f>'Part 2'!$J$67</f>
        <v>0</v>
      </c>
      <c r="G144" s="334"/>
      <c r="H144" t="s">
        <v>2514</v>
      </c>
      <c r="I144" s="1734" t="s">
        <v>2315</v>
      </c>
    </row>
    <row r="145" spans="1:9" x14ac:dyDescent="0.2">
      <c r="A145" s="813" t="str">
        <f>'Part 1'!$L$17</f>
        <v>EZZZZ</v>
      </c>
      <c r="B145">
        <v>2017</v>
      </c>
      <c r="C145">
        <v>16</v>
      </c>
      <c r="D145">
        <v>2</v>
      </c>
      <c r="E145" t="s">
        <v>1192</v>
      </c>
      <c r="F145" s="814">
        <f>'Part 2'!$N$67</f>
        <v>0</v>
      </c>
      <c r="G145" s="812"/>
      <c r="H145" t="s">
        <v>2515</v>
      </c>
      <c r="I145" s="1734" t="s">
        <v>2315</v>
      </c>
    </row>
    <row r="146" spans="1:9" x14ac:dyDescent="0.2">
      <c r="A146" s="813" t="str">
        <f>'Part 1'!$L$17</f>
        <v>EZZZZ</v>
      </c>
      <c r="B146">
        <v>2017</v>
      </c>
      <c r="C146">
        <v>16</v>
      </c>
      <c r="D146">
        <v>3</v>
      </c>
      <c r="E146" t="s">
        <v>1192</v>
      </c>
      <c r="F146" s="814">
        <f>'Part 2'!$R$67</f>
        <v>0</v>
      </c>
      <c r="G146" s="334"/>
      <c r="H146" t="s">
        <v>2516</v>
      </c>
      <c r="I146" s="1734" t="s">
        <v>2315</v>
      </c>
    </row>
    <row r="147" spans="1:9" x14ac:dyDescent="0.2">
      <c r="A147" s="813" t="str">
        <f>'Part 1'!$L$17</f>
        <v>EZZZZ</v>
      </c>
      <c r="B147">
        <v>2017</v>
      </c>
      <c r="C147">
        <v>17</v>
      </c>
      <c r="D147">
        <v>1</v>
      </c>
      <c r="E147" t="s">
        <v>1192</v>
      </c>
      <c r="F147" s="814">
        <f>'Part 2'!$J$70</f>
        <v>0</v>
      </c>
      <c r="G147" s="334"/>
      <c r="H147" t="s">
        <v>2517</v>
      </c>
      <c r="I147" s="1734" t="s">
        <v>2315</v>
      </c>
    </row>
    <row r="148" spans="1:9" x14ac:dyDescent="0.2">
      <c r="A148" s="813" t="str">
        <f>'Part 1'!$L$17</f>
        <v>EZZZZ</v>
      </c>
      <c r="B148">
        <v>2017</v>
      </c>
      <c r="C148">
        <v>17</v>
      </c>
      <c r="D148">
        <v>2</v>
      </c>
      <c r="E148" t="s">
        <v>1192</v>
      </c>
      <c r="F148" s="814">
        <f>'Part 2'!$N$70</f>
        <v>0</v>
      </c>
      <c r="G148" s="812"/>
      <c r="H148" t="s">
        <v>2518</v>
      </c>
      <c r="I148" s="1734" t="s">
        <v>2315</v>
      </c>
    </row>
    <row r="149" spans="1:9" x14ac:dyDescent="0.2">
      <c r="A149" s="813" t="str">
        <f>'Part 1'!$L$17</f>
        <v>EZZZZ</v>
      </c>
      <c r="B149">
        <v>2017</v>
      </c>
      <c r="C149">
        <v>17</v>
      </c>
      <c r="D149">
        <v>3</v>
      </c>
      <c r="E149" t="s">
        <v>1192</v>
      </c>
      <c r="F149" s="814">
        <f>'Part 2'!$R$70</f>
        <v>0</v>
      </c>
      <c r="G149" s="334"/>
      <c r="H149" t="s">
        <v>2519</v>
      </c>
      <c r="I149" s="1734" t="s">
        <v>2315</v>
      </c>
    </row>
    <row r="150" spans="1:9" x14ac:dyDescent="0.2">
      <c r="A150" s="813" t="str">
        <f>'Part 1'!$L$17</f>
        <v>EZZZZ</v>
      </c>
      <c r="B150">
        <v>2017</v>
      </c>
      <c r="C150">
        <v>18</v>
      </c>
      <c r="D150">
        <v>1</v>
      </c>
      <c r="E150" t="s">
        <v>1192</v>
      </c>
      <c r="F150" s="814">
        <f>'Part 2'!$J$73</f>
        <v>0</v>
      </c>
      <c r="G150" s="334"/>
      <c r="H150" t="s">
        <v>2520</v>
      </c>
      <c r="I150" s="1734" t="s">
        <v>2315</v>
      </c>
    </row>
    <row r="151" spans="1:9" x14ac:dyDescent="0.2">
      <c r="A151" s="813" t="str">
        <f>'Part 1'!$L$17</f>
        <v>EZZZZ</v>
      </c>
      <c r="B151">
        <v>2017</v>
      </c>
      <c r="C151">
        <v>18</v>
      </c>
      <c r="D151">
        <v>2</v>
      </c>
      <c r="E151" t="s">
        <v>1192</v>
      </c>
      <c r="F151" s="814">
        <f>'Part 2'!$N$73</f>
        <v>0</v>
      </c>
      <c r="G151" s="812"/>
      <c r="H151" t="s">
        <v>2521</v>
      </c>
      <c r="I151" s="1734" t="s">
        <v>2315</v>
      </c>
    </row>
    <row r="152" spans="1:9" x14ac:dyDescent="0.2">
      <c r="A152" s="813" t="str">
        <f>'Part 1'!$L$17</f>
        <v>EZZZZ</v>
      </c>
      <c r="B152">
        <v>2017</v>
      </c>
      <c r="C152">
        <v>18</v>
      </c>
      <c r="D152">
        <v>3</v>
      </c>
      <c r="E152" t="s">
        <v>1192</v>
      </c>
      <c r="F152" s="814">
        <f>'Part 2'!$R$73</f>
        <v>0</v>
      </c>
      <c r="G152" s="334"/>
      <c r="H152" t="s">
        <v>2522</v>
      </c>
      <c r="I152" s="1734" t="s">
        <v>2315</v>
      </c>
    </row>
    <row r="153" spans="1:9" x14ac:dyDescent="0.2">
      <c r="A153" s="813" t="str">
        <f>'Part 1'!$L$17</f>
        <v>EZZZZ</v>
      </c>
      <c r="B153">
        <v>2017</v>
      </c>
      <c r="C153">
        <v>19</v>
      </c>
      <c r="D153">
        <v>1</v>
      </c>
      <c r="E153" t="s">
        <v>1192</v>
      </c>
      <c r="F153" s="814">
        <f>'Part 2'!$J$78</f>
        <v>0</v>
      </c>
      <c r="G153" s="334"/>
      <c r="H153" t="s">
        <v>2523</v>
      </c>
      <c r="I153" s="1734" t="s">
        <v>2315</v>
      </c>
    </row>
    <row r="154" spans="1:9" x14ac:dyDescent="0.2">
      <c r="A154" s="813" t="str">
        <f>'Part 1'!$L$17</f>
        <v>EZZZZ</v>
      </c>
      <c r="B154">
        <v>2017</v>
      </c>
      <c r="C154">
        <v>19</v>
      </c>
      <c r="D154">
        <v>2</v>
      </c>
      <c r="E154" t="s">
        <v>1192</v>
      </c>
      <c r="F154" s="814">
        <f>'Part 2'!$N$78</f>
        <v>0</v>
      </c>
      <c r="G154" s="812"/>
      <c r="H154" t="s">
        <v>2524</v>
      </c>
      <c r="I154" s="1734" t="s">
        <v>2315</v>
      </c>
    </row>
    <row r="155" spans="1:9" x14ac:dyDescent="0.2">
      <c r="A155" s="813" t="str">
        <f>'Part 1'!$L$17</f>
        <v>EZZZZ</v>
      </c>
      <c r="B155">
        <v>2017</v>
      </c>
      <c r="C155">
        <v>20</v>
      </c>
      <c r="D155">
        <v>1</v>
      </c>
      <c r="E155" t="s">
        <v>1192</v>
      </c>
      <c r="F155" s="814">
        <f>'Part 2'!$J$81</f>
        <v>0</v>
      </c>
      <c r="G155" s="334"/>
      <c r="H155" t="s">
        <v>2525</v>
      </c>
      <c r="I155" s="1734" t="s">
        <v>2315</v>
      </c>
    </row>
    <row r="156" spans="1:9" x14ac:dyDescent="0.2">
      <c r="A156" s="813" t="str">
        <f>'Part 1'!$L$17</f>
        <v>EZZZZ</v>
      </c>
      <c r="B156">
        <v>2017</v>
      </c>
      <c r="C156">
        <v>20</v>
      </c>
      <c r="D156">
        <v>2</v>
      </c>
      <c r="E156" t="s">
        <v>1192</v>
      </c>
      <c r="F156" s="814">
        <f>'Part 2'!$N$81</f>
        <v>0</v>
      </c>
      <c r="G156" s="812"/>
      <c r="H156" t="s">
        <v>2526</v>
      </c>
      <c r="I156" s="1734" t="s">
        <v>2315</v>
      </c>
    </row>
    <row r="157" spans="1:9" x14ac:dyDescent="0.2">
      <c r="A157" s="813" t="str">
        <f>'Part 1'!$L$17</f>
        <v>EZZZZ</v>
      </c>
      <c r="B157">
        <v>2017</v>
      </c>
      <c r="C157">
        <v>21</v>
      </c>
      <c r="D157">
        <v>1</v>
      </c>
      <c r="E157" t="s">
        <v>1192</v>
      </c>
      <c r="F157" s="814">
        <f>'Part 2'!$J$85</f>
        <v>0</v>
      </c>
      <c r="G157" s="812"/>
      <c r="H157" t="s">
        <v>2527</v>
      </c>
      <c r="I157" s="1734" t="s">
        <v>2315</v>
      </c>
    </row>
    <row r="158" spans="1:9" x14ac:dyDescent="0.2">
      <c r="A158" s="813" t="str">
        <f>'Part 1'!$L$17</f>
        <v>EZZZZ</v>
      </c>
      <c r="B158">
        <v>2017</v>
      </c>
      <c r="C158">
        <v>21</v>
      </c>
      <c r="D158">
        <v>2</v>
      </c>
      <c r="E158" t="s">
        <v>1192</v>
      </c>
      <c r="F158" s="814">
        <f>'Part 2'!$N$85</f>
        <v>0</v>
      </c>
      <c r="G158" s="812"/>
      <c r="H158" t="s">
        <v>2528</v>
      </c>
      <c r="I158" s="1734" t="s">
        <v>2315</v>
      </c>
    </row>
    <row r="159" spans="1:9" x14ac:dyDescent="0.2">
      <c r="A159" s="813" t="str">
        <f>'Part 1'!$L$17</f>
        <v>EZZZZ</v>
      </c>
      <c r="B159">
        <v>2017</v>
      </c>
      <c r="C159">
        <v>21</v>
      </c>
      <c r="D159">
        <v>3</v>
      </c>
      <c r="E159" t="s">
        <v>1192</v>
      </c>
      <c r="F159" s="814">
        <f>'Part 2'!$R$85</f>
        <v>0</v>
      </c>
      <c r="G159" s="812"/>
      <c r="H159" t="s">
        <v>2529</v>
      </c>
      <c r="I159" s="1734" t="s">
        <v>2315</v>
      </c>
    </row>
    <row r="160" spans="1:9" x14ac:dyDescent="0.2">
      <c r="A160" s="813" t="str">
        <f>'Part 1'!$L$17</f>
        <v>EZZZZ</v>
      </c>
      <c r="B160">
        <v>2017</v>
      </c>
      <c r="C160">
        <v>22</v>
      </c>
      <c r="D160">
        <v>1</v>
      </c>
      <c r="E160" t="s">
        <v>1192</v>
      </c>
      <c r="F160" s="814">
        <f>'Part 2'!$J$93</f>
        <v>0</v>
      </c>
      <c r="G160" s="812"/>
      <c r="H160" t="s">
        <v>2530</v>
      </c>
      <c r="I160" s="1734" t="s">
        <v>2315</v>
      </c>
    </row>
    <row r="161" spans="1:9" x14ac:dyDescent="0.2">
      <c r="A161" s="813" t="str">
        <f>'Part 1'!$L$17</f>
        <v>EZZZZ</v>
      </c>
      <c r="B161">
        <v>2017</v>
      </c>
      <c r="C161">
        <v>22</v>
      </c>
      <c r="D161">
        <v>2</v>
      </c>
      <c r="E161" t="s">
        <v>1192</v>
      </c>
      <c r="F161" s="814">
        <f>'Part 2'!$N$93</f>
        <v>0</v>
      </c>
      <c r="G161" s="812"/>
      <c r="H161" t="s">
        <v>2531</v>
      </c>
      <c r="I161" s="1734" t="s">
        <v>2315</v>
      </c>
    </row>
    <row r="162" spans="1:9" x14ac:dyDescent="0.2">
      <c r="A162" s="813" t="str">
        <f>'Part 1'!$L$17</f>
        <v>EZZZZ</v>
      </c>
      <c r="B162">
        <v>2017</v>
      </c>
      <c r="C162">
        <v>22</v>
      </c>
      <c r="D162">
        <v>3</v>
      </c>
      <c r="E162" t="s">
        <v>1192</v>
      </c>
      <c r="F162" s="814">
        <f>'Part 2'!$R$93</f>
        <v>0</v>
      </c>
      <c r="G162" s="334"/>
      <c r="H162" t="s">
        <v>2532</v>
      </c>
      <c r="I162" s="1734" t="s">
        <v>2315</v>
      </c>
    </row>
    <row r="163" spans="1:9" x14ac:dyDescent="0.2">
      <c r="A163" s="813" t="str">
        <f>'Part 1'!$L$17</f>
        <v>EZZZZ</v>
      </c>
      <c r="B163">
        <v>2017</v>
      </c>
      <c r="C163">
        <v>23</v>
      </c>
      <c r="D163">
        <v>1</v>
      </c>
      <c r="E163" t="s">
        <v>1192</v>
      </c>
      <c r="F163" s="814">
        <f>'Part 2'!$J$96</f>
        <v>0</v>
      </c>
      <c r="G163" s="812"/>
      <c r="H163" t="s">
        <v>2533</v>
      </c>
      <c r="I163" s="1734" t="s">
        <v>2315</v>
      </c>
    </row>
    <row r="164" spans="1:9" x14ac:dyDescent="0.2">
      <c r="A164" s="813" t="str">
        <f>'Part 1'!$L$17</f>
        <v>EZZZZ</v>
      </c>
      <c r="B164">
        <v>2017</v>
      </c>
      <c r="C164">
        <v>23</v>
      </c>
      <c r="D164">
        <v>2</v>
      </c>
      <c r="E164" t="s">
        <v>1192</v>
      </c>
      <c r="F164" s="814">
        <f>'Part 2'!$N$96</f>
        <v>0</v>
      </c>
      <c r="G164" s="812"/>
      <c r="H164" t="s">
        <v>2534</v>
      </c>
      <c r="I164" s="1734" t="s">
        <v>2315</v>
      </c>
    </row>
    <row r="165" spans="1:9" x14ac:dyDescent="0.2">
      <c r="A165" s="813" t="str">
        <f>'Part 1'!$L$17</f>
        <v>EZZZZ</v>
      </c>
      <c r="B165">
        <v>2017</v>
      </c>
      <c r="C165">
        <v>23</v>
      </c>
      <c r="D165">
        <v>3</v>
      </c>
      <c r="E165" t="s">
        <v>1192</v>
      </c>
      <c r="F165" s="814">
        <f>'Part 2'!$R$96</f>
        <v>0</v>
      </c>
      <c r="G165" s="334"/>
      <c r="H165" t="s">
        <v>2535</v>
      </c>
      <c r="I165" s="1734" t="s">
        <v>2315</v>
      </c>
    </row>
    <row r="166" spans="1:9" x14ac:dyDescent="0.2">
      <c r="A166" s="813" t="str">
        <f>'Part 1'!$L$17</f>
        <v>EZZZZ</v>
      </c>
      <c r="B166">
        <v>2017</v>
      </c>
      <c r="C166">
        <v>24</v>
      </c>
      <c r="D166">
        <v>1</v>
      </c>
      <c r="E166" t="s">
        <v>1192</v>
      </c>
      <c r="F166" s="814">
        <f>'Part 2'!$J$100</f>
        <v>0</v>
      </c>
      <c r="G166" s="334"/>
      <c r="H166" t="s">
        <v>2536</v>
      </c>
      <c r="I166" s="1734" t="s">
        <v>2315</v>
      </c>
    </row>
    <row r="167" spans="1:9" x14ac:dyDescent="0.2">
      <c r="A167" s="813" t="str">
        <f>'Part 1'!$L$17</f>
        <v>EZZZZ</v>
      </c>
      <c r="B167">
        <v>2017</v>
      </c>
      <c r="C167">
        <v>24</v>
      </c>
      <c r="D167">
        <v>2</v>
      </c>
      <c r="E167" t="s">
        <v>1192</v>
      </c>
      <c r="F167" s="814">
        <f>'Part 2'!$N$100</f>
        <v>0</v>
      </c>
      <c r="G167" s="812"/>
      <c r="H167" t="s">
        <v>2537</v>
      </c>
      <c r="I167" s="1734" t="s">
        <v>2315</v>
      </c>
    </row>
    <row r="168" spans="1:9" x14ac:dyDescent="0.2">
      <c r="A168" s="813" t="str">
        <f>'Part 1'!$L$17</f>
        <v>EZZZZ</v>
      </c>
      <c r="B168">
        <v>2017</v>
      </c>
      <c r="C168">
        <v>25</v>
      </c>
      <c r="D168">
        <v>1</v>
      </c>
      <c r="E168" t="s">
        <v>1192</v>
      </c>
      <c r="F168" s="814">
        <f>'Part 2'!$J$103</f>
        <v>0</v>
      </c>
      <c r="G168" s="334"/>
      <c r="H168" t="s">
        <v>2538</v>
      </c>
      <c r="I168" s="1734" t="s">
        <v>2315</v>
      </c>
    </row>
    <row r="169" spans="1:9" x14ac:dyDescent="0.2">
      <c r="A169" s="813" t="str">
        <f>'Part 1'!$L$17</f>
        <v>EZZZZ</v>
      </c>
      <c r="B169">
        <v>2017</v>
      </c>
      <c r="C169">
        <v>25</v>
      </c>
      <c r="D169">
        <v>2</v>
      </c>
      <c r="E169" t="s">
        <v>1192</v>
      </c>
      <c r="F169" s="814">
        <f>'Part 2'!$N$103</f>
        <v>0</v>
      </c>
      <c r="G169" s="812"/>
      <c r="H169" t="s">
        <v>2539</v>
      </c>
      <c r="I169" s="1734" t="s">
        <v>2315</v>
      </c>
    </row>
    <row r="170" spans="1:9" x14ac:dyDescent="0.2">
      <c r="A170" s="813" t="str">
        <f>'Part 1'!$L$17</f>
        <v>EZZZZ</v>
      </c>
      <c r="B170">
        <v>2017</v>
      </c>
      <c r="C170">
        <v>26</v>
      </c>
      <c r="D170">
        <v>1</v>
      </c>
      <c r="E170" t="s">
        <v>1192</v>
      </c>
      <c r="F170" s="814">
        <f>'Part 2'!$J$107</f>
        <v>0</v>
      </c>
      <c r="G170" s="812"/>
      <c r="H170" t="s">
        <v>2540</v>
      </c>
      <c r="I170" s="1734" t="s">
        <v>2315</v>
      </c>
    </row>
    <row r="171" spans="1:9" x14ac:dyDescent="0.2">
      <c r="A171" s="813" t="str">
        <f>'Part 1'!$L$17</f>
        <v>EZZZZ</v>
      </c>
      <c r="B171">
        <v>2017</v>
      </c>
      <c r="C171">
        <v>26</v>
      </c>
      <c r="D171">
        <v>2</v>
      </c>
      <c r="E171" t="s">
        <v>1192</v>
      </c>
      <c r="F171" s="814">
        <f>'Part 2'!$N$107</f>
        <v>0</v>
      </c>
      <c r="G171" s="812"/>
      <c r="H171" t="s">
        <v>2541</v>
      </c>
      <c r="I171" s="1734" t="s">
        <v>2315</v>
      </c>
    </row>
    <row r="172" spans="1:9" x14ac:dyDescent="0.2">
      <c r="A172" s="813" t="str">
        <f>'Part 1'!$L$17</f>
        <v>EZZZZ</v>
      </c>
      <c r="B172">
        <v>2017</v>
      </c>
      <c r="C172">
        <v>26</v>
      </c>
      <c r="D172">
        <v>3</v>
      </c>
      <c r="E172" t="s">
        <v>1192</v>
      </c>
      <c r="F172" s="814">
        <f>'Part 2'!$R$107</f>
        <v>0</v>
      </c>
      <c r="G172" s="812"/>
      <c r="H172" t="s">
        <v>2542</v>
      </c>
      <c r="I172" s="1734" t="s">
        <v>2315</v>
      </c>
    </row>
    <row r="173" spans="1:9" x14ac:dyDescent="0.2">
      <c r="A173" s="813" t="str">
        <f>'Part 1'!$L$17</f>
        <v>EZZZZ</v>
      </c>
      <c r="B173">
        <v>2017</v>
      </c>
      <c r="C173">
        <v>27</v>
      </c>
      <c r="D173">
        <v>1</v>
      </c>
      <c r="E173" t="s">
        <v>1192</v>
      </c>
      <c r="F173" s="814">
        <f>'Part 2'!$J$113</f>
        <v>0</v>
      </c>
      <c r="G173" s="812"/>
      <c r="H173" t="s">
        <v>2543</v>
      </c>
      <c r="I173" s="1734" t="s">
        <v>2315</v>
      </c>
    </row>
    <row r="174" spans="1:9" x14ac:dyDescent="0.2">
      <c r="A174" s="813" t="str">
        <f>'Part 1'!$L$17</f>
        <v>EZZZZ</v>
      </c>
      <c r="B174">
        <v>2017</v>
      </c>
      <c r="C174">
        <v>27</v>
      </c>
      <c r="D174">
        <v>2</v>
      </c>
      <c r="E174" t="s">
        <v>1192</v>
      </c>
      <c r="F174" s="814">
        <f>'Part 2'!$N$113</f>
        <v>0</v>
      </c>
      <c r="G174" s="812"/>
      <c r="H174" t="s">
        <v>2544</v>
      </c>
      <c r="I174" s="1734" t="s">
        <v>2315</v>
      </c>
    </row>
    <row r="175" spans="1:9" x14ac:dyDescent="0.2">
      <c r="A175" s="813" t="str">
        <f>'Part 1'!$L$17</f>
        <v>EZZZZ</v>
      </c>
      <c r="B175">
        <v>2017</v>
      </c>
      <c r="C175">
        <v>27</v>
      </c>
      <c r="D175">
        <v>3</v>
      </c>
      <c r="E175" t="s">
        <v>1192</v>
      </c>
      <c r="F175" s="814">
        <f>'Part 2'!$R$113</f>
        <v>0</v>
      </c>
      <c r="G175" s="334"/>
      <c r="H175" t="s">
        <v>2545</v>
      </c>
      <c r="I175" s="1734" t="s">
        <v>2315</v>
      </c>
    </row>
    <row r="176" spans="1:9" x14ac:dyDescent="0.2">
      <c r="A176" s="813" t="str">
        <f>'Part 1'!$L$17</f>
        <v>EZZZZ</v>
      </c>
      <c r="B176">
        <v>2017</v>
      </c>
      <c r="C176">
        <v>28</v>
      </c>
      <c r="D176">
        <v>1</v>
      </c>
      <c r="E176" t="s">
        <v>1192</v>
      </c>
      <c r="F176" s="814">
        <f>'Part 2'!$J$116</f>
        <v>0</v>
      </c>
      <c r="G176" s="812"/>
      <c r="H176" t="s">
        <v>2546</v>
      </c>
      <c r="I176" s="1734" t="s">
        <v>2315</v>
      </c>
    </row>
    <row r="177" spans="1:9" x14ac:dyDescent="0.2">
      <c r="A177" s="813" t="str">
        <f>'Part 1'!$L$17</f>
        <v>EZZZZ</v>
      </c>
      <c r="B177">
        <v>2017</v>
      </c>
      <c r="C177">
        <v>28</v>
      </c>
      <c r="D177">
        <v>2</v>
      </c>
      <c r="E177" t="s">
        <v>1192</v>
      </c>
      <c r="F177" s="814">
        <f>'Part 2'!$N$116</f>
        <v>0</v>
      </c>
      <c r="G177" s="812"/>
      <c r="H177" t="s">
        <v>2547</v>
      </c>
      <c r="I177" s="1734" t="s">
        <v>2315</v>
      </c>
    </row>
    <row r="178" spans="1:9" x14ac:dyDescent="0.2">
      <c r="A178" s="813" t="str">
        <f>'Part 1'!$L$17</f>
        <v>EZZZZ</v>
      </c>
      <c r="B178">
        <v>2017</v>
      </c>
      <c r="C178">
        <v>28</v>
      </c>
      <c r="D178">
        <v>3</v>
      </c>
      <c r="E178" t="s">
        <v>1192</v>
      </c>
      <c r="F178" s="814">
        <f>'Part 2'!$R$116</f>
        <v>0</v>
      </c>
      <c r="G178" s="334"/>
      <c r="H178" t="s">
        <v>2548</v>
      </c>
      <c r="I178" s="1734" t="s">
        <v>2315</v>
      </c>
    </row>
    <row r="179" spans="1:9" x14ac:dyDescent="0.2">
      <c r="A179" s="813" t="str">
        <f>'Part 1'!$L$17</f>
        <v>EZZZZ</v>
      </c>
      <c r="B179">
        <v>2017</v>
      </c>
      <c r="C179">
        <v>29</v>
      </c>
      <c r="D179">
        <v>1</v>
      </c>
      <c r="E179" t="s">
        <v>1192</v>
      </c>
      <c r="F179" s="814">
        <f>'Part 2'!$J$119</f>
        <v>0</v>
      </c>
      <c r="G179" s="334"/>
      <c r="H179" t="s">
        <v>2549</v>
      </c>
      <c r="I179" s="1734" t="s">
        <v>2315</v>
      </c>
    </row>
    <row r="180" spans="1:9" x14ac:dyDescent="0.2">
      <c r="A180" s="813" t="str">
        <f>'Part 1'!$L$17</f>
        <v>EZZZZ</v>
      </c>
      <c r="B180">
        <v>2017</v>
      </c>
      <c r="C180">
        <v>29</v>
      </c>
      <c r="D180">
        <v>2</v>
      </c>
      <c r="E180" t="s">
        <v>1192</v>
      </c>
      <c r="F180" s="814">
        <f>'Part 2'!$N$119</f>
        <v>0</v>
      </c>
      <c r="G180" s="812"/>
      <c r="H180" t="s">
        <v>2550</v>
      </c>
      <c r="I180" s="1734" t="s">
        <v>2315</v>
      </c>
    </row>
    <row r="181" spans="1:9" x14ac:dyDescent="0.2">
      <c r="A181" s="813" t="str">
        <f>'Part 1'!$L$17</f>
        <v>EZZZZ</v>
      </c>
      <c r="B181">
        <v>2017</v>
      </c>
      <c r="C181">
        <v>29</v>
      </c>
      <c r="D181">
        <v>3</v>
      </c>
      <c r="E181" t="s">
        <v>1192</v>
      </c>
      <c r="F181" s="814">
        <f>'Part 2'!$R$119</f>
        <v>0</v>
      </c>
      <c r="G181" s="334"/>
      <c r="H181" t="s">
        <v>2551</v>
      </c>
      <c r="I181" s="1734" t="s">
        <v>2315</v>
      </c>
    </row>
    <row r="182" spans="1:9" x14ac:dyDescent="0.2">
      <c r="A182" s="813" t="str">
        <f>'Part 1'!$L$17</f>
        <v>EZZZZ</v>
      </c>
      <c r="B182">
        <v>2017</v>
      </c>
      <c r="C182">
        <v>30</v>
      </c>
      <c r="D182">
        <v>1</v>
      </c>
      <c r="E182" t="s">
        <v>1192</v>
      </c>
      <c r="F182" s="814">
        <f>'Part 2'!$J$122</f>
        <v>0</v>
      </c>
      <c r="G182" s="334"/>
      <c r="H182" t="s">
        <v>2552</v>
      </c>
      <c r="I182" s="1734" t="s">
        <v>2315</v>
      </c>
    </row>
    <row r="183" spans="1:9" x14ac:dyDescent="0.2">
      <c r="A183" s="813" t="str">
        <f>'Part 1'!$L$17</f>
        <v>EZZZZ</v>
      </c>
      <c r="B183">
        <v>2017</v>
      </c>
      <c r="C183">
        <v>30</v>
      </c>
      <c r="D183">
        <v>2</v>
      </c>
      <c r="E183" t="s">
        <v>1192</v>
      </c>
      <c r="F183" s="814">
        <f>'Part 2'!$N$122</f>
        <v>0</v>
      </c>
      <c r="G183" s="812"/>
      <c r="H183" t="s">
        <v>2553</v>
      </c>
      <c r="I183" s="1734" t="s">
        <v>2315</v>
      </c>
    </row>
    <row r="184" spans="1:9" x14ac:dyDescent="0.2">
      <c r="A184" s="813" t="str">
        <f>'Part 1'!$L$17</f>
        <v>EZZZZ</v>
      </c>
      <c r="B184">
        <v>2017</v>
      </c>
      <c r="C184">
        <v>30</v>
      </c>
      <c r="D184">
        <v>3</v>
      </c>
      <c r="E184" t="s">
        <v>1192</v>
      </c>
      <c r="F184" s="814">
        <f>'Part 2'!$R$122</f>
        <v>0</v>
      </c>
      <c r="G184" s="334"/>
      <c r="H184" t="s">
        <v>2554</v>
      </c>
      <c r="I184" s="1734" t="s">
        <v>2315</v>
      </c>
    </row>
    <row r="185" spans="1:9" x14ac:dyDescent="0.2">
      <c r="A185" s="813" t="str">
        <f>'Part 1'!$L$17</f>
        <v>EZZZZ</v>
      </c>
      <c r="B185">
        <v>2017</v>
      </c>
      <c r="C185">
        <v>31</v>
      </c>
      <c r="D185">
        <v>1</v>
      </c>
      <c r="E185" t="s">
        <v>1192</v>
      </c>
      <c r="F185" s="814">
        <f>'Part 2'!$J$125</f>
        <v>0</v>
      </c>
      <c r="G185" s="334"/>
      <c r="H185" t="s">
        <v>2555</v>
      </c>
      <c r="I185" s="1734" t="s">
        <v>2315</v>
      </c>
    </row>
    <row r="186" spans="1:9" x14ac:dyDescent="0.2">
      <c r="A186" s="813" t="str">
        <f>'Part 1'!$L$17</f>
        <v>EZZZZ</v>
      </c>
      <c r="B186">
        <v>2017</v>
      </c>
      <c r="C186">
        <v>31</v>
      </c>
      <c r="D186">
        <v>2</v>
      </c>
      <c r="E186" t="s">
        <v>1192</v>
      </c>
      <c r="F186" s="814">
        <f>'Part 2'!$N$125</f>
        <v>0</v>
      </c>
      <c r="G186" s="812"/>
      <c r="H186" t="s">
        <v>2556</v>
      </c>
      <c r="I186" s="1734" t="s">
        <v>2315</v>
      </c>
    </row>
    <row r="187" spans="1:9" x14ac:dyDescent="0.2">
      <c r="A187" s="813" t="str">
        <f>'Part 1'!$L$17</f>
        <v>EZZZZ</v>
      </c>
      <c r="B187">
        <v>2017</v>
      </c>
      <c r="C187">
        <v>31</v>
      </c>
      <c r="D187">
        <v>3</v>
      </c>
      <c r="E187" t="s">
        <v>1192</v>
      </c>
      <c r="F187" s="814">
        <f>'Part 2'!$R$125</f>
        <v>0</v>
      </c>
      <c r="G187" s="334"/>
      <c r="H187" t="s">
        <v>2557</v>
      </c>
      <c r="I187" s="1734" t="s">
        <v>2315</v>
      </c>
    </row>
    <row r="188" spans="1:9" x14ac:dyDescent="0.2">
      <c r="A188" s="813" t="str">
        <f>'Part 1'!$L$17</f>
        <v>EZZZZ</v>
      </c>
      <c r="B188">
        <v>2017</v>
      </c>
      <c r="C188">
        <v>32</v>
      </c>
      <c r="D188">
        <v>1</v>
      </c>
      <c r="E188" t="s">
        <v>1192</v>
      </c>
      <c r="F188" s="814">
        <f>'Part 2'!$J$128</f>
        <v>0</v>
      </c>
      <c r="G188" s="334"/>
      <c r="H188" t="s">
        <v>2558</v>
      </c>
      <c r="I188" s="1734" t="s">
        <v>2315</v>
      </c>
    </row>
    <row r="189" spans="1:9" x14ac:dyDescent="0.2">
      <c r="A189" s="813" t="str">
        <f>'Part 1'!$L$17</f>
        <v>EZZZZ</v>
      </c>
      <c r="B189">
        <v>2017</v>
      </c>
      <c r="C189">
        <v>32</v>
      </c>
      <c r="D189">
        <v>2</v>
      </c>
      <c r="E189" t="s">
        <v>1192</v>
      </c>
      <c r="F189" s="814">
        <f>'Part 2'!$N$128</f>
        <v>0</v>
      </c>
      <c r="G189" s="812"/>
      <c r="H189" t="s">
        <v>2559</v>
      </c>
      <c r="I189" s="1734" t="s">
        <v>2315</v>
      </c>
    </row>
    <row r="190" spans="1:9" x14ac:dyDescent="0.2">
      <c r="A190" s="813" t="str">
        <f>'Part 1'!$L$17</f>
        <v>EZZZZ</v>
      </c>
      <c r="B190">
        <v>2017</v>
      </c>
      <c r="C190">
        <v>32</v>
      </c>
      <c r="D190">
        <v>3</v>
      </c>
      <c r="E190" t="s">
        <v>1192</v>
      </c>
      <c r="F190" s="814">
        <f>'Part 2'!$R$128</f>
        <v>0</v>
      </c>
      <c r="G190" s="334"/>
      <c r="H190" t="s">
        <v>2560</v>
      </c>
      <c r="I190" s="1734" t="s">
        <v>2315</v>
      </c>
    </row>
    <row r="191" spans="1:9" x14ac:dyDescent="0.2">
      <c r="A191" s="813" t="str">
        <f>'Part 1'!$L$17</f>
        <v>EZZZZ</v>
      </c>
      <c r="B191">
        <v>2017</v>
      </c>
      <c r="C191">
        <v>33</v>
      </c>
      <c r="D191">
        <v>2</v>
      </c>
      <c r="E191" t="s">
        <v>1192</v>
      </c>
      <c r="F191" s="814">
        <f>'Part 2'!$N$131</f>
        <v>0</v>
      </c>
      <c r="G191" s="334"/>
      <c r="H191" t="s">
        <v>2561</v>
      </c>
      <c r="I191" s="1734" t="s">
        <v>2315</v>
      </c>
    </row>
    <row r="192" spans="1:9" x14ac:dyDescent="0.2">
      <c r="A192" s="813" t="str">
        <f>'Part 1'!$L$17</f>
        <v>EZZZZ</v>
      </c>
      <c r="B192">
        <v>2017</v>
      </c>
      <c r="C192">
        <v>34</v>
      </c>
      <c r="D192">
        <v>1</v>
      </c>
      <c r="E192" t="s">
        <v>1192</v>
      </c>
      <c r="F192" s="814">
        <f>'Part 2'!$J$132</f>
        <v>0</v>
      </c>
      <c r="G192" s="334"/>
      <c r="H192" t="s">
        <v>2562</v>
      </c>
      <c r="I192" s="1734" t="s">
        <v>2315</v>
      </c>
    </row>
    <row r="193" spans="1:9" x14ac:dyDescent="0.2">
      <c r="A193" s="813" t="str">
        <f>'Part 1'!$L$17</f>
        <v>EZZZZ</v>
      </c>
      <c r="B193">
        <v>2017</v>
      </c>
      <c r="C193">
        <v>35</v>
      </c>
      <c r="D193">
        <v>1</v>
      </c>
      <c r="E193" t="s">
        <v>1192</v>
      </c>
      <c r="F193" s="814">
        <f>'Part 2'!$J$138</f>
        <v>0</v>
      </c>
      <c r="G193" s="812"/>
      <c r="H193" t="s">
        <v>2563</v>
      </c>
      <c r="I193" s="1734" t="s">
        <v>2315</v>
      </c>
    </row>
    <row r="194" spans="1:9" x14ac:dyDescent="0.2">
      <c r="A194" s="813" t="str">
        <f>'Part 1'!$L$17</f>
        <v>EZZZZ</v>
      </c>
      <c r="B194">
        <v>2017</v>
      </c>
      <c r="C194">
        <v>35</v>
      </c>
      <c r="D194">
        <v>2</v>
      </c>
      <c r="E194" t="s">
        <v>1192</v>
      </c>
      <c r="F194" s="814">
        <f>'Part 2'!$N$138</f>
        <v>0</v>
      </c>
      <c r="G194" s="812"/>
      <c r="H194" t="s">
        <v>2564</v>
      </c>
      <c r="I194" s="1734" t="s">
        <v>2315</v>
      </c>
    </row>
    <row r="195" spans="1:9" x14ac:dyDescent="0.2">
      <c r="A195" s="813" t="str">
        <f>'Part 1'!$L$17</f>
        <v>EZZZZ</v>
      </c>
      <c r="B195">
        <v>2017</v>
      </c>
      <c r="C195">
        <v>36</v>
      </c>
      <c r="D195">
        <v>1</v>
      </c>
      <c r="E195" t="s">
        <v>1192</v>
      </c>
      <c r="F195" s="814">
        <f>'Part 2'!$J$141</f>
        <v>0</v>
      </c>
      <c r="G195" s="812"/>
      <c r="H195" t="s">
        <v>2565</v>
      </c>
      <c r="I195" s="1734" t="s">
        <v>2315</v>
      </c>
    </row>
    <row r="196" spans="1:9" x14ac:dyDescent="0.2">
      <c r="A196" s="813" t="str">
        <f>'Part 1'!$L$17</f>
        <v>EZZZZ</v>
      </c>
      <c r="B196">
        <v>2017</v>
      </c>
      <c r="C196">
        <v>36</v>
      </c>
      <c r="D196">
        <v>2</v>
      </c>
      <c r="E196" t="s">
        <v>1192</v>
      </c>
      <c r="F196" s="814">
        <f>'Part 2'!$N$141</f>
        <v>0</v>
      </c>
      <c r="G196" s="812"/>
      <c r="H196" t="s">
        <v>2566</v>
      </c>
      <c r="I196" s="1734" t="s">
        <v>2315</v>
      </c>
    </row>
    <row r="197" spans="1:9" x14ac:dyDescent="0.2">
      <c r="A197" s="813" t="str">
        <f>'Part 1'!$L$17</f>
        <v>EZZZZ</v>
      </c>
      <c r="B197">
        <v>2017</v>
      </c>
      <c r="C197">
        <v>37</v>
      </c>
      <c r="D197">
        <v>1</v>
      </c>
      <c r="E197" t="s">
        <v>1192</v>
      </c>
      <c r="F197" s="814">
        <f>'Part 2'!$J$145</f>
        <v>0</v>
      </c>
      <c r="G197" s="812"/>
      <c r="H197" t="s">
        <v>2567</v>
      </c>
      <c r="I197" s="1734" t="s">
        <v>2315</v>
      </c>
    </row>
    <row r="198" spans="1:9" x14ac:dyDescent="0.2">
      <c r="A198" s="813" t="str">
        <f>'Part 1'!$L$17</f>
        <v>EZZZZ</v>
      </c>
      <c r="B198">
        <v>2017</v>
      </c>
      <c r="C198">
        <v>37</v>
      </c>
      <c r="D198">
        <v>2</v>
      </c>
      <c r="E198" t="s">
        <v>1192</v>
      </c>
      <c r="F198" s="814">
        <f>'Part 2'!$N$145</f>
        <v>0</v>
      </c>
      <c r="G198" s="812"/>
      <c r="H198" t="s">
        <v>2568</v>
      </c>
      <c r="I198" s="1734" t="s">
        <v>2315</v>
      </c>
    </row>
    <row r="199" spans="1:9" x14ac:dyDescent="0.2">
      <c r="A199" s="813" t="str">
        <f>'Part 1'!$L$17</f>
        <v>EZZZZ</v>
      </c>
      <c r="B199">
        <v>2017</v>
      </c>
      <c r="C199">
        <v>37</v>
      </c>
      <c r="D199">
        <v>3</v>
      </c>
      <c r="E199" t="s">
        <v>1192</v>
      </c>
      <c r="F199" s="814">
        <f>'Part 2'!$R$145</f>
        <v>0</v>
      </c>
      <c r="G199" s="812"/>
      <c r="H199" t="s">
        <v>2569</v>
      </c>
      <c r="I199" s="1734" t="s">
        <v>2315</v>
      </c>
    </row>
    <row r="200" spans="1:9" x14ac:dyDescent="0.2">
      <c r="A200" s="813" t="str">
        <f>'Part 1'!$L$17</f>
        <v>EZZZZ</v>
      </c>
      <c r="B200">
        <v>2017</v>
      </c>
      <c r="C200">
        <v>38</v>
      </c>
      <c r="D200">
        <v>1</v>
      </c>
      <c r="E200" t="s">
        <v>1192</v>
      </c>
      <c r="F200" s="814">
        <f>'Part 2'!$J$153</f>
        <v>0</v>
      </c>
      <c r="G200" s="812"/>
      <c r="H200" t="s">
        <v>2570</v>
      </c>
      <c r="I200" s="1734" t="s">
        <v>2315</v>
      </c>
    </row>
    <row r="201" spans="1:9" x14ac:dyDescent="0.2">
      <c r="A201" s="813" t="str">
        <f>'Part 1'!$L$17</f>
        <v>EZZZZ</v>
      </c>
      <c r="B201">
        <v>2017</v>
      </c>
      <c r="C201">
        <v>38</v>
      </c>
      <c r="D201">
        <v>2</v>
      </c>
      <c r="E201" t="s">
        <v>1192</v>
      </c>
      <c r="F201" s="814">
        <f>'Part 2'!$N$153</f>
        <v>0</v>
      </c>
      <c r="G201" s="812"/>
      <c r="H201" t="s">
        <v>2571</v>
      </c>
      <c r="I201" s="1734" t="s">
        <v>2315</v>
      </c>
    </row>
    <row r="202" spans="1:9" x14ac:dyDescent="0.2">
      <c r="A202" s="813" t="str">
        <f>'Part 1'!$L$17</f>
        <v>EZZZZ</v>
      </c>
      <c r="B202">
        <v>2017</v>
      </c>
      <c r="C202">
        <v>38</v>
      </c>
      <c r="D202">
        <v>3</v>
      </c>
      <c r="E202" t="s">
        <v>1192</v>
      </c>
      <c r="F202" s="814">
        <f>'Part 2'!$R$153</f>
        <v>0</v>
      </c>
      <c r="G202" s="334"/>
      <c r="H202" t="s">
        <v>2572</v>
      </c>
      <c r="I202" s="1734" t="s">
        <v>2315</v>
      </c>
    </row>
    <row r="203" spans="1:9" x14ac:dyDescent="0.2">
      <c r="A203" s="813" t="str">
        <f>'Part 1'!$L$17</f>
        <v>EZZZZ</v>
      </c>
      <c r="B203">
        <v>2017</v>
      </c>
      <c r="C203">
        <v>39</v>
      </c>
      <c r="D203">
        <v>1</v>
      </c>
      <c r="E203" t="s">
        <v>1192</v>
      </c>
      <c r="F203" s="814">
        <f>'Part 2'!$J$156</f>
        <v>0</v>
      </c>
      <c r="G203" s="812"/>
      <c r="H203" t="s">
        <v>2573</v>
      </c>
      <c r="I203" s="1734" t="s">
        <v>2315</v>
      </c>
    </row>
    <row r="204" spans="1:9" x14ac:dyDescent="0.2">
      <c r="A204" s="813" t="str">
        <f>'Part 1'!$L$17</f>
        <v>EZZZZ</v>
      </c>
      <c r="B204">
        <v>2017</v>
      </c>
      <c r="C204">
        <v>39</v>
      </c>
      <c r="D204">
        <v>2</v>
      </c>
      <c r="E204" t="s">
        <v>1192</v>
      </c>
      <c r="F204" s="814">
        <f>'Part 2'!$N$156</f>
        <v>0</v>
      </c>
      <c r="G204" s="812"/>
      <c r="H204" t="s">
        <v>2574</v>
      </c>
      <c r="I204" s="1734" t="s">
        <v>2315</v>
      </c>
    </row>
    <row r="205" spans="1:9" x14ac:dyDescent="0.2">
      <c r="A205" s="813" t="str">
        <f>'Part 1'!$L$17</f>
        <v>EZZZZ</v>
      </c>
      <c r="B205">
        <v>2017</v>
      </c>
      <c r="C205">
        <v>39</v>
      </c>
      <c r="D205">
        <v>3</v>
      </c>
      <c r="E205" t="s">
        <v>1192</v>
      </c>
      <c r="F205" s="814">
        <f>'Part 2'!$R$156</f>
        <v>0</v>
      </c>
      <c r="G205" s="334"/>
      <c r="H205" t="s">
        <v>2575</v>
      </c>
      <c r="I205" s="1734" t="s">
        <v>2315</v>
      </c>
    </row>
    <row r="206" spans="1:9" x14ac:dyDescent="0.2">
      <c r="A206" s="813" t="str">
        <f>'Part 1'!$L$17</f>
        <v>EZZZZ</v>
      </c>
      <c r="B206">
        <v>2017</v>
      </c>
      <c r="C206">
        <v>39</v>
      </c>
      <c r="D206">
        <v>1</v>
      </c>
      <c r="E206" t="s">
        <v>1192</v>
      </c>
      <c r="F206" s="814">
        <f>'Part 2'!$J$159</f>
        <v>0</v>
      </c>
      <c r="G206" s="812"/>
      <c r="H206" t="s">
        <v>2576</v>
      </c>
      <c r="I206" s="1734" t="s">
        <v>2315</v>
      </c>
    </row>
    <row r="207" spans="1:9" x14ac:dyDescent="0.2">
      <c r="A207" s="813" t="str">
        <f>'Part 1'!$L$17</f>
        <v>EZZZZ</v>
      </c>
      <c r="B207">
        <v>2017</v>
      </c>
      <c r="C207">
        <v>39</v>
      </c>
      <c r="D207">
        <v>2</v>
      </c>
      <c r="E207" t="s">
        <v>1192</v>
      </c>
      <c r="F207" s="814">
        <f>'Part 2'!$N$159</f>
        <v>0</v>
      </c>
      <c r="G207" s="812"/>
      <c r="H207" s="812" t="s">
        <v>2577</v>
      </c>
      <c r="I207" s="1734" t="s">
        <v>2315</v>
      </c>
    </row>
    <row r="208" spans="1:9" x14ac:dyDescent="0.2">
      <c r="A208" s="813" t="str">
        <f>'Part 1'!$L$17</f>
        <v>EZZZZ</v>
      </c>
      <c r="B208">
        <v>2017</v>
      </c>
      <c r="C208">
        <v>39</v>
      </c>
      <c r="D208">
        <v>3</v>
      </c>
      <c r="E208" t="s">
        <v>1192</v>
      </c>
      <c r="F208" s="814">
        <f>'Part 2'!$R$159</f>
        <v>0</v>
      </c>
      <c r="G208" s="812"/>
      <c r="H208" s="812" t="s">
        <v>2578</v>
      </c>
      <c r="I208" s="1734" t="s">
        <v>2315</v>
      </c>
    </row>
    <row r="209" spans="1:22" x14ac:dyDescent="0.2">
      <c r="A209" s="813" t="str">
        <f>'Part 1'!$L$17</f>
        <v>EZZZZ</v>
      </c>
      <c r="B209">
        <v>2017</v>
      </c>
      <c r="C209">
        <v>40</v>
      </c>
      <c r="D209">
        <v>1</v>
      </c>
      <c r="E209" t="s">
        <v>1192</v>
      </c>
      <c r="F209" s="814">
        <f>'Part 2'!$J$162</f>
        <v>0</v>
      </c>
      <c r="G209" s="812"/>
      <c r="H209" s="812" t="s">
        <v>2579</v>
      </c>
      <c r="I209" s="1734" t="s">
        <v>2315</v>
      </c>
    </row>
    <row r="210" spans="1:22" x14ac:dyDescent="0.2">
      <c r="A210" s="813" t="str">
        <f>'Part 1'!$L$17</f>
        <v>EZZZZ</v>
      </c>
      <c r="B210">
        <v>2017</v>
      </c>
      <c r="C210">
        <v>40</v>
      </c>
      <c r="D210">
        <v>2</v>
      </c>
      <c r="E210" t="s">
        <v>1192</v>
      </c>
      <c r="F210" s="814">
        <f>'Part 2'!$N$162</f>
        <v>0</v>
      </c>
      <c r="G210" s="812"/>
      <c r="H210" s="812" t="s">
        <v>2580</v>
      </c>
      <c r="I210" s="1734" t="s">
        <v>2315</v>
      </c>
    </row>
    <row r="211" spans="1:22" x14ac:dyDescent="0.2">
      <c r="A211" s="813" t="str">
        <f>'Part 1'!$L$17</f>
        <v>EZZZZ</v>
      </c>
      <c r="B211">
        <v>2017</v>
      </c>
      <c r="C211">
        <v>40</v>
      </c>
      <c r="D211">
        <v>3</v>
      </c>
      <c r="E211" t="s">
        <v>1192</v>
      </c>
      <c r="F211" s="814">
        <f>'Part 2'!$R$162</f>
        <v>0</v>
      </c>
      <c r="G211" s="812"/>
      <c r="H211" s="812" t="s">
        <v>2581</v>
      </c>
      <c r="I211" s="1734" t="s">
        <v>2315</v>
      </c>
    </row>
    <row r="212" spans="1:22" x14ac:dyDescent="0.2">
      <c r="A212" s="813" t="str">
        <f>'Part 1'!$L$17</f>
        <v>EZZZZ</v>
      </c>
      <c r="B212">
        <v>2017</v>
      </c>
      <c r="C212">
        <v>41</v>
      </c>
      <c r="D212">
        <v>1</v>
      </c>
      <c r="E212" t="s">
        <v>1192</v>
      </c>
      <c r="F212" s="814">
        <f>'Part 2'!$J$165</f>
        <v>0</v>
      </c>
      <c r="G212" s="812"/>
      <c r="H212" s="812" t="s">
        <v>2582</v>
      </c>
      <c r="I212" s="1734" t="s">
        <v>2315</v>
      </c>
    </row>
    <row r="213" spans="1:22" x14ac:dyDescent="0.2">
      <c r="A213" s="813" t="str">
        <f>'Part 1'!$L$17</f>
        <v>EZZZZ</v>
      </c>
      <c r="B213">
        <v>2017</v>
      </c>
      <c r="C213">
        <v>41</v>
      </c>
      <c r="D213">
        <v>2</v>
      </c>
      <c r="E213" t="s">
        <v>1192</v>
      </c>
      <c r="F213" s="814">
        <f>'Part 2'!$N$165</f>
        <v>0</v>
      </c>
      <c r="G213" s="812"/>
      <c r="H213" s="812" t="s">
        <v>2583</v>
      </c>
      <c r="I213" s="1734" t="s">
        <v>2315</v>
      </c>
    </row>
    <row r="214" spans="1:22" x14ac:dyDescent="0.2">
      <c r="A214" s="813" t="str">
        <f>'Part 1'!$L$17</f>
        <v>EZZZZ</v>
      </c>
      <c r="B214">
        <v>2017</v>
      </c>
      <c r="C214">
        <v>42</v>
      </c>
      <c r="D214">
        <v>1</v>
      </c>
      <c r="E214" t="s">
        <v>1192</v>
      </c>
      <c r="F214" s="814">
        <f>'Part 2'!$J$169</f>
        <v>0</v>
      </c>
      <c r="G214" s="812"/>
      <c r="H214" s="812" t="s">
        <v>2584</v>
      </c>
      <c r="I214" s="1734" t="s">
        <v>2315</v>
      </c>
    </row>
    <row r="215" spans="1:22" x14ac:dyDescent="0.2">
      <c r="A215" s="813" t="str">
        <f>'Part 1'!$L$17</f>
        <v>EZZZZ</v>
      </c>
      <c r="B215">
        <v>2017</v>
      </c>
      <c r="C215">
        <v>42</v>
      </c>
      <c r="D215">
        <v>2</v>
      </c>
      <c r="E215" t="s">
        <v>1192</v>
      </c>
      <c r="F215" s="814">
        <f>'Part 2'!$N$169</f>
        <v>0</v>
      </c>
      <c r="G215" s="812"/>
      <c r="H215" s="812" t="s">
        <v>2585</v>
      </c>
      <c r="I215" s="1734" t="s">
        <v>2315</v>
      </c>
    </row>
    <row r="216" spans="1:22" x14ac:dyDescent="0.2">
      <c r="A216" s="813" t="str">
        <f>'Part 1'!$L$17</f>
        <v>EZZZZ</v>
      </c>
      <c r="B216">
        <v>2017</v>
      </c>
      <c r="C216">
        <v>43</v>
      </c>
      <c r="D216">
        <v>1</v>
      </c>
      <c r="E216" t="s">
        <v>1192</v>
      </c>
      <c r="F216" s="814">
        <f>'Part 2'!$J$173</f>
        <v>0</v>
      </c>
      <c r="G216" s="812"/>
      <c r="H216" s="812" t="s">
        <v>2586</v>
      </c>
      <c r="I216" s="1734" t="s">
        <v>2315</v>
      </c>
    </row>
    <row r="217" spans="1:22" x14ac:dyDescent="0.2">
      <c r="A217" s="813" t="str">
        <f>'Part 1'!$L$17</f>
        <v>EZZZZ</v>
      </c>
      <c r="B217">
        <v>2017</v>
      </c>
      <c r="C217">
        <v>43</v>
      </c>
      <c r="D217">
        <v>2</v>
      </c>
      <c r="E217" t="s">
        <v>1192</v>
      </c>
      <c r="F217" s="814">
        <f>'Part 2'!$N$173</f>
        <v>0</v>
      </c>
      <c r="G217" s="812"/>
      <c r="H217" s="812" t="s">
        <v>2587</v>
      </c>
      <c r="I217" s="1734" t="s">
        <v>2315</v>
      </c>
    </row>
    <row r="218" spans="1:22" x14ac:dyDescent="0.2">
      <c r="A218" s="813" t="str">
        <f>'Part 1'!$L$17</f>
        <v>EZZZZ</v>
      </c>
      <c r="B218">
        <v>2017</v>
      </c>
      <c r="C218">
        <v>43</v>
      </c>
      <c r="D218">
        <v>3</v>
      </c>
      <c r="E218" t="s">
        <v>1192</v>
      </c>
      <c r="F218" s="814">
        <f>'Part 2'!$R$173</f>
        <v>0</v>
      </c>
      <c r="G218" s="812"/>
      <c r="H218" s="812" t="s">
        <v>2588</v>
      </c>
      <c r="I218" s="1734" t="s">
        <v>2315</v>
      </c>
    </row>
    <row r="219" spans="1:22" x14ac:dyDescent="0.2">
      <c r="A219" s="813" t="str">
        <f>'Part 1'!$L$17</f>
        <v>EZZZZ</v>
      </c>
      <c r="B219">
        <v>2017</v>
      </c>
      <c r="C219">
        <v>44</v>
      </c>
      <c r="D219">
        <v>1</v>
      </c>
      <c r="E219" t="s">
        <v>1192</v>
      </c>
      <c r="F219" s="814">
        <f>'Part 2'!$J$181</f>
        <v>0</v>
      </c>
      <c r="G219" s="812"/>
      <c r="H219" s="812" t="s">
        <v>2589</v>
      </c>
      <c r="I219" s="1734" t="s">
        <v>2315</v>
      </c>
      <c r="V219" s="816"/>
    </row>
    <row r="220" spans="1:22" x14ac:dyDescent="0.2">
      <c r="A220" s="813" t="str">
        <f>'Part 1'!$L$17</f>
        <v>EZZZZ</v>
      </c>
      <c r="B220">
        <v>2017</v>
      </c>
      <c r="C220">
        <v>44</v>
      </c>
      <c r="D220">
        <v>2</v>
      </c>
      <c r="E220" t="s">
        <v>1192</v>
      </c>
      <c r="F220" s="814">
        <f>'Part 2'!$N$181</f>
        <v>0</v>
      </c>
      <c r="G220" s="812"/>
      <c r="H220" s="812" t="s">
        <v>2590</v>
      </c>
      <c r="I220" s="1734" t="s">
        <v>2315</v>
      </c>
    </row>
    <row r="221" spans="1:22" x14ac:dyDescent="0.2">
      <c r="A221" s="813" t="str">
        <f>'Part 1'!$L$17</f>
        <v>EZZZZ</v>
      </c>
      <c r="B221">
        <v>2017</v>
      </c>
      <c r="C221">
        <v>44</v>
      </c>
      <c r="D221">
        <v>3</v>
      </c>
      <c r="E221" t="s">
        <v>1192</v>
      </c>
      <c r="F221" s="814">
        <f>'Part 2'!$R$181</f>
        <v>0</v>
      </c>
      <c r="G221" s="334"/>
      <c r="H221" s="812" t="s">
        <v>2591</v>
      </c>
      <c r="I221" s="1734" t="s">
        <v>2315</v>
      </c>
    </row>
    <row r="222" spans="1:22" x14ac:dyDescent="0.2">
      <c r="A222" s="813" t="str">
        <f>'Part 1'!$L$17</f>
        <v>EZZZZ</v>
      </c>
      <c r="B222">
        <v>2017</v>
      </c>
      <c r="C222">
        <v>1</v>
      </c>
      <c r="D222">
        <v>1</v>
      </c>
      <c r="E222" t="s">
        <v>1193</v>
      </c>
      <c r="F222" s="814">
        <f>'Part 3'!$G$18</f>
        <v>0</v>
      </c>
      <c r="G222" s="815"/>
      <c r="H222" s="812" t="s">
        <v>2592</v>
      </c>
      <c r="I222" s="1734" t="s">
        <v>2315</v>
      </c>
    </row>
    <row r="223" spans="1:22" x14ac:dyDescent="0.2">
      <c r="A223" s="813" t="str">
        <f>'Part 1'!$L$17</f>
        <v>EZZZZ</v>
      </c>
      <c r="B223">
        <v>2017</v>
      </c>
      <c r="C223">
        <v>1</v>
      </c>
      <c r="D223">
        <v>2</v>
      </c>
      <c r="E223" t="s">
        <v>1193</v>
      </c>
      <c r="F223" s="814">
        <f>'Part 3'!$K$18</f>
        <v>0</v>
      </c>
      <c r="G223" s="812"/>
      <c r="H223" s="812" t="s">
        <v>2593</v>
      </c>
      <c r="I223" s="1734" t="s">
        <v>2315</v>
      </c>
    </row>
    <row r="224" spans="1:22" x14ac:dyDescent="0.2">
      <c r="A224" s="813" t="str">
        <f>'Part 1'!$L$17</f>
        <v>EZZZZ</v>
      </c>
      <c r="B224">
        <v>2017</v>
      </c>
      <c r="C224">
        <v>1</v>
      </c>
      <c r="D224">
        <v>3</v>
      </c>
      <c r="E224" t="s">
        <v>1193</v>
      </c>
      <c r="F224" s="814">
        <f>'Part 3'!$O$18</f>
        <v>0</v>
      </c>
      <c r="G224" s="812"/>
      <c r="H224" s="812" t="s">
        <v>2594</v>
      </c>
      <c r="I224" s="1734" t="s">
        <v>2315</v>
      </c>
    </row>
    <row r="225" spans="1:9" x14ac:dyDescent="0.2">
      <c r="A225" s="813" t="str">
        <f>'Part 1'!$L$17</f>
        <v>EZZZZ</v>
      </c>
      <c r="B225">
        <v>2017</v>
      </c>
      <c r="C225">
        <v>2</v>
      </c>
      <c r="D225">
        <v>1</v>
      </c>
      <c r="E225" t="s">
        <v>1193</v>
      </c>
      <c r="F225" s="814">
        <f>'Part 3'!$G$23</f>
        <v>0</v>
      </c>
      <c r="G225" s="812"/>
      <c r="H225" s="812" t="s">
        <v>2595</v>
      </c>
      <c r="I225" s="1734" t="s">
        <v>2315</v>
      </c>
    </row>
    <row r="226" spans="1:9" x14ac:dyDescent="0.2">
      <c r="A226" s="813" t="str">
        <f>'Part 1'!$L$17</f>
        <v>EZZZZ</v>
      </c>
      <c r="B226">
        <v>2017</v>
      </c>
      <c r="C226">
        <v>2</v>
      </c>
      <c r="D226">
        <v>2</v>
      </c>
      <c r="E226" t="s">
        <v>1193</v>
      </c>
      <c r="F226" s="814">
        <f>'Part 3'!$K$23</f>
        <v>0</v>
      </c>
      <c r="G226" s="812"/>
      <c r="H226" t="s">
        <v>2596</v>
      </c>
      <c r="I226" s="1734" t="s">
        <v>2315</v>
      </c>
    </row>
    <row r="227" spans="1:9" x14ac:dyDescent="0.2">
      <c r="A227" s="813" t="str">
        <f>'Part 1'!$L$17</f>
        <v>EZZZZ</v>
      </c>
      <c r="B227">
        <v>2017</v>
      </c>
      <c r="C227">
        <v>2</v>
      </c>
      <c r="D227">
        <v>3</v>
      </c>
      <c r="E227" t="s">
        <v>1193</v>
      </c>
      <c r="F227" s="814">
        <f>'Part 3'!$O$23</f>
        <v>0</v>
      </c>
      <c r="G227" s="812"/>
      <c r="H227" t="s">
        <v>2597</v>
      </c>
      <c r="I227" s="1734" t="s">
        <v>2315</v>
      </c>
    </row>
    <row r="228" spans="1:9" x14ac:dyDescent="0.2">
      <c r="A228" s="813" t="str">
        <f>'Part 1'!$L$17</f>
        <v>EZZZZ</v>
      </c>
      <c r="B228">
        <v>2017</v>
      </c>
      <c r="C228">
        <v>3</v>
      </c>
      <c r="D228">
        <v>1</v>
      </c>
      <c r="E228" t="s">
        <v>1193</v>
      </c>
      <c r="F228" s="814">
        <f>'Part 3'!$G$26</f>
        <v>0</v>
      </c>
      <c r="G228" s="334"/>
      <c r="H228" t="s">
        <v>2598</v>
      </c>
      <c r="I228" s="1734" t="s">
        <v>2315</v>
      </c>
    </row>
    <row r="229" spans="1:9" x14ac:dyDescent="0.2">
      <c r="A229" s="813" t="str">
        <f>'Part 1'!$L$17</f>
        <v>EZZZZ</v>
      </c>
      <c r="B229">
        <v>2017</v>
      </c>
      <c r="C229">
        <v>3</v>
      </c>
      <c r="D229">
        <v>2</v>
      </c>
      <c r="E229" t="s">
        <v>1193</v>
      </c>
      <c r="F229" s="814">
        <f>'Part 3'!$K$26</f>
        <v>0</v>
      </c>
      <c r="G229" s="812"/>
      <c r="H229" t="s">
        <v>2599</v>
      </c>
      <c r="I229" s="1734" t="s">
        <v>2315</v>
      </c>
    </row>
    <row r="230" spans="1:9" x14ac:dyDescent="0.2">
      <c r="A230" s="813" t="str">
        <f>'Part 1'!$L$17</f>
        <v>EZZZZ</v>
      </c>
      <c r="B230">
        <v>2017</v>
      </c>
      <c r="C230">
        <v>3</v>
      </c>
      <c r="D230">
        <v>3</v>
      </c>
      <c r="E230" t="s">
        <v>1193</v>
      </c>
      <c r="F230" s="814">
        <f>'Part 3'!$O$26</f>
        <v>0</v>
      </c>
      <c r="G230" s="812"/>
      <c r="H230" t="s">
        <v>2600</v>
      </c>
      <c r="I230" s="1734" t="s">
        <v>2315</v>
      </c>
    </row>
    <row r="231" spans="1:9" x14ac:dyDescent="0.2">
      <c r="A231" s="813" t="str">
        <f>'Part 1'!$L$17</f>
        <v>EZZZZ</v>
      </c>
      <c r="B231">
        <v>2017</v>
      </c>
      <c r="C231">
        <v>4</v>
      </c>
      <c r="D231">
        <v>1</v>
      </c>
      <c r="E231" t="s">
        <v>1193</v>
      </c>
      <c r="F231" s="814">
        <f>'Part 3'!$G$31</f>
        <v>0</v>
      </c>
      <c r="G231" s="812"/>
      <c r="H231" t="s">
        <v>2601</v>
      </c>
      <c r="I231" s="1734" t="s">
        <v>2315</v>
      </c>
    </row>
    <row r="232" spans="1:9" x14ac:dyDescent="0.2">
      <c r="A232" s="813" t="str">
        <f>'Part 1'!$L$17</f>
        <v>EZZZZ</v>
      </c>
      <c r="B232">
        <v>2017</v>
      </c>
      <c r="C232">
        <v>4</v>
      </c>
      <c r="D232">
        <v>2</v>
      </c>
      <c r="E232" t="s">
        <v>1193</v>
      </c>
      <c r="F232" s="814">
        <f>'Part 3'!$K$31</f>
        <v>0</v>
      </c>
      <c r="G232" s="812"/>
      <c r="H232" t="s">
        <v>2602</v>
      </c>
      <c r="I232" s="1734" t="s">
        <v>2315</v>
      </c>
    </row>
    <row r="233" spans="1:9" x14ac:dyDescent="0.2">
      <c r="A233" s="813" t="str">
        <f>'Part 1'!$L$17</f>
        <v>EZZZZ</v>
      </c>
      <c r="B233">
        <v>2017</v>
      </c>
      <c r="C233">
        <v>4</v>
      </c>
      <c r="D233">
        <v>3</v>
      </c>
      <c r="E233" t="s">
        <v>1193</v>
      </c>
      <c r="F233" s="814">
        <f>'Part 3'!$O$31</f>
        <v>0</v>
      </c>
      <c r="G233" s="812"/>
      <c r="H233" t="s">
        <v>2603</v>
      </c>
      <c r="I233" s="1734" t="s">
        <v>2315</v>
      </c>
    </row>
    <row r="234" spans="1:9" x14ac:dyDescent="0.2">
      <c r="A234" s="813" t="str">
        <f>'Part 1'!$L$17</f>
        <v>EZZZZ</v>
      </c>
      <c r="B234">
        <v>2017</v>
      </c>
      <c r="C234">
        <v>5</v>
      </c>
      <c r="D234">
        <v>1</v>
      </c>
      <c r="E234" t="s">
        <v>1193</v>
      </c>
      <c r="F234" s="814">
        <f>'Part 3'!$G$36</f>
        <v>0</v>
      </c>
      <c r="G234" s="812"/>
      <c r="H234" t="s">
        <v>2604</v>
      </c>
      <c r="I234" s="1734" t="s">
        <v>2315</v>
      </c>
    </row>
    <row r="235" spans="1:9" x14ac:dyDescent="0.2">
      <c r="A235" s="813" t="str">
        <f>'Part 1'!$L$17</f>
        <v>EZZZZ</v>
      </c>
      <c r="B235">
        <v>2017</v>
      </c>
      <c r="C235">
        <v>5</v>
      </c>
      <c r="D235">
        <v>2</v>
      </c>
      <c r="E235" t="s">
        <v>1193</v>
      </c>
      <c r="F235" s="814">
        <f>'Part 3'!$K$36</f>
        <v>0</v>
      </c>
      <c r="G235" s="812"/>
      <c r="H235" t="s">
        <v>2605</v>
      </c>
      <c r="I235" s="1734" t="s">
        <v>2315</v>
      </c>
    </row>
    <row r="236" spans="1:9" x14ac:dyDescent="0.2">
      <c r="A236" s="813" t="str">
        <f>'Part 1'!$L$17</f>
        <v>EZZZZ</v>
      </c>
      <c r="B236">
        <v>2017</v>
      </c>
      <c r="C236">
        <v>5</v>
      </c>
      <c r="D236">
        <v>3</v>
      </c>
      <c r="E236" t="s">
        <v>1193</v>
      </c>
      <c r="F236" s="814">
        <f>'Part 3'!$O$36</f>
        <v>0</v>
      </c>
      <c r="G236" s="812"/>
      <c r="H236" t="s">
        <v>2606</v>
      </c>
      <c r="I236" s="1734" t="s">
        <v>2315</v>
      </c>
    </row>
    <row r="237" spans="1:9" x14ac:dyDescent="0.2">
      <c r="A237" s="813" t="str">
        <f>'Part 1'!$L$17</f>
        <v>EZZZZ</v>
      </c>
      <c r="B237">
        <v>2017</v>
      </c>
      <c r="C237">
        <v>6</v>
      </c>
      <c r="D237">
        <v>2</v>
      </c>
      <c r="E237" t="s">
        <v>1193</v>
      </c>
      <c r="F237" s="814">
        <f>'Part 3'!$K$38</f>
        <v>0</v>
      </c>
      <c r="G237" s="812"/>
      <c r="H237" t="s">
        <v>2607</v>
      </c>
      <c r="I237" s="1734" t="s">
        <v>2315</v>
      </c>
    </row>
    <row r="238" spans="1:9" x14ac:dyDescent="0.2">
      <c r="A238" s="813" t="str">
        <f>'Part 1'!$L$17</f>
        <v>EZZZZ</v>
      </c>
      <c r="B238">
        <v>2017</v>
      </c>
      <c r="C238">
        <v>7</v>
      </c>
      <c r="D238">
        <v>2</v>
      </c>
      <c r="E238" t="s">
        <v>1193</v>
      </c>
      <c r="F238" s="814">
        <f>'Part 3'!$K$40</f>
        <v>0</v>
      </c>
      <c r="G238" s="812"/>
      <c r="H238" t="s">
        <v>2608</v>
      </c>
      <c r="I238" s="1734" t="s">
        <v>2315</v>
      </c>
    </row>
    <row r="239" spans="1:9" x14ac:dyDescent="0.2">
      <c r="A239" s="813" t="str">
        <f>'Part 1'!$L$17</f>
        <v>EZZZZ</v>
      </c>
      <c r="B239">
        <v>2017</v>
      </c>
      <c r="C239">
        <v>8</v>
      </c>
      <c r="D239">
        <v>2</v>
      </c>
      <c r="E239" t="s">
        <v>1193</v>
      </c>
      <c r="F239" s="814">
        <f>'Part 3'!$K$44</f>
        <v>0</v>
      </c>
      <c r="G239" s="812"/>
      <c r="H239" t="s">
        <v>2609</v>
      </c>
      <c r="I239" s="1734" t="s">
        <v>2315</v>
      </c>
    </row>
    <row r="240" spans="1:9" x14ac:dyDescent="0.2">
      <c r="A240" s="813" t="str">
        <f>'Part 1'!$L$17</f>
        <v>EZZZZ</v>
      </c>
      <c r="B240">
        <v>2017</v>
      </c>
      <c r="C240">
        <v>8</v>
      </c>
      <c r="D240">
        <v>4</v>
      </c>
      <c r="E240" t="s">
        <v>1193</v>
      </c>
      <c r="F240" s="814">
        <f>'Part 3'!$O$44</f>
        <v>0</v>
      </c>
      <c r="G240" s="812"/>
      <c r="H240" t="s">
        <v>2610</v>
      </c>
      <c r="I240" s="1734" t="s">
        <v>2315</v>
      </c>
    </row>
    <row r="241" spans="1:9" x14ac:dyDescent="0.2">
      <c r="A241" s="813" t="str">
        <f>'Part 1'!$L$17</f>
        <v>EZZZZ</v>
      </c>
      <c r="B241">
        <v>2017</v>
      </c>
      <c r="C241">
        <v>9</v>
      </c>
      <c r="D241">
        <v>1</v>
      </c>
      <c r="E241" t="s">
        <v>1193</v>
      </c>
      <c r="F241" s="814">
        <f>'Part 3'!$G$49</f>
        <v>0</v>
      </c>
      <c r="G241" s="812"/>
      <c r="H241" t="s">
        <v>2611</v>
      </c>
      <c r="I241" s="1734" t="s">
        <v>2315</v>
      </c>
    </row>
    <row r="242" spans="1:9" x14ac:dyDescent="0.2">
      <c r="A242" s="813" t="str">
        <f>'Part 1'!$L$17</f>
        <v>EZZZZ</v>
      </c>
      <c r="B242">
        <v>2017</v>
      </c>
      <c r="C242">
        <v>9</v>
      </c>
      <c r="D242">
        <v>2</v>
      </c>
      <c r="E242" t="s">
        <v>1193</v>
      </c>
      <c r="F242" s="814">
        <f>'Part 3'!$K$49</f>
        <v>0</v>
      </c>
      <c r="G242" s="812"/>
      <c r="H242" t="s">
        <v>2612</v>
      </c>
      <c r="I242" s="1734" t="s">
        <v>2315</v>
      </c>
    </row>
    <row r="243" spans="1:9" x14ac:dyDescent="0.2">
      <c r="A243" s="813" t="str">
        <f>'Part 1'!$L$17</f>
        <v>EZZZZ</v>
      </c>
      <c r="B243">
        <v>2017</v>
      </c>
      <c r="C243">
        <v>9</v>
      </c>
      <c r="D243">
        <v>3</v>
      </c>
      <c r="E243" t="s">
        <v>1193</v>
      </c>
      <c r="F243" s="814">
        <f>'Part 3'!$O$49</f>
        <v>0</v>
      </c>
      <c r="G243" s="812"/>
      <c r="H243" t="s">
        <v>2613</v>
      </c>
      <c r="I243" s="1734" t="s">
        <v>2315</v>
      </c>
    </row>
    <row r="244" spans="1:9" x14ac:dyDescent="0.2">
      <c r="A244" s="813" t="str">
        <f>'Part 1'!$L$17</f>
        <v>EZZZZ</v>
      </c>
      <c r="B244">
        <v>2017</v>
      </c>
      <c r="C244">
        <v>10</v>
      </c>
      <c r="D244">
        <v>1</v>
      </c>
      <c r="E244" t="s">
        <v>1193</v>
      </c>
      <c r="F244" s="814">
        <f>'Part 3'!$G$54</f>
        <v>0</v>
      </c>
      <c r="G244" s="812"/>
      <c r="H244" t="s">
        <v>2614</v>
      </c>
      <c r="I244" s="1734" t="s">
        <v>2315</v>
      </c>
    </row>
    <row r="245" spans="1:9" x14ac:dyDescent="0.2">
      <c r="A245" s="813" t="str">
        <f>'Part 1'!$L$17</f>
        <v>EZZZZ</v>
      </c>
      <c r="B245">
        <v>2017</v>
      </c>
      <c r="C245">
        <v>10</v>
      </c>
      <c r="D245">
        <v>2</v>
      </c>
      <c r="E245" t="s">
        <v>1193</v>
      </c>
      <c r="F245" s="814">
        <f>'Part 3'!$K$54</f>
        <v>0</v>
      </c>
      <c r="G245" s="812"/>
      <c r="H245" t="s">
        <v>2615</v>
      </c>
      <c r="I245" s="1734" t="s">
        <v>2315</v>
      </c>
    </row>
    <row r="246" spans="1:9" x14ac:dyDescent="0.2">
      <c r="A246" s="813" t="str">
        <f>'Part 1'!$L$17</f>
        <v>EZZZZ</v>
      </c>
      <c r="B246">
        <v>2017</v>
      </c>
      <c r="C246">
        <v>10</v>
      </c>
      <c r="D246">
        <v>3</v>
      </c>
      <c r="E246" t="s">
        <v>1193</v>
      </c>
      <c r="F246" s="814">
        <f>'Part 3'!$O$54</f>
        <v>0</v>
      </c>
      <c r="G246" s="812"/>
      <c r="H246" t="s">
        <v>2616</v>
      </c>
      <c r="I246" s="1734" t="s">
        <v>2315</v>
      </c>
    </row>
    <row r="247" spans="1:9" x14ac:dyDescent="0.2">
      <c r="A247" s="813" t="s">
        <v>843</v>
      </c>
      <c r="B247">
        <v>2017</v>
      </c>
      <c r="C247">
        <v>11</v>
      </c>
      <c r="D247">
        <v>1</v>
      </c>
      <c r="E247" t="s">
        <v>1193</v>
      </c>
      <c r="F247" s="814">
        <f>'Part 3'!$G$57</f>
        <v>0</v>
      </c>
      <c r="G247" s="812"/>
      <c r="H247" t="s">
        <v>2617</v>
      </c>
      <c r="I247" s="1734" t="s">
        <v>2315</v>
      </c>
    </row>
    <row r="248" spans="1:9" x14ac:dyDescent="0.2">
      <c r="A248" s="813" t="s">
        <v>843</v>
      </c>
      <c r="B248">
        <v>2017</v>
      </c>
      <c r="C248">
        <v>11</v>
      </c>
      <c r="D248">
        <v>3</v>
      </c>
      <c r="E248" t="s">
        <v>1193</v>
      </c>
      <c r="F248" s="814">
        <f>'Part 3'!$O$57</f>
        <v>0</v>
      </c>
      <c r="G248" s="812"/>
      <c r="H248" t="s">
        <v>2618</v>
      </c>
      <c r="I248" s="1734" t="s">
        <v>2315</v>
      </c>
    </row>
    <row r="249" spans="1:9" x14ac:dyDescent="0.2">
      <c r="A249" s="813" t="s">
        <v>843</v>
      </c>
      <c r="B249">
        <v>2017</v>
      </c>
      <c r="C249">
        <v>12</v>
      </c>
      <c r="D249">
        <v>1</v>
      </c>
      <c r="E249" t="s">
        <v>1193</v>
      </c>
      <c r="F249" s="814">
        <f>'Part 3'!$G$60</f>
        <v>0</v>
      </c>
      <c r="G249" s="812"/>
      <c r="H249" t="s">
        <v>2619</v>
      </c>
      <c r="I249" s="1734" t="s">
        <v>2315</v>
      </c>
    </row>
    <row r="250" spans="1:9" x14ac:dyDescent="0.2">
      <c r="A250" s="813" t="s">
        <v>843</v>
      </c>
      <c r="B250">
        <v>2017</v>
      </c>
      <c r="C250">
        <v>12</v>
      </c>
      <c r="D250">
        <v>3</v>
      </c>
      <c r="E250" t="s">
        <v>1193</v>
      </c>
      <c r="F250" s="814">
        <f>'Part 3'!$O$60</f>
        <v>0</v>
      </c>
      <c r="G250" s="812"/>
      <c r="H250" t="s">
        <v>2620</v>
      </c>
      <c r="I250" s="1734" t="s">
        <v>2315</v>
      </c>
    </row>
    <row r="251" spans="1:9" x14ac:dyDescent="0.2">
      <c r="A251" s="813" t="s">
        <v>843</v>
      </c>
      <c r="B251">
        <v>2017</v>
      </c>
      <c r="C251">
        <v>13</v>
      </c>
      <c r="D251">
        <v>1</v>
      </c>
      <c r="E251" t="s">
        <v>1193</v>
      </c>
      <c r="F251" s="814">
        <f>'Part 3'!$G$62</f>
        <v>0</v>
      </c>
      <c r="G251" s="812"/>
      <c r="H251" t="s">
        <v>2621</v>
      </c>
      <c r="I251" s="1734" t="s">
        <v>2315</v>
      </c>
    </row>
    <row r="252" spans="1:9" x14ac:dyDescent="0.2">
      <c r="A252" s="813" t="s">
        <v>843</v>
      </c>
      <c r="B252">
        <v>2017</v>
      </c>
      <c r="C252">
        <v>13</v>
      </c>
      <c r="D252">
        <v>3</v>
      </c>
      <c r="E252" t="s">
        <v>1193</v>
      </c>
      <c r="F252" s="814">
        <f>'Part 3'!$O$62</f>
        <v>0</v>
      </c>
      <c r="G252" s="812"/>
      <c r="H252" t="s">
        <v>2622</v>
      </c>
      <c r="I252" s="1734" t="s">
        <v>2315</v>
      </c>
    </row>
    <row r="253" spans="1:9" x14ac:dyDescent="0.2">
      <c r="A253" s="813" t="s">
        <v>843</v>
      </c>
      <c r="B253">
        <v>2017</v>
      </c>
      <c r="C253">
        <v>14</v>
      </c>
      <c r="D253">
        <v>1</v>
      </c>
      <c r="E253" t="s">
        <v>1193</v>
      </c>
      <c r="F253" s="814">
        <f>'Part 3'!$G$66</f>
        <v>0</v>
      </c>
      <c r="G253" s="812"/>
      <c r="H253" t="s">
        <v>2623</v>
      </c>
      <c r="I253" s="1734" t="s">
        <v>2315</v>
      </c>
    </row>
    <row r="254" spans="1:9" x14ac:dyDescent="0.2">
      <c r="A254" s="813" t="s">
        <v>843</v>
      </c>
      <c r="B254">
        <v>2017</v>
      </c>
      <c r="C254">
        <v>14</v>
      </c>
      <c r="D254">
        <v>3</v>
      </c>
      <c r="E254" t="s">
        <v>1193</v>
      </c>
      <c r="F254" s="814">
        <f>'Part 3'!$O$66</f>
        <v>0</v>
      </c>
      <c r="G254" s="812"/>
      <c r="H254" t="s">
        <v>2624</v>
      </c>
      <c r="I254" s="1734" t="s">
        <v>2315</v>
      </c>
    </row>
    <row r="255" spans="1:9" x14ac:dyDescent="0.2">
      <c r="A255" s="813" t="str">
        <f>'Part 1'!$L$17</f>
        <v>EZZZZ</v>
      </c>
      <c r="B255">
        <v>2017</v>
      </c>
      <c r="C255">
        <v>15</v>
      </c>
      <c r="D255">
        <v>1</v>
      </c>
      <c r="E255" t="s">
        <v>1193</v>
      </c>
      <c r="F255" s="814">
        <f>'Part 3'!$G$70</f>
        <v>0</v>
      </c>
      <c r="G255" s="812"/>
      <c r="H255" t="s">
        <v>2625</v>
      </c>
      <c r="I255" s="1734" t="s">
        <v>2315</v>
      </c>
    </row>
    <row r="256" spans="1:9" x14ac:dyDescent="0.2">
      <c r="A256" s="813" t="str">
        <f>'Part 1'!$L$17</f>
        <v>EZZZZ</v>
      </c>
      <c r="B256">
        <v>2017</v>
      </c>
      <c r="C256">
        <v>15</v>
      </c>
      <c r="D256">
        <v>2</v>
      </c>
      <c r="E256" t="s">
        <v>1193</v>
      </c>
      <c r="F256" s="814">
        <f>'Part 3'!$K$70</f>
        <v>0</v>
      </c>
      <c r="G256" s="812"/>
      <c r="H256" t="s">
        <v>2626</v>
      </c>
      <c r="I256" s="1734" t="s">
        <v>2315</v>
      </c>
    </row>
    <row r="257" spans="1:9" x14ac:dyDescent="0.2">
      <c r="A257" s="813" t="str">
        <f>'Part 1'!$L$17</f>
        <v>EZZZZ</v>
      </c>
      <c r="B257">
        <v>2017</v>
      </c>
      <c r="C257">
        <v>15</v>
      </c>
      <c r="D257">
        <v>3</v>
      </c>
      <c r="E257" t="s">
        <v>1193</v>
      </c>
      <c r="F257" s="814">
        <f>'Part 3'!$O$70</f>
        <v>0</v>
      </c>
      <c r="G257" s="812"/>
      <c r="H257" t="s">
        <v>2627</v>
      </c>
      <c r="I257" s="1734" t="s">
        <v>2315</v>
      </c>
    </row>
    <row r="258" spans="1:9" x14ac:dyDescent="0.2">
      <c r="A258" s="813" t="str">
        <f>'Part 1'!$L$17</f>
        <v>EZZZZ</v>
      </c>
      <c r="B258">
        <v>2017</v>
      </c>
      <c r="C258">
        <v>1</v>
      </c>
      <c r="D258">
        <v>1</v>
      </c>
      <c r="E258" t="s">
        <v>1194</v>
      </c>
      <c r="F258" s="814">
        <f>'Part 4'!$L$15</f>
        <v>0</v>
      </c>
      <c r="G258" s="812"/>
      <c r="H258" t="s">
        <v>2628</v>
      </c>
      <c r="I258" s="1734" t="s">
        <v>2315</v>
      </c>
    </row>
    <row r="259" spans="1:9" x14ac:dyDescent="0.2">
      <c r="A259" s="813" t="str">
        <f>'Part 1'!$L$17</f>
        <v>EZZZZ</v>
      </c>
      <c r="B259">
        <v>2017</v>
      </c>
      <c r="C259">
        <v>2</v>
      </c>
      <c r="D259">
        <v>1</v>
      </c>
      <c r="E259" t="s">
        <v>1194</v>
      </c>
      <c r="F259" s="814">
        <f>'Part 4'!$I$18</f>
        <v>0</v>
      </c>
      <c r="G259" s="812"/>
      <c r="H259" t="s">
        <v>2629</v>
      </c>
      <c r="I259" s="1734" t="s">
        <v>2315</v>
      </c>
    </row>
    <row r="260" spans="1:9" x14ac:dyDescent="0.2">
      <c r="A260" s="813" t="str">
        <f>'Part 1'!$L$17</f>
        <v>EZZZZ</v>
      </c>
      <c r="B260">
        <v>2017</v>
      </c>
      <c r="C260">
        <v>3</v>
      </c>
      <c r="D260">
        <v>1</v>
      </c>
      <c r="E260" t="s">
        <v>1194</v>
      </c>
      <c r="F260" s="814">
        <f>'Part 4'!$I$20</f>
        <v>0</v>
      </c>
      <c r="G260" s="812"/>
      <c r="H260" t="s">
        <v>2630</v>
      </c>
      <c r="I260" s="1734" t="s">
        <v>2315</v>
      </c>
    </row>
    <row r="261" spans="1:9" x14ac:dyDescent="0.2">
      <c r="A261" s="813" t="str">
        <f>'Part 1'!$L$17</f>
        <v>EZZZZ</v>
      </c>
      <c r="B261">
        <v>2017</v>
      </c>
      <c r="C261">
        <v>4</v>
      </c>
      <c r="D261">
        <v>1</v>
      </c>
      <c r="E261" t="s">
        <v>1194</v>
      </c>
      <c r="F261" s="814">
        <f>'Part 4'!$I$22</f>
        <v>0</v>
      </c>
      <c r="G261" s="812"/>
      <c r="H261" t="s">
        <v>2631</v>
      </c>
      <c r="I261" s="1734" t="s">
        <v>2315</v>
      </c>
    </row>
    <row r="262" spans="1:9" x14ac:dyDescent="0.2">
      <c r="A262" s="813" t="str">
        <f>'Part 1'!$L$17</f>
        <v>EZZZZ</v>
      </c>
      <c r="B262">
        <v>2017</v>
      </c>
      <c r="C262">
        <v>5</v>
      </c>
      <c r="D262">
        <v>1</v>
      </c>
      <c r="E262" t="s">
        <v>1194</v>
      </c>
      <c r="F262" s="814">
        <f>'Part 4'!$I$24</f>
        <v>0</v>
      </c>
      <c r="G262" s="812"/>
      <c r="H262" t="s">
        <v>2632</v>
      </c>
      <c r="I262" s="1734" t="s">
        <v>2315</v>
      </c>
    </row>
    <row r="263" spans="1:9" x14ac:dyDescent="0.2">
      <c r="A263" s="813" t="str">
        <f>'Part 1'!$L$17</f>
        <v>EZZZZ</v>
      </c>
      <c r="B263">
        <v>2017</v>
      </c>
      <c r="C263">
        <v>6</v>
      </c>
      <c r="D263">
        <v>1</v>
      </c>
      <c r="E263" t="s">
        <v>1194</v>
      </c>
      <c r="F263" s="814">
        <f>'Part 4'!$I$26</f>
        <v>0</v>
      </c>
      <c r="G263" s="812"/>
      <c r="H263" t="s">
        <v>2633</v>
      </c>
      <c r="I263" s="1734" t="s">
        <v>2315</v>
      </c>
    </row>
    <row r="264" spans="1:9" x14ac:dyDescent="0.2">
      <c r="A264" s="813" t="str">
        <f>'Part 1'!$L$17</f>
        <v>EZZZZ</v>
      </c>
      <c r="B264">
        <v>2017</v>
      </c>
      <c r="C264">
        <v>7</v>
      </c>
      <c r="D264">
        <v>1</v>
      </c>
      <c r="E264" t="s">
        <v>1194</v>
      </c>
      <c r="F264" s="814">
        <f>'Part 4'!$L$28</f>
        <v>0</v>
      </c>
      <c r="G264" s="812"/>
      <c r="H264" t="s">
        <v>2634</v>
      </c>
      <c r="I264" s="1734" t="s">
        <v>2315</v>
      </c>
    </row>
    <row r="265" spans="1:9" x14ac:dyDescent="0.2">
      <c r="A265" s="813" t="str">
        <f>'Part 1'!$L$17</f>
        <v>EZZZZ</v>
      </c>
      <c r="B265">
        <v>2017</v>
      </c>
      <c r="C265">
        <v>8</v>
      </c>
      <c r="D265">
        <v>1</v>
      </c>
      <c r="E265" t="s">
        <v>1194</v>
      </c>
      <c r="F265" s="814">
        <f>'Part 4'!$I$31</f>
        <v>0</v>
      </c>
      <c r="G265" s="812"/>
      <c r="H265" t="s">
        <v>2635</v>
      </c>
      <c r="I265" s="1734" t="s">
        <v>2315</v>
      </c>
    </row>
    <row r="266" spans="1:9" x14ac:dyDescent="0.2">
      <c r="A266" s="813" t="str">
        <f>'Part 1'!$L$17</f>
        <v>EZZZZ</v>
      </c>
      <c r="B266">
        <v>2017</v>
      </c>
      <c r="C266">
        <v>9</v>
      </c>
      <c r="D266">
        <v>1</v>
      </c>
      <c r="E266" t="s">
        <v>1194</v>
      </c>
      <c r="F266" s="814">
        <f>'Part 4'!$I$33</f>
        <v>0</v>
      </c>
      <c r="G266" s="812"/>
      <c r="H266" t="s">
        <v>2636</v>
      </c>
      <c r="I266" s="1734" t="s">
        <v>2315</v>
      </c>
    </row>
    <row r="267" spans="1:9" x14ac:dyDescent="0.2">
      <c r="A267" s="813" t="str">
        <f>'Part 1'!$L$17</f>
        <v>EZZZZ</v>
      </c>
      <c r="B267">
        <v>2017</v>
      </c>
      <c r="C267">
        <v>10</v>
      </c>
      <c r="D267">
        <v>1</v>
      </c>
      <c r="E267" t="s">
        <v>1194</v>
      </c>
      <c r="F267" s="814">
        <f>'Part 4'!$I$35</f>
        <v>0</v>
      </c>
      <c r="G267" s="812"/>
      <c r="H267" t="s">
        <v>2637</v>
      </c>
      <c r="I267" s="1734" t="s">
        <v>2315</v>
      </c>
    </row>
    <row r="268" spans="1:9" x14ac:dyDescent="0.2">
      <c r="A268" s="813" t="str">
        <f>'Part 1'!$L$17</f>
        <v>EZZZZ</v>
      </c>
      <c r="B268">
        <v>2017</v>
      </c>
      <c r="C268">
        <v>11</v>
      </c>
      <c r="D268">
        <v>1</v>
      </c>
      <c r="E268" t="s">
        <v>1194</v>
      </c>
      <c r="F268" s="814">
        <f>'Part 4'!$L$37</f>
        <v>0</v>
      </c>
      <c r="G268" s="812"/>
      <c r="H268" t="s">
        <v>2638</v>
      </c>
      <c r="I268" s="1734" t="s">
        <v>2315</v>
      </c>
    </row>
    <row r="269" spans="1:9" x14ac:dyDescent="0.2">
      <c r="A269" s="813" t="str">
        <f>'Part 1'!$L$17</f>
        <v>EZZZZ</v>
      </c>
      <c r="B269">
        <v>2017</v>
      </c>
      <c r="C269">
        <v>12</v>
      </c>
      <c r="D269">
        <v>1</v>
      </c>
      <c r="E269" t="s">
        <v>1194</v>
      </c>
      <c r="F269" s="814">
        <f>'Part 4'!$I$40</f>
        <v>0</v>
      </c>
      <c r="G269" s="812"/>
      <c r="H269" t="s">
        <v>2639</v>
      </c>
      <c r="I269" s="1734" t="s">
        <v>2315</v>
      </c>
    </row>
    <row r="270" spans="1:9" x14ac:dyDescent="0.2">
      <c r="A270" s="813" t="str">
        <f>'Part 1'!$L$17</f>
        <v>EZZZZ</v>
      </c>
      <c r="B270">
        <v>2017</v>
      </c>
      <c r="C270">
        <v>13</v>
      </c>
      <c r="D270">
        <v>1</v>
      </c>
      <c r="E270" t="s">
        <v>1194</v>
      </c>
      <c r="F270" s="814">
        <f>'Part 4'!$I$42</f>
        <v>0</v>
      </c>
      <c r="G270" s="812"/>
      <c r="H270" t="s">
        <v>2640</v>
      </c>
      <c r="I270" s="1734" t="s">
        <v>2315</v>
      </c>
    </row>
    <row r="271" spans="1:9" x14ac:dyDescent="0.2">
      <c r="A271" s="813" t="str">
        <f>'Part 1'!$L$17</f>
        <v>EZZZZ</v>
      </c>
      <c r="B271">
        <v>2017</v>
      </c>
      <c r="C271">
        <v>14</v>
      </c>
      <c r="D271">
        <v>1</v>
      </c>
      <c r="E271" t="s">
        <v>1194</v>
      </c>
      <c r="F271" s="814">
        <f>'Part 4'!$I$45</f>
        <v>0</v>
      </c>
      <c r="G271" s="812"/>
      <c r="H271" t="s">
        <v>2641</v>
      </c>
      <c r="I271" s="1734" t="s">
        <v>2315</v>
      </c>
    </row>
    <row r="272" spans="1:9" x14ac:dyDescent="0.2">
      <c r="A272" s="813" t="str">
        <f>'Part 1'!$L$17</f>
        <v>EZZZZ</v>
      </c>
      <c r="B272">
        <v>2017</v>
      </c>
      <c r="C272">
        <v>15</v>
      </c>
      <c r="D272">
        <v>1</v>
      </c>
      <c r="E272" t="s">
        <v>1194</v>
      </c>
      <c r="F272" s="814">
        <f>'Part 4'!$I$48</f>
        <v>0</v>
      </c>
      <c r="G272" s="812"/>
      <c r="H272" t="s">
        <v>2642</v>
      </c>
      <c r="I272" s="1734" t="s">
        <v>2315</v>
      </c>
    </row>
    <row r="273" spans="1:13" x14ac:dyDescent="0.2">
      <c r="A273" s="813" t="str">
        <f>'Part 1'!$L$17</f>
        <v>EZZZZ</v>
      </c>
      <c r="B273">
        <v>2017</v>
      </c>
      <c r="C273">
        <v>16</v>
      </c>
      <c r="D273">
        <v>1</v>
      </c>
      <c r="E273" t="s">
        <v>1194</v>
      </c>
      <c r="F273" s="814">
        <f>'Part 4'!$I$51</f>
        <v>0</v>
      </c>
      <c r="G273" s="812"/>
      <c r="H273" t="s">
        <v>2643</v>
      </c>
      <c r="I273" s="1734" t="s">
        <v>2315</v>
      </c>
    </row>
    <row r="274" spans="1:13" x14ac:dyDescent="0.2">
      <c r="A274" s="813" t="str">
        <f>'Part 1'!$L$17</f>
        <v>EZZZZ</v>
      </c>
      <c r="B274">
        <v>2017</v>
      </c>
      <c r="C274">
        <v>17</v>
      </c>
      <c r="D274">
        <v>1</v>
      </c>
      <c r="E274" t="s">
        <v>1194</v>
      </c>
      <c r="F274" s="814">
        <f>'Part 4'!$I$54</f>
        <v>0</v>
      </c>
      <c r="G274" s="812"/>
      <c r="H274" s="812" t="s">
        <v>2644</v>
      </c>
      <c r="I274" s="1734" t="s">
        <v>2315</v>
      </c>
    </row>
    <row r="275" spans="1:13" x14ac:dyDescent="0.2">
      <c r="A275" s="813" t="str">
        <f>'Part 1'!$L$17</f>
        <v>EZZZZ</v>
      </c>
      <c r="B275">
        <v>2017</v>
      </c>
      <c r="C275">
        <v>18</v>
      </c>
      <c r="D275">
        <v>1</v>
      </c>
      <c r="E275" t="s">
        <v>1194</v>
      </c>
      <c r="F275" s="814">
        <f>'Part 4'!$I$56</f>
        <v>0</v>
      </c>
      <c r="G275" s="812"/>
      <c r="H275" s="812" t="s">
        <v>2645</v>
      </c>
      <c r="I275" s="1734" t="s">
        <v>2315</v>
      </c>
    </row>
    <row r="276" spans="1:13" x14ac:dyDescent="0.2">
      <c r="A276" s="813" t="str">
        <f>'Part 1'!$L$17</f>
        <v>EZZZZ</v>
      </c>
      <c r="B276">
        <v>2017</v>
      </c>
      <c r="C276">
        <v>19</v>
      </c>
      <c r="D276">
        <v>1</v>
      </c>
      <c r="E276" t="s">
        <v>1194</v>
      </c>
      <c r="F276" s="814">
        <f>'Part 4'!$L$58</f>
        <v>0</v>
      </c>
      <c r="G276" s="812"/>
      <c r="H276" s="812" t="s">
        <v>2646</v>
      </c>
      <c r="I276" s="1734" t="s">
        <v>2315</v>
      </c>
    </row>
    <row r="277" spans="1:13" x14ac:dyDescent="0.2">
      <c r="A277" s="813" t="str">
        <f>'Part 1'!$L$17</f>
        <v>EZZZZ</v>
      </c>
      <c r="B277">
        <v>2017</v>
      </c>
      <c r="C277">
        <v>20</v>
      </c>
      <c r="D277">
        <v>1</v>
      </c>
      <c r="E277" t="s">
        <v>1194</v>
      </c>
      <c r="F277" s="814">
        <f>'Part 4'!$L$63</f>
        <v>0</v>
      </c>
      <c r="G277" s="334"/>
      <c r="H277" s="812" t="s">
        <v>2647</v>
      </c>
      <c r="I277" s="1734" t="s">
        <v>2315</v>
      </c>
    </row>
    <row r="278" spans="1:13" x14ac:dyDescent="0.2">
      <c r="A278" s="813" t="str">
        <f>'Part 1'!$L$17</f>
        <v>EZZZZ</v>
      </c>
      <c r="B278">
        <v>2017</v>
      </c>
      <c r="C278">
        <v>1</v>
      </c>
      <c r="D278">
        <v>1</v>
      </c>
      <c r="E278" t="s">
        <v>1190</v>
      </c>
      <c r="F278" s="814">
        <f>'Supplementary Information'!$H$24</f>
        <v>0</v>
      </c>
      <c r="G278" s="334"/>
      <c r="H278" s="812" t="s">
        <v>2648</v>
      </c>
      <c r="I278" s="1734" t="s">
        <v>2315</v>
      </c>
    </row>
    <row r="279" spans="1:13" x14ac:dyDescent="0.2">
      <c r="A279" s="813" t="str">
        <f>'Part 1'!$L$17</f>
        <v>EZZZZ</v>
      </c>
      <c r="B279">
        <v>2017</v>
      </c>
      <c r="C279">
        <v>2</v>
      </c>
      <c r="D279">
        <v>1</v>
      </c>
      <c r="E279" t="s">
        <v>1190</v>
      </c>
      <c r="F279" s="814">
        <f>'Supplementary Information'!$H$26</f>
        <v>0</v>
      </c>
      <c r="G279" s="334"/>
      <c r="H279" s="812" t="s">
        <v>2649</v>
      </c>
      <c r="I279" s="1734" t="s">
        <v>2315</v>
      </c>
    </row>
    <row r="280" spans="1:13" x14ac:dyDescent="0.2">
      <c r="A280" s="813" t="str">
        <f>'Part 1'!$L$17</f>
        <v>EZZZZ</v>
      </c>
      <c r="B280">
        <v>2017</v>
      </c>
      <c r="C280">
        <v>3</v>
      </c>
      <c r="D280">
        <v>1</v>
      </c>
      <c r="E280" t="s">
        <v>1190</v>
      </c>
      <c r="F280" s="814">
        <f>'Supplementary Information'!$H$28</f>
        <v>0</v>
      </c>
      <c r="G280" s="334"/>
      <c r="H280" s="812" t="s">
        <v>2650</v>
      </c>
      <c r="I280" s="1734" t="s">
        <v>2315</v>
      </c>
    </row>
    <row r="281" spans="1:13" x14ac:dyDescent="0.2">
      <c r="A281" s="813" t="str">
        <f>'Part 1'!$L$17</f>
        <v>EZZZZ</v>
      </c>
      <c r="B281">
        <v>2017</v>
      </c>
      <c r="C281">
        <v>4</v>
      </c>
      <c r="D281">
        <v>1</v>
      </c>
      <c r="E281" t="s">
        <v>1190</v>
      </c>
      <c r="F281" s="814">
        <f>'Supplementary Information'!$H$30</f>
        <v>0</v>
      </c>
      <c r="G281" s="334"/>
      <c r="H281" s="812" t="s">
        <v>2651</v>
      </c>
      <c r="I281" s="1734" t="s">
        <v>2315</v>
      </c>
    </row>
    <row r="282" spans="1:13" x14ac:dyDescent="0.2">
      <c r="A282" s="813" t="str">
        <f>'Part 1'!$L$17</f>
        <v>EZZZZ</v>
      </c>
      <c r="B282">
        <v>2017</v>
      </c>
      <c r="C282">
        <v>5</v>
      </c>
      <c r="D282">
        <v>1</v>
      </c>
      <c r="E282" t="s">
        <v>1190</v>
      </c>
      <c r="F282" s="814">
        <f>'Supplementary Information'!$H$32</f>
        <v>0</v>
      </c>
      <c r="G282" s="334"/>
      <c r="H282" s="812" t="s">
        <v>2652</v>
      </c>
      <c r="I282" s="1734" t="s">
        <v>2315</v>
      </c>
    </row>
    <row r="283" spans="1:13" x14ac:dyDescent="0.2">
      <c r="A283" s="813" t="str">
        <f>'Part 1'!$L$17</f>
        <v>EZZZZ</v>
      </c>
      <c r="B283">
        <v>2017</v>
      </c>
      <c r="C283">
        <v>6</v>
      </c>
      <c r="D283">
        <v>1</v>
      </c>
      <c r="E283" t="s">
        <v>1190</v>
      </c>
      <c r="F283" s="814">
        <f>'Supplementary Information'!$H$34</f>
        <v>0</v>
      </c>
      <c r="G283" s="812"/>
      <c r="H283" s="812" t="s">
        <v>2653</v>
      </c>
      <c r="I283" s="1734" t="s">
        <v>2315</v>
      </c>
    </row>
    <row r="284" spans="1:13" x14ac:dyDescent="0.2">
      <c r="A284" s="813" t="str">
        <f>'Part 1'!$L$17</f>
        <v>EZZZZ</v>
      </c>
      <c r="B284">
        <v>2017</v>
      </c>
      <c r="C284">
        <v>7</v>
      </c>
      <c r="D284">
        <v>1</v>
      </c>
      <c r="E284" t="s">
        <v>1190</v>
      </c>
      <c r="F284" s="814">
        <f>'Supplementary Information'!$H$36</f>
        <v>0</v>
      </c>
      <c r="G284" s="812"/>
      <c r="H284" s="812" t="s">
        <v>2654</v>
      </c>
      <c r="I284" s="1734" t="s">
        <v>2315</v>
      </c>
    </row>
    <row r="285" spans="1:13" x14ac:dyDescent="0.2">
      <c r="A285" s="813" t="str">
        <f>'Part 1'!$L$17</f>
        <v>EZZZZ</v>
      </c>
      <c r="B285">
        <v>2017</v>
      </c>
      <c r="C285">
        <v>8</v>
      </c>
      <c r="D285">
        <v>1</v>
      </c>
      <c r="E285" t="s">
        <v>1190</v>
      </c>
      <c r="F285" s="814">
        <f>'Supplementary Information'!$H$38</f>
        <v>0</v>
      </c>
      <c r="G285" s="812"/>
      <c r="H285" s="812" t="s">
        <v>2655</v>
      </c>
      <c r="I285" s="1734" t="s">
        <v>2315</v>
      </c>
    </row>
    <row r="286" spans="1:13" x14ac:dyDescent="0.2">
      <c r="A286" s="813" t="str">
        <f>'Part 1'!$L$17</f>
        <v>EZZZZ</v>
      </c>
      <c r="B286">
        <v>2017</v>
      </c>
      <c r="C286">
        <v>9</v>
      </c>
      <c r="D286">
        <v>1</v>
      </c>
      <c r="E286" t="s">
        <v>1190</v>
      </c>
      <c r="F286" s="814">
        <f>'Supplementary Information'!$H$40</f>
        <v>0</v>
      </c>
      <c r="G286" s="812"/>
      <c r="H286" s="817" t="s">
        <v>2656</v>
      </c>
      <c r="I286" s="1734" t="s">
        <v>2315</v>
      </c>
      <c r="J286" s="817"/>
      <c r="K286" s="817"/>
      <c r="M286" s="816"/>
    </row>
    <row r="287" spans="1:13" x14ac:dyDescent="0.2">
      <c r="A287" s="813" t="str">
        <f>'Part 1'!$L$17</f>
        <v>EZZZZ</v>
      </c>
      <c r="B287">
        <v>2017</v>
      </c>
      <c r="C287">
        <v>10</v>
      </c>
      <c r="D287">
        <v>1</v>
      </c>
      <c r="E287" t="s">
        <v>1190</v>
      </c>
      <c r="F287" s="814">
        <f>'Supplementary Information'!$H$42</f>
        <v>0</v>
      </c>
      <c r="G287" s="812"/>
      <c r="H287" s="817" t="s">
        <v>2657</v>
      </c>
      <c r="I287" s="1734" t="s">
        <v>2315</v>
      </c>
      <c r="J287" s="817"/>
      <c r="K287" s="817"/>
    </row>
    <row r="288" spans="1:13" x14ac:dyDescent="0.2">
      <c r="A288" s="813" t="str">
        <f>'Part 1'!$L$17</f>
        <v>EZZZZ</v>
      </c>
      <c r="B288">
        <v>2017</v>
      </c>
      <c r="C288">
        <v>11</v>
      </c>
      <c r="D288">
        <v>1</v>
      </c>
      <c r="E288" t="s">
        <v>1190</v>
      </c>
      <c r="F288" s="814">
        <f>'Supplementary Information'!$H$44</f>
        <v>0</v>
      </c>
      <c r="G288" s="812"/>
      <c r="H288" s="817" t="s">
        <v>2658</v>
      </c>
      <c r="I288" s="1734" t="s">
        <v>2315</v>
      </c>
    </row>
    <row r="289" spans="1:9" x14ac:dyDescent="0.2">
      <c r="A289" s="813" t="str">
        <f>'Part 1'!$L$17</f>
        <v>EZZZZ</v>
      </c>
      <c r="B289">
        <v>2017</v>
      </c>
      <c r="C289">
        <v>12</v>
      </c>
      <c r="D289">
        <v>1</v>
      </c>
      <c r="E289" t="s">
        <v>1190</v>
      </c>
      <c r="F289" s="814">
        <f>'Supplementary Information'!$H$47</f>
        <v>0</v>
      </c>
      <c r="G289" s="334"/>
      <c r="H289" s="817" t="s">
        <v>2659</v>
      </c>
      <c r="I289" s="1734" t="s">
        <v>2315</v>
      </c>
    </row>
    <row r="290" spans="1:9" x14ac:dyDescent="0.2">
      <c r="A290" s="813" t="str">
        <f>'Part 1'!$L$17</f>
        <v>EZZZZ</v>
      </c>
      <c r="B290">
        <v>2017</v>
      </c>
      <c r="C290">
        <v>13</v>
      </c>
      <c r="D290">
        <v>1</v>
      </c>
      <c r="E290" t="s">
        <v>1190</v>
      </c>
      <c r="F290" s="814">
        <f>'Supplementary Information'!$H$49</f>
        <v>0</v>
      </c>
      <c r="G290" s="334"/>
      <c r="H290" s="817" t="s">
        <v>2660</v>
      </c>
      <c r="I290" s="1734" t="s">
        <v>2315</v>
      </c>
    </row>
    <row r="291" spans="1:9" x14ac:dyDescent="0.2">
      <c r="A291" s="813" t="str">
        <f>'Part 1'!$L$17</f>
        <v>EZZZZ</v>
      </c>
      <c r="B291">
        <v>2017</v>
      </c>
      <c r="C291">
        <v>14</v>
      </c>
      <c r="D291">
        <v>1</v>
      </c>
      <c r="E291" t="s">
        <v>1190</v>
      </c>
      <c r="F291" s="814">
        <f>'Supplementary Information'!$H$51</f>
        <v>0</v>
      </c>
      <c r="G291" s="334"/>
      <c r="H291" s="817" t="s">
        <v>2661</v>
      </c>
      <c r="I291" s="1734" t="s">
        <v>2315</v>
      </c>
    </row>
    <row r="292" spans="1:9" x14ac:dyDescent="0.2">
      <c r="A292" s="813" t="str">
        <f>'Part 1'!$L$17</f>
        <v>EZZZZ</v>
      </c>
      <c r="B292">
        <v>2017</v>
      </c>
      <c r="C292">
        <v>15</v>
      </c>
      <c r="D292">
        <v>1</v>
      </c>
      <c r="E292" t="s">
        <v>1190</v>
      </c>
      <c r="F292" s="814">
        <f>'Supplementary Information'!$H$53</f>
        <v>0</v>
      </c>
      <c r="G292" s="334"/>
      <c r="H292" s="817" t="s">
        <v>2662</v>
      </c>
      <c r="I292" s="1734" t="s">
        <v>2315</v>
      </c>
    </row>
    <row r="293" spans="1:9" x14ac:dyDescent="0.2">
      <c r="A293" s="813" t="str">
        <f>'Part 1'!$L$17</f>
        <v>EZZZZ</v>
      </c>
      <c r="B293">
        <v>2017</v>
      </c>
      <c r="C293">
        <v>16</v>
      </c>
      <c r="D293">
        <v>1</v>
      </c>
      <c r="E293" t="s">
        <v>1190</v>
      </c>
      <c r="F293" s="814">
        <f>'Supplementary Information'!$H$55</f>
        <v>0</v>
      </c>
      <c r="G293" s="334"/>
      <c r="H293" s="817" t="s">
        <v>2663</v>
      </c>
      <c r="I293" s="1734" t="s">
        <v>2315</v>
      </c>
    </row>
    <row r="294" spans="1:9" x14ac:dyDescent="0.2">
      <c r="A294" s="813" t="str">
        <f>'Part 1'!$L$17</f>
        <v>EZZZZ</v>
      </c>
      <c r="B294">
        <v>2017</v>
      </c>
      <c r="C294">
        <v>17</v>
      </c>
      <c r="D294">
        <v>1</v>
      </c>
      <c r="E294" t="s">
        <v>1190</v>
      </c>
      <c r="F294" s="814">
        <f>'Supplementary Information'!$H$57</f>
        <v>0</v>
      </c>
      <c r="G294" s="334"/>
      <c r="H294" s="817" t="s">
        <v>2664</v>
      </c>
      <c r="I294" s="1734" t="s">
        <v>2315</v>
      </c>
    </row>
    <row r="295" spans="1:9" x14ac:dyDescent="0.2">
      <c r="A295" s="813" t="str">
        <f>'Part 1'!$L$17</f>
        <v>EZZZZ</v>
      </c>
      <c r="B295">
        <v>2017</v>
      </c>
      <c r="C295">
        <v>18</v>
      </c>
      <c r="D295">
        <v>1</v>
      </c>
      <c r="E295" t="s">
        <v>1190</v>
      </c>
      <c r="F295" s="814">
        <f>'Supplementary Information'!$H$59</f>
        <v>0</v>
      </c>
      <c r="G295" s="334"/>
      <c r="H295" s="817" t="s">
        <v>2665</v>
      </c>
      <c r="I295" s="1734" t="s">
        <v>2315</v>
      </c>
    </row>
    <row r="296" spans="1:9" x14ac:dyDescent="0.2">
      <c r="A296" s="813" t="str">
        <f>'Part 1'!$L$17</f>
        <v>EZZZZ</v>
      </c>
      <c r="B296">
        <v>2017</v>
      </c>
      <c r="C296">
        <v>19</v>
      </c>
      <c r="D296">
        <v>1</v>
      </c>
      <c r="E296" t="s">
        <v>1190</v>
      </c>
      <c r="F296" s="814">
        <f>'Supplementary Information'!$H$62</f>
        <v>0</v>
      </c>
      <c r="G296" s="334"/>
      <c r="H296" s="817" t="s">
        <v>2666</v>
      </c>
      <c r="I296" s="1734" t="s">
        <v>2315</v>
      </c>
    </row>
    <row r="297" spans="1:9" x14ac:dyDescent="0.2">
      <c r="A297" s="813" t="str">
        <f>'Part 1'!$L$17</f>
        <v>EZZZZ</v>
      </c>
      <c r="B297">
        <v>2017</v>
      </c>
      <c r="C297">
        <v>20</v>
      </c>
      <c r="D297">
        <v>1</v>
      </c>
      <c r="E297" t="s">
        <v>1190</v>
      </c>
      <c r="F297" s="814">
        <f>'Supplementary Information'!$H$64</f>
        <v>0</v>
      </c>
      <c r="G297" s="334"/>
      <c r="H297" s="817" t="s">
        <v>2667</v>
      </c>
      <c r="I297" s="1734" t="s">
        <v>2315</v>
      </c>
    </row>
    <row r="298" spans="1:9" x14ac:dyDescent="0.2">
      <c r="A298" s="813" t="str">
        <f>'Part 1'!$L$17</f>
        <v>EZZZZ</v>
      </c>
      <c r="B298">
        <v>2017</v>
      </c>
      <c r="C298">
        <v>21</v>
      </c>
      <c r="D298">
        <v>1</v>
      </c>
      <c r="E298" t="s">
        <v>1190</v>
      </c>
      <c r="F298" s="814">
        <f>'Supplementary Information'!$H$66</f>
        <v>0</v>
      </c>
      <c r="G298" s="334"/>
      <c r="H298" s="817" t="s">
        <v>2668</v>
      </c>
      <c r="I298" s="1734" t="s">
        <v>2315</v>
      </c>
    </row>
    <row r="299" spans="1:9" x14ac:dyDescent="0.2">
      <c r="A299" s="813" t="str">
        <f>'Part 1'!$L$17</f>
        <v>EZZZZ</v>
      </c>
      <c r="B299">
        <v>2017</v>
      </c>
      <c r="C299">
        <v>22</v>
      </c>
      <c r="D299">
        <v>1</v>
      </c>
      <c r="E299" t="s">
        <v>1190</v>
      </c>
      <c r="F299" s="814">
        <f>'Supplementary Information'!$H$69</f>
        <v>0</v>
      </c>
      <c r="G299" s="334"/>
      <c r="H299" s="817" t="s">
        <v>2669</v>
      </c>
      <c r="I299" s="1734" t="s">
        <v>2315</v>
      </c>
    </row>
    <row r="300" spans="1:9" x14ac:dyDescent="0.2">
      <c r="A300" s="813" t="str">
        <f>'Part 1'!$L$17</f>
        <v>EZZZZ</v>
      </c>
      <c r="B300">
        <v>2017</v>
      </c>
      <c r="C300">
        <v>23</v>
      </c>
      <c r="D300">
        <v>1</v>
      </c>
      <c r="E300" t="s">
        <v>1190</v>
      </c>
      <c r="F300" s="814">
        <f>'Supplementary Information'!$H$71</f>
        <v>0</v>
      </c>
      <c r="G300" s="334"/>
      <c r="H300" s="817" t="s">
        <v>2670</v>
      </c>
      <c r="I300" s="1734" t="s">
        <v>2315</v>
      </c>
    </row>
    <row r="301" spans="1:9" x14ac:dyDescent="0.2">
      <c r="A301" s="813" t="str">
        <f>'Part 1'!$L$17</f>
        <v>EZZZZ</v>
      </c>
      <c r="B301">
        <v>2017</v>
      </c>
      <c r="C301">
        <v>24</v>
      </c>
      <c r="D301">
        <v>1</v>
      </c>
      <c r="E301" t="s">
        <v>1190</v>
      </c>
      <c r="F301" s="814">
        <f>'Supplementary Information'!$H$74</f>
        <v>0</v>
      </c>
      <c r="G301" s="817"/>
      <c r="H301" s="817" t="s">
        <v>2671</v>
      </c>
      <c r="I301" s="1734" t="s">
        <v>2315</v>
      </c>
    </row>
    <row r="302" spans="1:9" x14ac:dyDescent="0.2">
      <c r="A302" s="813" t="str">
        <f>'Part 1'!$L$17</f>
        <v>EZZZZ</v>
      </c>
      <c r="B302">
        <v>2017</v>
      </c>
      <c r="C302">
        <v>25</v>
      </c>
      <c r="D302">
        <v>1</v>
      </c>
      <c r="E302" t="s">
        <v>1190</v>
      </c>
      <c r="F302" s="814">
        <f>'Supplementary Information'!$H$76</f>
        <v>0</v>
      </c>
      <c r="G302" s="817"/>
      <c r="H302" s="817" t="s">
        <v>2672</v>
      </c>
      <c r="I302" s="1734" t="s">
        <v>2315</v>
      </c>
    </row>
    <row r="303" spans="1:9" x14ac:dyDescent="0.2">
      <c r="A303" s="813" t="str">
        <f>'Part 1'!$L$17</f>
        <v>EZZZZ</v>
      </c>
      <c r="B303">
        <v>2017</v>
      </c>
      <c r="C303">
        <v>26</v>
      </c>
      <c r="D303">
        <v>1</v>
      </c>
      <c r="E303" t="s">
        <v>1190</v>
      </c>
      <c r="F303" s="814">
        <f>'Supplementary Information'!$H$78</f>
        <v>0</v>
      </c>
      <c r="G303" s="817"/>
      <c r="H303" s="817" t="s">
        <v>2673</v>
      </c>
      <c r="I303" s="1734" t="s">
        <v>2315</v>
      </c>
    </row>
    <row r="304" spans="1:9" x14ac:dyDescent="0.2">
      <c r="A304" s="813" t="str">
        <f>'Part 1'!$L$17</f>
        <v>EZZZZ</v>
      </c>
      <c r="B304">
        <v>2017</v>
      </c>
      <c r="C304">
        <v>27</v>
      </c>
      <c r="D304">
        <v>2</v>
      </c>
      <c r="E304" t="s">
        <v>1190</v>
      </c>
      <c r="F304" s="814">
        <f>'Supplementary Information'!$H$87</f>
        <v>0</v>
      </c>
      <c r="G304" s="817"/>
      <c r="H304" s="817" t="s">
        <v>2674</v>
      </c>
      <c r="I304" s="1734" t="s">
        <v>2315</v>
      </c>
    </row>
    <row r="305" spans="1:9" x14ac:dyDescent="0.2">
      <c r="A305" s="813" t="str">
        <f>'Part 1'!$L$17</f>
        <v>EZZZZ</v>
      </c>
      <c r="B305">
        <v>2017</v>
      </c>
      <c r="C305">
        <v>28</v>
      </c>
      <c r="D305">
        <v>2</v>
      </c>
      <c r="E305" t="s">
        <v>1190</v>
      </c>
      <c r="F305" s="814">
        <f>'Supplementary Information'!$H$90</f>
        <v>0</v>
      </c>
      <c r="G305" s="817"/>
      <c r="H305" s="817" t="s">
        <v>2675</v>
      </c>
      <c r="I305" s="1734" t="s">
        <v>2315</v>
      </c>
    </row>
    <row r="306" spans="1:9" x14ac:dyDescent="0.2">
      <c r="A306" s="813" t="str">
        <f>'Part 1'!$L$17</f>
        <v>EZZZZ</v>
      </c>
      <c r="B306">
        <v>2017</v>
      </c>
      <c r="C306">
        <v>29</v>
      </c>
      <c r="D306">
        <v>2</v>
      </c>
      <c r="E306" t="s">
        <v>1190</v>
      </c>
      <c r="F306" s="814">
        <f>'Supplementary Information'!$H$92</f>
        <v>0</v>
      </c>
      <c r="G306" s="817"/>
      <c r="H306" s="817" t="s">
        <v>2676</v>
      </c>
      <c r="I306" s="1734" t="s">
        <v>2315</v>
      </c>
    </row>
    <row r="307" spans="1:9" x14ac:dyDescent="0.2">
      <c r="A307" s="813" t="str">
        <f>'Part 1'!$L$17</f>
        <v>EZZZZ</v>
      </c>
      <c r="B307">
        <v>2017</v>
      </c>
      <c r="C307">
        <v>30</v>
      </c>
      <c r="D307">
        <v>2</v>
      </c>
      <c r="E307" t="s">
        <v>1190</v>
      </c>
      <c r="F307" s="814">
        <f>'Supplementary Information'!$H$94</f>
        <v>0</v>
      </c>
      <c r="G307" s="817"/>
      <c r="H307" s="817" t="s">
        <v>2677</v>
      </c>
      <c r="I307" s="1734" t="s">
        <v>2315</v>
      </c>
    </row>
    <row r="308" spans="1:9" x14ac:dyDescent="0.2">
      <c r="A308" s="813" t="str">
        <f>'Part 1'!$L$17</f>
        <v>EZZZZ</v>
      </c>
      <c r="B308">
        <v>2017</v>
      </c>
      <c r="C308">
        <v>31</v>
      </c>
      <c r="D308">
        <v>2</v>
      </c>
      <c r="E308" t="s">
        <v>1190</v>
      </c>
      <c r="F308" s="814">
        <f>'Supplementary Information'!$H$96</f>
        <v>0</v>
      </c>
      <c r="G308" s="817"/>
      <c r="H308" s="812" t="s">
        <v>2678</v>
      </c>
      <c r="I308" s="1734" t="s">
        <v>2315</v>
      </c>
    </row>
    <row r="309" spans="1:9" x14ac:dyDescent="0.2">
      <c r="A309" s="813" t="str">
        <f>'Part 1'!$L$17</f>
        <v>EZZZZ</v>
      </c>
      <c r="B309">
        <v>2017</v>
      </c>
      <c r="C309">
        <v>32</v>
      </c>
      <c r="D309">
        <v>2</v>
      </c>
      <c r="E309" t="s">
        <v>1190</v>
      </c>
      <c r="F309" s="814">
        <f>'Supplementary Information'!$H$98</f>
        <v>0</v>
      </c>
      <c r="G309" s="817"/>
      <c r="H309" s="812" t="s">
        <v>2679</v>
      </c>
      <c r="I309" s="1734" t="s">
        <v>2315</v>
      </c>
    </row>
    <row r="310" spans="1:9" x14ac:dyDescent="0.2">
      <c r="A310" s="813" t="str">
        <f>'Part 1'!$L$17</f>
        <v>EZZZZ</v>
      </c>
      <c r="B310">
        <v>2017</v>
      </c>
      <c r="C310">
        <v>33</v>
      </c>
      <c r="D310">
        <v>2</v>
      </c>
      <c r="E310" t="s">
        <v>1190</v>
      </c>
      <c r="F310" s="814">
        <f>'Supplementary Information'!$H$100</f>
        <v>0</v>
      </c>
      <c r="G310" s="817"/>
      <c r="H310" s="817" t="s">
        <v>2680</v>
      </c>
      <c r="I310" s="1734" t="s">
        <v>2315</v>
      </c>
    </row>
    <row r="311" spans="1:9" x14ac:dyDescent="0.2">
      <c r="A311" s="813" t="str">
        <f>'Part 1'!$L$17</f>
        <v>EZZZZ</v>
      </c>
      <c r="B311">
        <v>2017</v>
      </c>
      <c r="C311">
        <v>34</v>
      </c>
      <c r="D311">
        <v>2</v>
      </c>
      <c r="E311" t="s">
        <v>1190</v>
      </c>
      <c r="F311" s="814">
        <f>'Supplementary Information'!$H$103</f>
        <v>0</v>
      </c>
      <c r="G311" s="817"/>
      <c r="H311" s="817" t="s">
        <v>2681</v>
      </c>
      <c r="I311" s="1734" t="s">
        <v>2315</v>
      </c>
    </row>
    <row r="312" spans="1:9" x14ac:dyDescent="0.2">
      <c r="A312" s="813" t="str">
        <f>'Part 1'!$L$17</f>
        <v>EZZZZ</v>
      </c>
      <c r="B312">
        <v>2017</v>
      </c>
      <c r="C312">
        <v>35</v>
      </c>
      <c r="D312">
        <v>2</v>
      </c>
      <c r="E312" t="s">
        <v>1190</v>
      </c>
      <c r="F312" s="814">
        <f>'Supplementary Information'!$H$105</f>
        <v>0</v>
      </c>
      <c r="G312" s="817"/>
      <c r="H312" s="812" t="s">
        <v>2682</v>
      </c>
      <c r="I312" s="1734" t="s">
        <v>2315</v>
      </c>
    </row>
    <row r="313" spans="1:9" x14ac:dyDescent="0.2">
      <c r="A313" s="813" t="str">
        <f>'Part 1'!$L$17</f>
        <v>EZZZZ</v>
      </c>
      <c r="B313">
        <v>2017</v>
      </c>
      <c r="C313">
        <v>36</v>
      </c>
      <c r="D313">
        <v>2</v>
      </c>
      <c r="E313" t="s">
        <v>1190</v>
      </c>
      <c r="F313" s="814">
        <f>'Supplementary Information'!$H$107</f>
        <v>0</v>
      </c>
      <c r="G313" s="817"/>
      <c r="H313" s="812" t="s">
        <v>2683</v>
      </c>
      <c r="I313" s="1734" t="s">
        <v>2315</v>
      </c>
    </row>
    <row r="314" spans="1:9" x14ac:dyDescent="0.2">
      <c r="A314" s="813" t="str">
        <f>'Part 1'!$L$17</f>
        <v>EZZZZ</v>
      </c>
      <c r="B314">
        <v>2017</v>
      </c>
      <c r="C314">
        <v>37</v>
      </c>
      <c r="D314">
        <v>2</v>
      </c>
      <c r="E314" t="s">
        <v>1190</v>
      </c>
      <c r="F314" s="814">
        <f>'Supplementary Information'!$H$110</f>
        <v>0</v>
      </c>
      <c r="G314" s="817"/>
      <c r="H314" s="812" t="s">
        <v>2684</v>
      </c>
      <c r="I314" s="1734" t="s">
        <v>2315</v>
      </c>
    </row>
    <row r="315" spans="1:9" x14ac:dyDescent="0.2">
      <c r="A315" s="813" t="str">
        <f>'Part 1'!$L$17</f>
        <v>EZZZZ</v>
      </c>
      <c r="B315">
        <v>2017</v>
      </c>
      <c r="C315">
        <v>1</v>
      </c>
      <c r="D315">
        <v>1</v>
      </c>
      <c r="E315" s="277" t="s">
        <v>2310</v>
      </c>
      <c r="F315" s="1545" t="e">
        <f>'Main Validation'!Y17</f>
        <v>#N/A</v>
      </c>
      <c r="G315" s="814">
        <f>'Main Validation'!O17</f>
        <v>0</v>
      </c>
      <c r="H315" s="812" t="s">
        <v>2685</v>
      </c>
      <c r="I315" s="1734" t="s">
        <v>2315</v>
      </c>
    </row>
    <row r="316" spans="1:9" x14ac:dyDescent="0.2">
      <c r="A316" s="813" t="s">
        <v>843</v>
      </c>
      <c r="B316">
        <v>2017</v>
      </c>
      <c r="C316">
        <v>2</v>
      </c>
      <c r="D316">
        <v>1</v>
      </c>
      <c r="E316" s="277" t="s">
        <v>2310</v>
      </c>
      <c r="F316" s="1545">
        <f>'Main Validation'!Y20</f>
        <v>0</v>
      </c>
      <c r="G316" s="814">
        <f>'Main Validation'!O20</f>
        <v>0</v>
      </c>
      <c r="H316" s="812" t="s">
        <v>2686</v>
      </c>
      <c r="I316" s="1734" t="s">
        <v>2315</v>
      </c>
    </row>
    <row r="317" spans="1:9" x14ac:dyDescent="0.2">
      <c r="A317" s="813" t="str">
        <f>'Part 1'!$L$17</f>
        <v>EZZZZ</v>
      </c>
      <c r="B317">
        <v>2017</v>
      </c>
      <c r="C317">
        <v>3</v>
      </c>
      <c r="D317">
        <v>1</v>
      </c>
      <c r="E317" s="277" t="s">
        <v>2310</v>
      </c>
      <c r="F317" s="1545">
        <f>'Main Validation'!Y21</f>
        <v>0</v>
      </c>
      <c r="G317" s="814">
        <f>'Main Validation'!O21</f>
        <v>0</v>
      </c>
      <c r="H317" s="812" t="s">
        <v>2687</v>
      </c>
      <c r="I317" s="1734" t="s">
        <v>2315</v>
      </c>
    </row>
    <row r="318" spans="1:9" x14ac:dyDescent="0.2">
      <c r="A318" s="813" t="str">
        <f>'Part 1'!$L$17</f>
        <v>EZZZZ</v>
      </c>
      <c r="B318">
        <v>2017</v>
      </c>
      <c r="C318">
        <v>4</v>
      </c>
      <c r="D318">
        <v>1</v>
      </c>
      <c r="E318" s="277" t="s">
        <v>2310</v>
      </c>
      <c r="F318" s="1545">
        <f>'Main Validation'!Y22</f>
        <v>0</v>
      </c>
      <c r="G318" s="814">
        <f>'Main Validation'!O22</f>
        <v>0</v>
      </c>
      <c r="H318" s="812" t="s">
        <v>2688</v>
      </c>
      <c r="I318" s="1734" t="s">
        <v>2315</v>
      </c>
    </row>
    <row r="319" spans="1:9" x14ac:dyDescent="0.2">
      <c r="A319" s="813" t="str">
        <f>'Part 1'!$L$17</f>
        <v>EZZZZ</v>
      </c>
      <c r="B319">
        <v>2017</v>
      </c>
      <c r="C319">
        <v>5</v>
      </c>
      <c r="D319">
        <v>1</v>
      </c>
      <c r="E319" s="277" t="s">
        <v>2310</v>
      </c>
      <c r="F319" s="1545">
        <f>'Main Validation'!Y23</f>
        <v>0</v>
      </c>
      <c r="G319" s="814">
        <f>'Main Validation'!O23</f>
        <v>0</v>
      </c>
      <c r="H319" s="812" t="s">
        <v>2689</v>
      </c>
      <c r="I319" s="1734" t="s">
        <v>2315</v>
      </c>
    </row>
    <row r="320" spans="1:9" x14ac:dyDescent="0.2">
      <c r="A320" s="813" t="str">
        <f>'Part 1'!$L$17</f>
        <v>EZZZZ</v>
      </c>
      <c r="B320">
        <v>2017</v>
      </c>
      <c r="C320">
        <v>6</v>
      </c>
      <c r="D320">
        <v>1</v>
      </c>
      <c r="E320" s="277" t="s">
        <v>2310</v>
      </c>
      <c r="F320" s="1545">
        <f>'Main Validation'!Y24</f>
        <v>0</v>
      </c>
      <c r="G320" s="814">
        <f>'Main Validation'!O24</f>
        <v>0</v>
      </c>
      <c r="H320" s="812" t="s">
        <v>2690</v>
      </c>
      <c r="I320" s="1734" t="s">
        <v>2315</v>
      </c>
    </row>
    <row r="321" spans="1:9" x14ac:dyDescent="0.2">
      <c r="A321" s="813" t="str">
        <f>'Part 1'!$L$17</f>
        <v>EZZZZ</v>
      </c>
      <c r="B321">
        <v>2017</v>
      </c>
      <c r="C321">
        <v>7</v>
      </c>
      <c r="D321">
        <v>1</v>
      </c>
      <c r="E321" s="277" t="s">
        <v>2310</v>
      </c>
      <c r="F321" s="1545">
        <f>'Main Validation'!Y25</f>
        <v>0</v>
      </c>
      <c r="G321" s="814">
        <f>'Main Validation'!O25</f>
        <v>0</v>
      </c>
      <c r="H321" s="812" t="s">
        <v>2691</v>
      </c>
      <c r="I321" s="1734" t="s">
        <v>2315</v>
      </c>
    </row>
    <row r="322" spans="1:9" x14ac:dyDescent="0.2">
      <c r="A322" s="813" t="str">
        <f>'Part 1'!$L$17</f>
        <v>EZZZZ</v>
      </c>
      <c r="B322">
        <v>2017</v>
      </c>
      <c r="C322">
        <v>8</v>
      </c>
      <c r="D322">
        <v>1</v>
      </c>
      <c r="E322" s="277" t="s">
        <v>2310</v>
      </c>
      <c r="F322" s="1545">
        <f>'Main Validation'!Y26</f>
        <v>0</v>
      </c>
      <c r="G322" s="814">
        <f>'Main Validation'!O26</f>
        <v>0</v>
      </c>
      <c r="H322" s="812" t="s">
        <v>2692</v>
      </c>
      <c r="I322" s="1734" t="s">
        <v>2315</v>
      </c>
    </row>
    <row r="323" spans="1:9" x14ac:dyDescent="0.2">
      <c r="A323" s="813" t="str">
        <f>'Part 1'!$L$17</f>
        <v>EZZZZ</v>
      </c>
      <c r="B323">
        <v>2017</v>
      </c>
      <c r="C323">
        <v>9</v>
      </c>
      <c r="D323">
        <v>1</v>
      </c>
      <c r="E323" s="277" t="s">
        <v>2310</v>
      </c>
      <c r="F323" s="1545">
        <f>'Main Validation'!Y27</f>
        <v>0</v>
      </c>
      <c r="G323" s="814">
        <f>'Main Validation'!O27</f>
        <v>0</v>
      </c>
      <c r="H323" s="812" t="s">
        <v>2693</v>
      </c>
      <c r="I323" s="1734" t="s">
        <v>2315</v>
      </c>
    </row>
    <row r="324" spans="1:9" x14ac:dyDescent="0.2">
      <c r="A324" s="813" t="str">
        <f>'Part 1'!$L$17</f>
        <v>EZZZZ</v>
      </c>
      <c r="B324">
        <v>2017</v>
      </c>
      <c r="C324">
        <v>10</v>
      </c>
      <c r="D324">
        <v>1</v>
      </c>
      <c r="E324" s="277" t="s">
        <v>2310</v>
      </c>
      <c r="F324" s="1545">
        <f>'Main Validation'!Y30</f>
        <v>0</v>
      </c>
      <c r="G324" s="814">
        <f>'Main Validation'!O30</f>
        <v>0</v>
      </c>
      <c r="H324" s="812" t="s">
        <v>2694</v>
      </c>
      <c r="I324" s="1734" t="s">
        <v>2315</v>
      </c>
    </row>
    <row r="325" spans="1:9" x14ac:dyDescent="0.2">
      <c r="A325" s="813" t="str">
        <f>'Part 1'!$L$17</f>
        <v>EZZZZ</v>
      </c>
      <c r="B325">
        <v>2017</v>
      </c>
      <c r="C325">
        <v>11</v>
      </c>
      <c r="D325">
        <v>1</v>
      </c>
      <c r="E325" s="277" t="s">
        <v>2310</v>
      </c>
      <c r="F325" s="1545">
        <f>'Main Validation'!Y31</f>
        <v>0</v>
      </c>
      <c r="G325" s="814">
        <f>'Main Validation'!O31</f>
        <v>0</v>
      </c>
      <c r="H325" s="812" t="s">
        <v>2695</v>
      </c>
      <c r="I325" s="1734" t="s">
        <v>2315</v>
      </c>
    </row>
    <row r="326" spans="1:9" x14ac:dyDescent="0.2">
      <c r="A326" s="813" t="str">
        <f>'Part 1'!$L$17</f>
        <v>EZZZZ</v>
      </c>
      <c r="B326">
        <v>2017</v>
      </c>
      <c r="C326">
        <v>12</v>
      </c>
      <c r="D326">
        <v>1</v>
      </c>
      <c r="E326" s="277" t="s">
        <v>2310</v>
      </c>
      <c r="F326" s="1545">
        <f>'Main Validation'!Y32</f>
        <v>0</v>
      </c>
      <c r="G326" s="814">
        <f>'Main Validation'!O32</f>
        <v>0</v>
      </c>
      <c r="H326" s="812" t="s">
        <v>2696</v>
      </c>
      <c r="I326" s="1734" t="s">
        <v>2315</v>
      </c>
    </row>
    <row r="327" spans="1:9" x14ac:dyDescent="0.2">
      <c r="A327" s="813" t="str">
        <f>'Part 1'!$L$17</f>
        <v>EZZZZ</v>
      </c>
      <c r="B327">
        <v>2017</v>
      </c>
      <c r="C327">
        <v>13</v>
      </c>
      <c r="D327">
        <v>1</v>
      </c>
      <c r="E327" s="277" t="s">
        <v>2310</v>
      </c>
      <c r="F327" s="1545">
        <f>'Main Validation'!Y33</f>
        <v>0</v>
      </c>
      <c r="G327" s="814">
        <f>'Main Validation'!O33</f>
        <v>0</v>
      </c>
      <c r="H327" s="812" t="s">
        <v>2697</v>
      </c>
      <c r="I327" s="1734" t="s">
        <v>2315</v>
      </c>
    </row>
    <row r="328" spans="1:9" x14ac:dyDescent="0.2">
      <c r="A328" s="813" t="str">
        <f>'Part 1'!$L$17</f>
        <v>EZZZZ</v>
      </c>
      <c r="B328">
        <v>2017</v>
      </c>
      <c r="C328">
        <v>14</v>
      </c>
      <c r="D328">
        <v>1</v>
      </c>
      <c r="E328" s="277" t="s">
        <v>2310</v>
      </c>
      <c r="F328" s="1545">
        <f>'Main Validation'!Y34</f>
        <v>0</v>
      </c>
      <c r="G328" s="814">
        <f>'Main Validation'!O34</f>
        <v>0</v>
      </c>
      <c r="H328" s="812" t="s">
        <v>2698</v>
      </c>
      <c r="I328" s="1734" t="s">
        <v>2315</v>
      </c>
    </row>
    <row r="329" spans="1:9" x14ac:dyDescent="0.2">
      <c r="A329" s="813" t="str">
        <f>'Part 1'!$L$17</f>
        <v>EZZZZ</v>
      </c>
      <c r="B329">
        <v>2017</v>
      </c>
      <c r="C329">
        <v>15</v>
      </c>
      <c r="D329">
        <v>1</v>
      </c>
      <c r="E329" s="277" t="s">
        <v>2310</v>
      </c>
      <c r="F329" s="1545">
        <f>'Main Validation'!Y35</f>
        <v>0</v>
      </c>
      <c r="G329" s="814">
        <f>'Main Validation'!O35</f>
        <v>0</v>
      </c>
      <c r="H329" s="812" t="s">
        <v>2699</v>
      </c>
      <c r="I329" s="1734" t="s">
        <v>2315</v>
      </c>
    </row>
    <row r="330" spans="1:9" x14ac:dyDescent="0.2">
      <c r="A330" s="813" t="str">
        <f>'Part 1'!$L$17</f>
        <v>EZZZZ</v>
      </c>
      <c r="B330">
        <v>2017</v>
      </c>
      <c r="C330">
        <v>16</v>
      </c>
      <c r="D330">
        <v>1</v>
      </c>
      <c r="E330" s="277" t="s">
        <v>2310</v>
      </c>
      <c r="F330" s="1545">
        <f>'Main Validation'!Y36</f>
        <v>0</v>
      </c>
      <c r="G330" s="814">
        <f>'Main Validation'!O36</f>
        <v>0</v>
      </c>
      <c r="H330" s="812" t="s">
        <v>2700</v>
      </c>
      <c r="I330" s="1734" t="s">
        <v>2315</v>
      </c>
    </row>
    <row r="331" spans="1:9" x14ac:dyDescent="0.2">
      <c r="A331" s="813" t="str">
        <f>'Part 1'!$L$17</f>
        <v>EZZZZ</v>
      </c>
      <c r="B331">
        <v>2017</v>
      </c>
      <c r="C331">
        <v>17</v>
      </c>
      <c r="D331">
        <v>1</v>
      </c>
      <c r="E331" s="277" t="s">
        <v>2310</v>
      </c>
      <c r="F331" s="1545">
        <f>'Main Validation'!Y37</f>
        <v>0</v>
      </c>
      <c r="G331" s="814">
        <f>'Main Validation'!O37</f>
        <v>0</v>
      </c>
      <c r="H331" s="812" t="s">
        <v>2701</v>
      </c>
      <c r="I331" s="1734" t="s">
        <v>2315</v>
      </c>
    </row>
    <row r="332" spans="1:9" x14ac:dyDescent="0.2">
      <c r="A332" s="813" t="str">
        <f>'Part 1'!$L$17</f>
        <v>EZZZZ</v>
      </c>
      <c r="B332">
        <v>2017</v>
      </c>
      <c r="C332">
        <v>18</v>
      </c>
      <c r="D332">
        <v>1</v>
      </c>
      <c r="E332" s="277" t="s">
        <v>2310</v>
      </c>
      <c r="F332" s="1545">
        <f>'Main Validation'!Y38</f>
        <v>0</v>
      </c>
      <c r="G332" s="814">
        <f>'Main Validation'!O38</f>
        <v>0</v>
      </c>
      <c r="H332" s="812" t="s">
        <v>2702</v>
      </c>
      <c r="I332" s="1734" t="s">
        <v>2315</v>
      </c>
    </row>
    <row r="333" spans="1:9" x14ac:dyDescent="0.2">
      <c r="A333" s="813" t="str">
        <f>'Part 1'!$L$17</f>
        <v>EZZZZ</v>
      </c>
      <c r="B333">
        <v>2017</v>
      </c>
      <c r="C333">
        <v>19</v>
      </c>
      <c r="D333">
        <v>1</v>
      </c>
      <c r="E333" s="277" t="s">
        <v>2310</v>
      </c>
      <c r="F333" s="1545">
        <f>'Main Validation'!Y39</f>
        <v>0</v>
      </c>
      <c r="G333" s="814">
        <f>'Main Validation'!O39</f>
        <v>0</v>
      </c>
      <c r="H333" s="812" t="s">
        <v>2703</v>
      </c>
      <c r="I333" s="1734" t="s">
        <v>2315</v>
      </c>
    </row>
    <row r="334" spans="1:9" x14ac:dyDescent="0.2">
      <c r="A334" s="813" t="str">
        <f>'Part 1'!$L$17</f>
        <v>EZZZZ</v>
      </c>
      <c r="B334">
        <v>2017</v>
      </c>
      <c r="C334">
        <v>20</v>
      </c>
      <c r="D334">
        <v>1</v>
      </c>
      <c r="E334" s="277" t="s">
        <v>2310</v>
      </c>
      <c r="F334" s="1545" t="e">
        <f>'Main Validation'!Y41</f>
        <v>#N/A</v>
      </c>
      <c r="G334" s="814">
        <f>'Main Validation'!O41</f>
        <v>0</v>
      </c>
      <c r="H334" s="812" t="s">
        <v>2704</v>
      </c>
      <c r="I334" s="1734" t="s">
        <v>2315</v>
      </c>
    </row>
    <row r="335" spans="1:9" x14ac:dyDescent="0.2">
      <c r="A335" s="813" t="str">
        <f>'Part 1'!$L$17</f>
        <v>EZZZZ</v>
      </c>
      <c r="B335">
        <v>2017</v>
      </c>
      <c r="C335">
        <v>21</v>
      </c>
      <c r="D335">
        <v>1</v>
      </c>
      <c r="E335" s="277" t="s">
        <v>2310</v>
      </c>
      <c r="F335" s="1545">
        <f>'Main Validation'!Y44</f>
        <v>0</v>
      </c>
      <c r="G335" s="814">
        <f>'Main Validation'!O44</f>
        <v>0</v>
      </c>
      <c r="H335" s="812" t="s">
        <v>2705</v>
      </c>
      <c r="I335" s="1734" t="s">
        <v>2315</v>
      </c>
    </row>
    <row r="336" spans="1:9" x14ac:dyDescent="0.2">
      <c r="A336" s="813" t="str">
        <f>'Part 1'!$L$17</f>
        <v>EZZZZ</v>
      </c>
      <c r="B336">
        <v>2017</v>
      </c>
      <c r="C336">
        <v>22</v>
      </c>
      <c r="D336">
        <v>1</v>
      </c>
      <c r="E336" s="277" t="s">
        <v>2310</v>
      </c>
      <c r="F336" s="1545">
        <f>'Main Validation'!Y45</f>
        <v>1</v>
      </c>
      <c r="G336" s="814">
        <f>'Main Validation'!O45</f>
        <v>0</v>
      </c>
      <c r="H336" s="812" t="s">
        <v>2706</v>
      </c>
      <c r="I336" s="1734" t="s">
        <v>2315</v>
      </c>
    </row>
    <row r="337" spans="1:9" x14ac:dyDescent="0.2">
      <c r="A337" s="813" t="str">
        <f>'Part 1'!$L$17</f>
        <v>EZZZZ</v>
      </c>
      <c r="B337">
        <v>2017</v>
      </c>
      <c r="C337">
        <v>23</v>
      </c>
      <c r="D337">
        <v>1</v>
      </c>
      <c r="E337" s="277" t="s">
        <v>2310</v>
      </c>
      <c r="F337" s="1545" t="e">
        <f>'Supplementary Validation'!Y18</f>
        <v>#N/A</v>
      </c>
      <c r="G337" s="814">
        <f>'Supplementary Validation'!O18</f>
        <v>0</v>
      </c>
      <c r="H337" s="812" t="s">
        <v>2707</v>
      </c>
      <c r="I337" s="1734" t="s">
        <v>2315</v>
      </c>
    </row>
    <row r="338" spans="1:9" x14ac:dyDescent="0.2">
      <c r="A338" s="813" t="str">
        <f>'Part 1'!$L$17</f>
        <v>EZZZZ</v>
      </c>
      <c r="B338">
        <v>2017</v>
      </c>
      <c r="C338">
        <v>24</v>
      </c>
      <c r="D338">
        <v>1</v>
      </c>
      <c r="E338" s="277" t="s">
        <v>2310</v>
      </c>
      <c r="F338" s="1545" t="e">
        <f>'Supplementary Validation'!Y19</f>
        <v>#N/A</v>
      </c>
      <c r="G338" s="814">
        <f>'Supplementary Validation'!O19</f>
        <v>0</v>
      </c>
      <c r="H338" s="812" t="s">
        <v>2708</v>
      </c>
      <c r="I338" s="1734" t="s">
        <v>2315</v>
      </c>
    </row>
    <row r="339" spans="1:9" x14ac:dyDescent="0.2">
      <c r="A339" s="813" t="str">
        <f>'Part 1'!$L$17</f>
        <v>EZZZZ</v>
      </c>
      <c r="B339">
        <v>2017</v>
      </c>
      <c r="C339">
        <v>25</v>
      </c>
      <c r="D339">
        <v>1</v>
      </c>
      <c r="E339" s="277" t="s">
        <v>2310</v>
      </c>
      <c r="F339" s="1545" t="e">
        <f>'Supplementary Validation'!Y20</f>
        <v>#N/A</v>
      </c>
      <c r="G339" s="814">
        <f>'Supplementary Validation'!O20</f>
        <v>0</v>
      </c>
      <c r="H339" s="812" t="s">
        <v>2709</v>
      </c>
      <c r="I339" s="1734" t="s">
        <v>2315</v>
      </c>
    </row>
    <row r="340" spans="1:9" x14ac:dyDescent="0.2">
      <c r="A340" s="813" t="str">
        <f>'Part 1'!$L$17</f>
        <v>EZZZZ</v>
      </c>
      <c r="B340">
        <v>2017</v>
      </c>
      <c r="C340">
        <v>26</v>
      </c>
      <c r="D340">
        <v>1</v>
      </c>
      <c r="E340" s="277" t="s">
        <v>2310</v>
      </c>
      <c r="F340" s="1545" t="e">
        <f>'Supplementary Validation'!Y21</f>
        <v>#N/A</v>
      </c>
      <c r="G340" s="814">
        <f>'Supplementary Validation'!O21</f>
        <v>0</v>
      </c>
      <c r="H340" s="812" t="s">
        <v>2710</v>
      </c>
      <c r="I340" s="1734" t="s">
        <v>2315</v>
      </c>
    </row>
    <row r="341" spans="1:9" x14ac:dyDescent="0.2">
      <c r="A341" s="813" t="str">
        <f>'Part 1'!$L$17</f>
        <v>EZZZZ</v>
      </c>
      <c r="B341">
        <v>2017</v>
      </c>
      <c r="C341">
        <v>27</v>
      </c>
      <c r="D341">
        <v>1</v>
      </c>
      <c r="E341" s="277" t="s">
        <v>2310</v>
      </c>
      <c r="F341" s="1545" t="e">
        <f>'Supplementary Validation'!Y22</f>
        <v>#N/A</v>
      </c>
      <c r="G341" s="814">
        <f>'Supplementary Validation'!O22</f>
        <v>0</v>
      </c>
      <c r="H341" s="812" t="s">
        <v>2711</v>
      </c>
      <c r="I341" s="1734" t="s">
        <v>2315</v>
      </c>
    </row>
    <row r="342" spans="1:9" x14ac:dyDescent="0.2">
      <c r="A342" s="813" t="str">
        <f>'Part 1'!$L$17</f>
        <v>EZZZZ</v>
      </c>
      <c r="B342">
        <v>2017</v>
      </c>
      <c r="C342">
        <v>28</v>
      </c>
      <c r="D342">
        <v>1</v>
      </c>
      <c r="E342" s="277" t="s">
        <v>2310</v>
      </c>
      <c r="F342" s="1545" t="e">
        <f>'Supplementary Validation'!Y25</f>
        <v>#N/A</v>
      </c>
      <c r="G342" s="814">
        <f>'Supplementary Validation'!O25</f>
        <v>0</v>
      </c>
      <c r="H342" s="812" t="s">
        <v>2712</v>
      </c>
      <c r="I342" s="1734" t="s">
        <v>2315</v>
      </c>
    </row>
    <row r="343" spans="1:9" x14ac:dyDescent="0.2">
      <c r="A343" s="813" t="str">
        <f>'Part 1'!$L$17</f>
        <v>EZZZZ</v>
      </c>
      <c r="B343">
        <v>2017</v>
      </c>
      <c r="C343">
        <v>29</v>
      </c>
      <c r="D343">
        <v>1</v>
      </c>
      <c r="E343" s="277" t="s">
        <v>2310</v>
      </c>
      <c r="F343" s="1545" t="e">
        <f>'Supplementary Validation'!Y26</f>
        <v>#N/A</v>
      </c>
      <c r="G343" s="814">
        <f>'Supplementary Validation'!O26</f>
        <v>0</v>
      </c>
      <c r="H343" s="812" t="s">
        <v>2713</v>
      </c>
      <c r="I343" s="1734" t="s">
        <v>2315</v>
      </c>
    </row>
    <row r="344" spans="1:9" x14ac:dyDescent="0.2">
      <c r="A344" s="813" t="str">
        <f>'Part 1'!$L$17</f>
        <v>EZZZZ</v>
      </c>
      <c r="B344">
        <v>2017</v>
      </c>
      <c r="C344">
        <v>30</v>
      </c>
      <c r="D344">
        <v>1</v>
      </c>
      <c r="E344" s="277" t="s">
        <v>2310</v>
      </c>
      <c r="F344" s="1545" t="e">
        <f>'Supplementary Validation'!Y27</f>
        <v>#N/A</v>
      </c>
      <c r="G344" s="814">
        <f>'Supplementary Validation'!O27</f>
        <v>0</v>
      </c>
      <c r="H344" s="812" t="s">
        <v>2714</v>
      </c>
      <c r="I344" s="1734" t="s">
        <v>2315</v>
      </c>
    </row>
    <row r="345" spans="1:9" x14ac:dyDescent="0.2">
      <c r="A345" s="813" t="str">
        <f>'Part 1'!$L$17</f>
        <v>EZZZZ</v>
      </c>
      <c r="B345">
        <v>2017</v>
      </c>
      <c r="C345">
        <v>31</v>
      </c>
      <c r="D345">
        <v>1</v>
      </c>
      <c r="E345" s="277" t="s">
        <v>2310</v>
      </c>
      <c r="F345" s="1545" t="e">
        <f>'Supplementary Validation'!Y28</f>
        <v>#N/A</v>
      </c>
      <c r="G345" s="814">
        <f>'Supplementary Validation'!O28</f>
        <v>0</v>
      </c>
      <c r="H345" s="812" t="s">
        <v>2715</v>
      </c>
      <c r="I345" s="1734" t="s">
        <v>2315</v>
      </c>
    </row>
    <row r="346" spans="1:9" x14ac:dyDescent="0.2">
      <c r="A346" s="813" t="str">
        <f>'Part 1'!$L$17</f>
        <v>EZZZZ</v>
      </c>
      <c r="B346">
        <v>2017</v>
      </c>
      <c r="C346">
        <v>32</v>
      </c>
      <c r="D346">
        <v>1</v>
      </c>
      <c r="E346" s="277" t="s">
        <v>2310</v>
      </c>
      <c r="F346" s="1545" t="e">
        <f>'Supplementary Validation'!Y29</f>
        <v>#N/A</v>
      </c>
      <c r="G346" s="814">
        <f>'Supplementary Validation'!O29</f>
        <v>0</v>
      </c>
      <c r="H346" s="812" t="s">
        <v>2716</v>
      </c>
      <c r="I346" s="1734" t="s">
        <v>2315</v>
      </c>
    </row>
    <row r="347" spans="1:9" x14ac:dyDescent="0.2">
      <c r="A347" s="813" t="str">
        <f>'Part 1'!$L$17</f>
        <v>EZZZZ</v>
      </c>
      <c r="B347">
        <v>2017</v>
      </c>
      <c r="C347">
        <v>33</v>
      </c>
      <c r="D347">
        <v>1</v>
      </c>
      <c r="E347" s="277" t="s">
        <v>2310</v>
      </c>
      <c r="F347" s="1545" t="e">
        <f>'Supplementary Validation'!Y30</f>
        <v>#N/A</v>
      </c>
      <c r="G347" s="814">
        <f>'Supplementary Validation'!O30</f>
        <v>0</v>
      </c>
      <c r="H347" s="812" t="s">
        <v>2717</v>
      </c>
      <c r="I347" s="1734" t="s">
        <v>2315</v>
      </c>
    </row>
    <row r="348" spans="1:9" x14ac:dyDescent="0.2">
      <c r="A348" s="813" t="str">
        <f>'Part 1'!$L$17</f>
        <v>EZZZZ</v>
      </c>
      <c r="B348">
        <v>2017</v>
      </c>
      <c r="C348">
        <v>34</v>
      </c>
      <c r="D348">
        <v>1</v>
      </c>
      <c r="E348" s="277" t="s">
        <v>2310</v>
      </c>
      <c r="F348" s="1545" t="e">
        <f>'Supplementary Validation'!Y31</f>
        <v>#N/A</v>
      </c>
      <c r="G348" s="814">
        <f>'Supplementary Validation'!O31</f>
        <v>0</v>
      </c>
      <c r="H348" s="812" t="s">
        <v>2718</v>
      </c>
      <c r="I348" s="1734" t="s">
        <v>2315</v>
      </c>
    </row>
    <row r="349" spans="1:9" x14ac:dyDescent="0.2">
      <c r="A349" s="813" t="str">
        <f>'Part 1'!$L$17</f>
        <v>EZZZZ</v>
      </c>
      <c r="B349">
        <v>2017</v>
      </c>
      <c r="C349">
        <v>35</v>
      </c>
      <c r="D349">
        <v>1</v>
      </c>
      <c r="E349" s="277" t="s">
        <v>2310</v>
      </c>
      <c r="F349" s="1545" t="e">
        <f>'Supplementary Validation'!Y32</f>
        <v>#N/A</v>
      </c>
      <c r="G349" s="814">
        <f>'Supplementary Validation'!O32</f>
        <v>0</v>
      </c>
      <c r="H349" s="812" t="s">
        <v>2719</v>
      </c>
      <c r="I349" s="1734" t="s">
        <v>2315</v>
      </c>
    </row>
    <row r="350" spans="1:9" x14ac:dyDescent="0.2">
      <c r="A350" s="813" t="str">
        <f>'Part 1'!$L$17</f>
        <v>EZZZZ</v>
      </c>
      <c r="B350">
        <v>2017</v>
      </c>
      <c r="C350">
        <v>36</v>
      </c>
      <c r="D350">
        <v>1</v>
      </c>
      <c r="E350" s="277" t="s">
        <v>2310</v>
      </c>
      <c r="F350" s="1545" t="e">
        <f>'Supplementary Validation'!Y33</f>
        <v>#N/A</v>
      </c>
      <c r="G350" s="814">
        <f>'Supplementary Validation'!O33</f>
        <v>0</v>
      </c>
      <c r="H350" s="812" t="s">
        <v>2720</v>
      </c>
      <c r="I350" s="1734" t="s">
        <v>2315</v>
      </c>
    </row>
    <row r="351" spans="1:9" x14ac:dyDescent="0.2">
      <c r="A351" s="813" t="str">
        <f>'Part 1'!$L$17</f>
        <v>EZZZZ</v>
      </c>
      <c r="B351">
        <v>2017</v>
      </c>
      <c r="C351">
        <v>37</v>
      </c>
      <c r="D351">
        <v>1</v>
      </c>
      <c r="E351" s="277" t="s">
        <v>2310</v>
      </c>
      <c r="F351" s="1545" t="e">
        <f>'Supplementary Validation'!Y34</f>
        <v>#N/A</v>
      </c>
      <c r="G351" s="814">
        <f>'Supplementary Validation'!O34</f>
        <v>0</v>
      </c>
      <c r="H351" s="812" t="s">
        <v>2721</v>
      </c>
      <c r="I351" s="1734" t="s">
        <v>2315</v>
      </c>
    </row>
    <row r="352" spans="1:9" x14ac:dyDescent="0.2">
      <c r="A352" s="813" t="str">
        <f>'Part 1'!$L$17</f>
        <v>EZZZZ</v>
      </c>
      <c r="B352">
        <v>2017</v>
      </c>
      <c r="C352">
        <v>38</v>
      </c>
      <c r="D352">
        <v>1</v>
      </c>
      <c r="E352" s="277" t="s">
        <v>2310</v>
      </c>
      <c r="F352" s="1545">
        <f>'Supplementary Validation'!Y35</f>
        <v>1</v>
      </c>
      <c r="G352" s="814" t="str">
        <f>'Supplementary Validation'!O35</f>
        <v>No comparable data to test against</v>
      </c>
      <c r="H352" s="812" t="s">
        <v>2722</v>
      </c>
      <c r="I352" s="1734" t="s">
        <v>2315</v>
      </c>
    </row>
    <row r="353" spans="1:9" x14ac:dyDescent="0.2">
      <c r="A353" s="813" t="str">
        <f>'Part 1'!$L$17</f>
        <v>EZZZZ</v>
      </c>
      <c r="B353">
        <v>2017</v>
      </c>
      <c r="C353">
        <v>39</v>
      </c>
      <c r="D353">
        <v>1</v>
      </c>
      <c r="E353" s="277" t="s">
        <v>2310</v>
      </c>
      <c r="F353" s="1545">
        <f>'Supplementary Validation'!Y36</f>
        <v>1</v>
      </c>
      <c r="G353" s="814" t="str">
        <f>'Supplementary Validation'!O36</f>
        <v>No comparable data to test against</v>
      </c>
      <c r="H353" s="812" t="s">
        <v>2723</v>
      </c>
      <c r="I353" s="1734" t="s">
        <v>2315</v>
      </c>
    </row>
    <row r="354" spans="1:9" x14ac:dyDescent="0.2">
      <c r="A354" s="813" t="str">
        <f>'Part 1'!$L$17</f>
        <v>EZZZZ</v>
      </c>
      <c r="B354">
        <v>2017</v>
      </c>
      <c r="C354">
        <v>40</v>
      </c>
      <c r="D354">
        <v>1</v>
      </c>
      <c r="E354" s="277" t="s">
        <v>2310</v>
      </c>
      <c r="F354" s="1545" t="e">
        <f>'Supplementary Validation'!Y39</f>
        <v>#N/A</v>
      </c>
      <c r="G354" s="814">
        <f>'Supplementary Validation'!O39</f>
        <v>0</v>
      </c>
      <c r="H354" s="812" t="s">
        <v>2724</v>
      </c>
      <c r="I354" s="1734" t="s">
        <v>2315</v>
      </c>
    </row>
    <row r="355" spans="1:9" x14ac:dyDescent="0.2">
      <c r="A355" s="813" t="str">
        <f>'Part 1'!$L$17</f>
        <v>EZZZZ</v>
      </c>
      <c r="B355">
        <v>2017</v>
      </c>
      <c r="C355">
        <v>41</v>
      </c>
      <c r="D355">
        <v>1</v>
      </c>
      <c r="E355" s="277" t="s">
        <v>2310</v>
      </c>
      <c r="F355" s="1843">
        <f>'CHECK P1'!AQ25</f>
        <v>0</v>
      </c>
      <c r="G355" s="814"/>
      <c r="H355" s="812" t="s">
        <v>2725</v>
      </c>
      <c r="I355" s="1734" t="s">
        <v>2315</v>
      </c>
    </row>
    <row r="356" spans="1:9" x14ac:dyDescent="0.2">
      <c r="A356" s="813" t="str">
        <f>'Part 1'!$L$17</f>
        <v>EZZZZ</v>
      </c>
      <c r="B356">
        <v>2017</v>
      </c>
      <c r="C356">
        <v>42</v>
      </c>
      <c r="D356">
        <v>1</v>
      </c>
      <c r="E356" s="277" t="s">
        <v>2310</v>
      </c>
      <c r="F356" s="1844">
        <f>'CHECK P1'!AQ31</f>
        <v>0</v>
      </c>
      <c r="G356" s="814"/>
      <c r="H356" s="812" t="s">
        <v>2726</v>
      </c>
      <c r="I356" s="1734" t="s">
        <v>2315</v>
      </c>
    </row>
    <row r="357" spans="1:9" x14ac:dyDescent="0.2">
      <c r="A357" s="813" t="str">
        <f>'Part 1'!$L$17</f>
        <v>EZZZZ</v>
      </c>
      <c r="B357">
        <v>2017</v>
      </c>
      <c r="C357">
        <v>43</v>
      </c>
      <c r="D357">
        <v>1</v>
      </c>
      <c r="E357" s="277" t="s">
        <v>2310</v>
      </c>
      <c r="F357" s="1843">
        <f>'CHECK P1'!AQ33</f>
        <v>0</v>
      </c>
      <c r="G357" s="814"/>
      <c r="H357" s="812" t="s">
        <v>2727</v>
      </c>
      <c r="I357" s="1734" t="s">
        <v>2315</v>
      </c>
    </row>
    <row r="358" spans="1:9" x14ac:dyDescent="0.2">
      <c r="A358" s="813" t="str">
        <f>'Part 1'!$L$17</f>
        <v>EZZZZ</v>
      </c>
      <c r="B358">
        <v>2017</v>
      </c>
      <c r="C358">
        <v>44</v>
      </c>
      <c r="D358">
        <v>1</v>
      </c>
      <c r="E358" s="277" t="s">
        <v>2310</v>
      </c>
      <c r="F358" s="1844" t="e">
        <f>'CHECK P1'!AQ36</f>
        <v>#N/A</v>
      </c>
      <c r="G358" s="814"/>
      <c r="H358" s="812" t="s">
        <v>2728</v>
      </c>
      <c r="I358" s="1734" t="s">
        <v>2315</v>
      </c>
    </row>
    <row r="359" spans="1:9" x14ac:dyDescent="0.2">
      <c r="A359" s="813" t="str">
        <f>'Part 1'!$L$17</f>
        <v>EZZZZ</v>
      </c>
      <c r="B359">
        <v>2017</v>
      </c>
      <c r="C359">
        <v>45</v>
      </c>
      <c r="D359">
        <v>1</v>
      </c>
      <c r="E359" s="277" t="s">
        <v>2310</v>
      </c>
      <c r="F359" s="1843">
        <f>'CHECK P1'!AQ38</f>
        <v>0</v>
      </c>
      <c r="G359" s="814"/>
      <c r="H359" s="812" t="s">
        <v>2729</v>
      </c>
      <c r="I359" s="1734" t="s">
        <v>2315</v>
      </c>
    </row>
    <row r="360" spans="1:9" x14ac:dyDescent="0.2">
      <c r="A360" s="813" t="str">
        <f>'Part 1'!$L$17</f>
        <v>EZZZZ</v>
      </c>
      <c r="B360">
        <v>2017</v>
      </c>
      <c r="C360">
        <v>46</v>
      </c>
      <c r="D360">
        <v>1</v>
      </c>
      <c r="E360" s="277" t="s">
        <v>2310</v>
      </c>
      <c r="F360" s="1844" t="e">
        <f>'CHECK P1'!AQ40</f>
        <v>#N/A</v>
      </c>
      <c r="G360" s="814"/>
      <c r="H360" s="812" t="s">
        <v>2730</v>
      </c>
      <c r="I360" s="1734" t="s">
        <v>2315</v>
      </c>
    </row>
    <row r="361" spans="1:9" x14ac:dyDescent="0.2">
      <c r="A361" s="813" t="str">
        <f>'Part 1'!$L$17</f>
        <v>EZZZZ</v>
      </c>
      <c r="B361">
        <v>2017</v>
      </c>
      <c r="C361">
        <v>47</v>
      </c>
      <c r="D361">
        <v>1</v>
      </c>
      <c r="E361" s="277" t="s">
        <v>2310</v>
      </c>
      <c r="F361" s="1843">
        <f>'CHECK P1'!AQ43</f>
        <v>0</v>
      </c>
      <c r="G361" s="814"/>
      <c r="H361" s="812" t="s">
        <v>2731</v>
      </c>
      <c r="I361" s="1734" t="s">
        <v>2315</v>
      </c>
    </row>
    <row r="362" spans="1:9" x14ac:dyDescent="0.2">
      <c r="A362" s="813" t="str">
        <f>'Part 1'!$L$17</f>
        <v>EZZZZ</v>
      </c>
      <c r="B362">
        <v>2017</v>
      </c>
      <c r="C362">
        <v>48</v>
      </c>
      <c r="D362">
        <v>1</v>
      </c>
      <c r="E362" s="277" t="s">
        <v>2310</v>
      </c>
      <c r="F362" s="1844">
        <f>'CHECK P1'!AQ46</f>
        <v>0</v>
      </c>
      <c r="G362" s="814"/>
      <c r="H362" s="812" t="s">
        <v>2732</v>
      </c>
      <c r="I362" s="1734" t="s">
        <v>2315</v>
      </c>
    </row>
    <row r="363" spans="1:9" x14ac:dyDescent="0.2">
      <c r="A363" s="813" t="str">
        <f>'Part 1'!$L$17</f>
        <v>EZZZZ</v>
      </c>
      <c r="B363">
        <v>2017</v>
      </c>
      <c r="C363">
        <v>49</v>
      </c>
      <c r="D363">
        <v>1</v>
      </c>
      <c r="E363" s="277" t="s">
        <v>2310</v>
      </c>
      <c r="F363" s="1843">
        <f>'CHECK P1'!AQ48</f>
        <v>0</v>
      </c>
      <c r="G363" s="814"/>
      <c r="H363" s="812" t="s">
        <v>2733</v>
      </c>
      <c r="I363" s="1734" t="s">
        <v>2315</v>
      </c>
    </row>
    <row r="364" spans="1:9" x14ac:dyDescent="0.2">
      <c r="A364" s="813" t="str">
        <f>'Part 1'!$L$17</f>
        <v>EZZZZ</v>
      </c>
      <c r="B364">
        <v>2017</v>
      </c>
      <c r="C364">
        <v>50</v>
      </c>
      <c r="D364">
        <v>1</v>
      </c>
      <c r="E364" s="277" t="s">
        <v>2310</v>
      </c>
      <c r="F364" s="1844">
        <f>'CHECK P1'!AQ51</f>
        <v>0</v>
      </c>
      <c r="G364" s="814"/>
      <c r="H364" s="812" t="s">
        <v>2734</v>
      </c>
      <c r="I364" s="1734" t="s">
        <v>2315</v>
      </c>
    </row>
    <row r="365" spans="1:9" x14ac:dyDescent="0.2">
      <c r="A365" s="813" t="str">
        <f>'Part 1'!$L$17</f>
        <v>EZZZZ</v>
      </c>
      <c r="B365">
        <v>2017</v>
      </c>
      <c r="C365">
        <v>51</v>
      </c>
      <c r="D365">
        <v>1</v>
      </c>
      <c r="E365" s="277" t="s">
        <v>2310</v>
      </c>
      <c r="F365" s="1843">
        <f>'CHECK P1'!AQ53</f>
        <v>0</v>
      </c>
      <c r="G365" s="814"/>
      <c r="H365" s="812" t="s">
        <v>2735</v>
      </c>
      <c r="I365" s="1734" t="s">
        <v>2315</v>
      </c>
    </row>
    <row r="366" spans="1:9" x14ac:dyDescent="0.2">
      <c r="A366" s="813" t="str">
        <f>'Part 1'!$L$17</f>
        <v>EZZZZ</v>
      </c>
      <c r="B366">
        <v>2017</v>
      </c>
      <c r="C366">
        <v>52</v>
      </c>
      <c r="D366">
        <v>1</v>
      </c>
      <c r="E366" s="277" t="s">
        <v>2310</v>
      </c>
      <c r="F366" s="1844" t="e">
        <f>'CHECK P1'!AQ56</f>
        <v>#N/A</v>
      </c>
      <c r="G366" s="814"/>
      <c r="H366" s="812" t="s">
        <v>2736</v>
      </c>
      <c r="I366" s="1734" t="s">
        <v>2315</v>
      </c>
    </row>
    <row r="367" spans="1:9" x14ac:dyDescent="0.2">
      <c r="A367" s="813" t="str">
        <f>'Part 1'!$L$17</f>
        <v>EZZZZ</v>
      </c>
      <c r="B367">
        <v>2017</v>
      </c>
      <c r="C367">
        <v>53</v>
      </c>
      <c r="D367">
        <v>1</v>
      </c>
      <c r="E367" s="277" t="s">
        <v>2310</v>
      </c>
      <c r="F367" s="1843">
        <f>'CHECK P1'!AQ92</f>
        <v>0</v>
      </c>
      <c r="G367" s="814"/>
      <c r="H367" s="812" t="s">
        <v>2737</v>
      </c>
      <c r="I367" s="1734" t="s">
        <v>2315</v>
      </c>
    </row>
    <row r="368" spans="1:9" x14ac:dyDescent="0.2">
      <c r="A368" s="813" t="str">
        <f>'Part 1'!$L$17</f>
        <v>EZZZZ</v>
      </c>
      <c r="B368">
        <v>2017</v>
      </c>
      <c r="C368">
        <v>54</v>
      </c>
      <c r="D368">
        <v>1</v>
      </c>
      <c r="E368" s="277" t="s">
        <v>2310</v>
      </c>
      <c r="F368" s="1843" t="e">
        <f>'CHECK P1'!AQ96</f>
        <v>#N/A</v>
      </c>
      <c r="G368" s="814"/>
      <c r="H368" s="812" t="s">
        <v>2738</v>
      </c>
      <c r="I368" s="1734" t="s">
        <v>2315</v>
      </c>
    </row>
    <row r="369" spans="1:9" x14ac:dyDescent="0.2">
      <c r="A369" s="813" t="str">
        <f>'Part 1'!$L$17</f>
        <v>EZZZZ</v>
      </c>
      <c r="B369">
        <v>2017</v>
      </c>
      <c r="C369">
        <v>55</v>
      </c>
      <c r="D369">
        <v>1</v>
      </c>
      <c r="E369" s="277" t="s">
        <v>2310</v>
      </c>
      <c r="F369" s="1843">
        <f>'CHECK P1'!AQ99</f>
        <v>0</v>
      </c>
      <c r="G369" s="814"/>
      <c r="H369" s="812" t="s">
        <v>2739</v>
      </c>
      <c r="I369" s="1734" t="s">
        <v>2315</v>
      </c>
    </row>
    <row r="370" spans="1:9" x14ac:dyDescent="0.2">
      <c r="A370" s="813" t="str">
        <f>'Part 1'!$L$17</f>
        <v>EZZZZ</v>
      </c>
      <c r="B370">
        <v>2017</v>
      </c>
      <c r="C370">
        <v>56</v>
      </c>
      <c r="D370">
        <v>1</v>
      </c>
      <c r="E370" s="277" t="s">
        <v>2310</v>
      </c>
      <c r="F370" s="1843" t="e">
        <f>'CHECK P1'!AQ101</f>
        <v>#N/A</v>
      </c>
      <c r="G370" s="814"/>
      <c r="H370" s="812" t="s">
        <v>2740</v>
      </c>
      <c r="I370" s="1734" t="s">
        <v>2315</v>
      </c>
    </row>
    <row r="371" spans="1:9" x14ac:dyDescent="0.2">
      <c r="A371" s="813" t="str">
        <f>'Part 1'!$L$17</f>
        <v>EZZZZ</v>
      </c>
      <c r="B371">
        <v>2017</v>
      </c>
      <c r="C371">
        <v>57</v>
      </c>
      <c r="D371">
        <v>1</v>
      </c>
      <c r="E371" s="277" t="s">
        <v>2310</v>
      </c>
      <c r="F371" s="1843" t="e">
        <f>'CHECK P1'!AQ104</f>
        <v>#N/A</v>
      </c>
      <c r="G371" s="814"/>
      <c r="H371" s="812" t="s">
        <v>2741</v>
      </c>
      <c r="I371" s="1734" t="s">
        <v>2315</v>
      </c>
    </row>
    <row r="372" spans="1:9" x14ac:dyDescent="0.2">
      <c r="A372" s="813" t="str">
        <f>'Part 1'!$L$17</f>
        <v>EZZZZ</v>
      </c>
      <c r="B372">
        <v>2017</v>
      </c>
      <c r="C372">
        <v>58</v>
      </c>
      <c r="D372">
        <v>1</v>
      </c>
      <c r="E372" s="277" t="s">
        <v>2310</v>
      </c>
      <c r="F372" s="1843">
        <f>'CHECK P1'!AQ106</f>
        <v>0</v>
      </c>
      <c r="G372" s="814"/>
      <c r="H372" s="812" t="s">
        <v>2742</v>
      </c>
      <c r="I372" s="1734" t="s">
        <v>2315</v>
      </c>
    </row>
    <row r="373" spans="1:9" x14ac:dyDescent="0.2">
      <c r="A373" s="813" t="str">
        <f>'Part 1'!$L$17</f>
        <v>EZZZZ</v>
      </c>
      <c r="B373">
        <v>2017</v>
      </c>
      <c r="C373">
        <v>59</v>
      </c>
      <c r="D373">
        <v>1</v>
      </c>
      <c r="E373" s="277" t="s">
        <v>2310</v>
      </c>
      <c r="F373" s="1843">
        <f>'CHECK P1'!AQ108</f>
        <v>0</v>
      </c>
      <c r="G373" s="814"/>
      <c r="H373" s="812" t="s">
        <v>2743</v>
      </c>
      <c r="I373" s="1734" t="s">
        <v>2315</v>
      </c>
    </row>
    <row r="374" spans="1:9" x14ac:dyDescent="0.2">
      <c r="A374" s="813" t="str">
        <f>'Part 1'!$L$17</f>
        <v>EZZZZ</v>
      </c>
      <c r="B374">
        <v>2017</v>
      </c>
      <c r="C374">
        <v>60</v>
      </c>
      <c r="D374">
        <v>1</v>
      </c>
      <c r="E374" s="277" t="s">
        <v>2310</v>
      </c>
      <c r="F374" s="1843">
        <f>'CHECK P1'!AQ110</f>
        <v>0</v>
      </c>
      <c r="G374" s="814"/>
      <c r="H374" s="812" t="s">
        <v>2744</v>
      </c>
      <c r="I374" s="1734" t="s">
        <v>2315</v>
      </c>
    </row>
    <row r="375" spans="1:9" x14ac:dyDescent="0.2">
      <c r="A375" s="813" t="str">
        <f>'Part 1'!$L$17</f>
        <v>EZZZZ</v>
      </c>
      <c r="B375">
        <v>2017</v>
      </c>
      <c r="C375">
        <v>61</v>
      </c>
      <c r="D375">
        <v>1</v>
      </c>
      <c r="E375" s="277" t="s">
        <v>2310</v>
      </c>
      <c r="F375" s="1843">
        <f>'CHECK P1'!AQ112</f>
        <v>0</v>
      </c>
      <c r="G375" s="814"/>
      <c r="H375" s="812" t="s">
        <v>2745</v>
      </c>
      <c r="I375" s="1734" t="s">
        <v>2315</v>
      </c>
    </row>
    <row r="376" spans="1:9" x14ac:dyDescent="0.2">
      <c r="A376" s="813" t="str">
        <f>'Part 1'!$L$17</f>
        <v>EZZZZ</v>
      </c>
      <c r="B376">
        <v>2017</v>
      </c>
      <c r="C376">
        <v>62</v>
      </c>
      <c r="D376">
        <v>1</v>
      </c>
      <c r="E376" s="277" t="s">
        <v>2310</v>
      </c>
      <c r="F376" s="1843">
        <f>'CHECK P1'!AQ114</f>
        <v>0</v>
      </c>
      <c r="G376" s="814"/>
      <c r="H376" s="812" t="s">
        <v>2746</v>
      </c>
      <c r="I376" s="1734" t="s">
        <v>2315</v>
      </c>
    </row>
    <row r="377" spans="1:9" x14ac:dyDescent="0.2">
      <c r="A377" s="813" t="str">
        <f>'Part 1'!$L$17</f>
        <v>EZZZZ</v>
      </c>
      <c r="B377">
        <v>2017</v>
      </c>
      <c r="C377">
        <v>63</v>
      </c>
      <c r="D377">
        <v>1</v>
      </c>
      <c r="E377" s="277" t="s">
        <v>2310</v>
      </c>
      <c r="F377" s="1843">
        <f>'CHECK P1'!AQ116</f>
        <v>0</v>
      </c>
      <c r="G377" s="814"/>
      <c r="H377" s="812" t="s">
        <v>2747</v>
      </c>
      <c r="I377" s="1734" t="s">
        <v>2315</v>
      </c>
    </row>
    <row r="378" spans="1:9" x14ac:dyDescent="0.2">
      <c r="A378" s="813" t="str">
        <f>'Part 1'!$L$17</f>
        <v>EZZZZ</v>
      </c>
      <c r="B378">
        <v>2017</v>
      </c>
      <c r="C378">
        <v>64</v>
      </c>
      <c r="D378">
        <v>1</v>
      </c>
      <c r="E378" s="277" t="s">
        <v>2310</v>
      </c>
      <c r="F378" s="1843">
        <f>'CHECK P1'!AQ119</f>
        <v>0</v>
      </c>
      <c r="G378" s="814"/>
      <c r="H378" s="812" t="s">
        <v>2748</v>
      </c>
      <c r="I378" s="1734" t="s">
        <v>2315</v>
      </c>
    </row>
    <row r="379" spans="1:9" x14ac:dyDescent="0.2">
      <c r="A379" s="813" t="str">
        <f>'Part 1'!$L$17</f>
        <v>EZZZZ</v>
      </c>
      <c r="B379">
        <v>2017</v>
      </c>
      <c r="C379">
        <v>65</v>
      </c>
      <c r="D379">
        <v>1</v>
      </c>
      <c r="E379" s="277" t="s">
        <v>2310</v>
      </c>
      <c r="F379" s="1843">
        <f>'CHECK P1'!AQ122</f>
        <v>0</v>
      </c>
      <c r="G379" s="814"/>
      <c r="H379" s="812" t="s">
        <v>2749</v>
      </c>
      <c r="I379" s="1734" t="s">
        <v>2315</v>
      </c>
    </row>
    <row r="380" spans="1:9" x14ac:dyDescent="0.2">
      <c r="A380" s="813" t="str">
        <f>'Part 1'!$L$17</f>
        <v>EZZZZ</v>
      </c>
      <c r="B380">
        <v>2017</v>
      </c>
      <c r="C380">
        <v>66</v>
      </c>
      <c r="D380">
        <v>1</v>
      </c>
      <c r="E380" s="277" t="s">
        <v>2310</v>
      </c>
      <c r="F380" s="1843" t="e">
        <f>'CHECK P1'!AQ126</f>
        <v>#N/A</v>
      </c>
      <c r="G380" s="814"/>
      <c r="H380" s="812" t="s">
        <v>2750</v>
      </c>
      <c r="I380" s="1734" t="s">
        <v>2315</v>
      </c>
    </row>
    <row r="381" spans="1:9" x14ac:dyDescent="0.2">
      <c r="A381" s="813" t="str">
        <f>'Part 1'!$L$17</f>
        <v>EZZZZ</v>
      </c>
      <c r="B381">
        <v>2017</v>
      </c>
      <c r="C381">
        <v>67</v>
      </c>
      <c r="D381">
        <v>1</v>
      </c>
      <c r="E381" s="277" t="s">
        <v>2310</v>
      </c>
      <c r="F381" s="1843" t="e">
        <f>'CHECK P1'!AQ165</f>
        <v>#N/A</v>
      </c>
      <c r="G381" s="814"/>
      <c r="H381" s="812" t="s">
        <v>2751</v>
      </c>
      <c r="I381" s="1734" t="s">
        <v>2315</v>
      </c>
    </row>
    <row r="382" spans="1:9" x14ac:dyDescent="0.2">
      <c r="A382" s="813" t="str">
        <f>'Part 1'!$L$17</f>
        <v>EZZZZ</v>
      </c>
      <c r="B382">
        <v>2017</v>
      </c>
      <c r="C382">
        <v>68</v>
      </c>
      <c r="D382">
        <v>1</v>
      </c>
      <c r="E382" s="277" t="s">
        <v>2310</v>
      </c>
      <c r="F382" s="1843">
        <f>'CHECK P1'!AQ168</f>
        <v>0</v>
      </c>
      <c r="G382" s="814"/>
      <c r="H382" s="812" t="s">
        <v>2752</v>
      </c>
      <c r="I382" s="1734" t="s">
        <v>2315</v>
      </c>
    </row>
    <row r="383" spans="1:9" x14ac:dyDescent="0.2">
      <c r="A383" s="813" t="str">
        <f>'Part 1'!$L$17</f>
        <v>EZZZZ</v>
      </c>
      <c r="B383">
        <v>2017</v>
      </c>
      <c r="C383">
        <v>69</v>
      </c>
      <c r="D383">
        <v>1</v>
      </c>
      <c r="E383" s="277" t="s">
        <v>2310</v>
      </c>
      <c r="F383" s="1843">
        <f>'CHECK P1'!AQ170</f>
        <v>0</v>
      </c>
      <c r="G383" s="814"/>
      <c r="H383" s="812" t="s">
        <v>2753</v>
      </c>
      <c r="I383" s="1734" t="s">
        <v>2315</v>
      </c>
    </row>
    <row r="384" spans="1:9" x14ac:dyDescent="0.2">
      <c r="A384" s="813" t="str">
        <f>'Part 1'!$L$17</f>
        <v>EZZZZ</v>
      </c>
      <c r="B384">
        <v>2017</v>
      </c>
      <c r="C384">
        <v>70</v>
      </c>
      <c r="D384">
        <v>1</v>
      </c>
      <c r="E384" s="277" t="s">
        <v>2310</v>
      </c>
      <c r="F384" s="1843">
        <f>'CHECK P1'!AQ173</f>
        <v>0</v>
      </c>
      <c r="G384" s="814"/>
      <c r="H384" s="812" t="s">
        <v>2754</v>
      </c>
      <c r="I384" s="1734" t="s">
        <v>2315</v>
      </c>
    </row>
    <row r="385" spans="1:9" x14ac:dyDescent="0.2">
      <c r="A385" s="813" t="str">
        <f>'Part 1'!$L$17</f>
        <v>EZZZZ</v>
      </c>
      <c r="B385">
        <v>2017</v>
      </c>
      <c r="C385">
        <v>71</v>
      </c>
      <c r="D385">
        <v>1</v>
      </c>
      <c r="E385" s="277" t="s">
        <v>2310</v>
      </c>
      <c r="F385" s="1843">
        <f>'CHECK P1'!AQ176</f>
        <v>0</v>
      </c>
      <c r="G385" s="814"/>
      <c r="H385" s="812" t="s">
        <v>2755</v>
      </c>
      <c r="I385" s="1734" t="s">
        <v>2315</v>
      </c>
    </row>
    <row r="386" spans="1:9" x14ac:dyDescent="0.2">
      <c r="A386" s="813" t="str">
        <f>'Part 1'!$L$17</f>
        <v>EZZZZ</v>
      </c>
      <c r="B386">
        <v>2017</v>
      </c>
      <c r="C386">
        <v>72</v>
      </c>
      <c r="D386">
        <v>1</v>
      </c>
      <c r="E386" s="277" t="s">
        <v>2310</v>
      </c>
      <c r="F386" s="1843">
        <f>'CHECK P1'!AQ179</f>
        <v>0</v>
      </c>
      <c r="G386" s="814"/>
      <c r="H386" s="812" t="s">
        <v>2756</v>
      </c>
      <c r="I386" s="1734" t="s">
        <v>2315</v>
      </c>
    </row>
    <row r="387" spans="1:9" x14ac:dyDescent="0.2">
      <c r="A387" s="813" t="str">
        <f>'Part 1'!$L$17</f>
        <v>EZZZZ</v>
      </c>
      <c r="B387">
        <v>2017</v>
      </c>
      <c r="C387">
        <v>73</v>
      </c>
      <c r="D387">
        <v>1</v>
      </c>
      <c r="E387" s="277" t="s">
        <v>2310</v>
      </c>
      <c r="F387" s="1843">
        <f>'CHECK P1'!AQ182</f>
        <v>0</v>
      </c>
      <c r="G387" s="814"/>
      <c r="H387" s="812" t="s">
        <v>2757</v>
      </c>
      <c r="I387" s="1734" t="s">
        <v>2315</v>
      </c>
    </row>
    <row r="388" spans="1:9" x14ac:dyDescent="0.2">
      <c r="A388" s="813" t="str">
        <f>'Part 1'!$L$17</f>
        <v>EZZZZ</v>
      </c>
      <c r="B388">
        <v>2017</v>
      </c>
      <c r="C388">
        <v>74</v>
      </c>
      <c r="D388">
        <v>1</v>
      </c>
      <c r="E388" s="277" t="s">
        <v>2310</v>
      </c>
      <c r="F388" s="1843">
        <f>'CHECK P1'!AQ185</f>
        <v>0</v>
      </c>
      <c r="G388" s="814"/>
      <c r="H388" s="812" t="s">
        <v>2758</v>
      </c>
      <c r="I388" s="1734" t="s">
        <v>2315</v>
      </c>
    </row>
    <row r="389" spans="1:9" x14ac:dyDescent="0.2">
      <c r="A389" s="813" t="str">
        <f>'Part 1'!$L$17</f>
        <v>EZZZZ</v>
      </c>
      <c r="B389">
        <v>2017</v>
      </c>
      <c r="C389">
        <v>75</v>
      </c>
      <c r="D389">
        <v>1</v>
      </c>
      <c r="E389" s="277" t="s">
        <v>2310</v>
      </c>
      <c r="F389" s="1843" t="e">
        <f>'CHECK P1'!AQ189</f>
        <v>#N/A</v>
      </c>
      <c r="G389" s="814"/>
      <c r="H389" s="812" t="s">
        <v>2759</v>
      </c>
      <c r="I389" s="1734" t="s">
        <v>2315</v>
      </c>
    </row>
    <row r="390" spans="1:9" x14ac:dyDescent="0.2">
      <c r="A390" s="813" t="str">
        <f>'Part 1'!$L$17</f>
        <v>EZZZZ</v>
      </c>
      <c r="B390">
        <v>2017</v>
      </c>
      <c r="C390">
        <v>76</v>
      </c>
      <c r="D390">
        <v>1</v>
      </c>
      <c r="E390" s="277" t="s">
        <v>2310</v>
      </c>
      <c r="F390" s="1546">
        <f>'CHECK P2'!AL18</f>
        <v>0</v>
      </c>
      <c r="G390" s="814"/>
      <c r="H390" s="812" t="s">
        <v>2760</v>
      </c>
      <c r="I390" s="1734" t="s">
        <v>2315</v>
      </c>
    </row>
    <row r="391" spans="1:9" x14ac:dyDescent="0.2">
      <c r="A391" s="813" t="str">
        <f>'Part 1'!$L$17</f>
        <v>EZZZZ</v>
      </c>
      <c r="B391">
        <v>2017</v>
      </c>
      <c r="C391">
        <v>77</v>
      </c>
      <c r="D391">
        <v>1</v>
      </c>
      <c r="E391" s="277" t="s">
        <v>2310</v>
      </c>
      <c r="F391" s="1547">
        <f>'CHECK P2'!AL20</f>
        <v>0</v>
      </c>
      <c r="G391" s="814"/>
      <c r="H391" s="812" t="s">
        <v>2761</v>
      </c>
      <c r="I391" s="1734" t="s">
        <v>2315</v>
      </c>
    </row>
    <row r="392" spans="1:9" x14ac:dyDescent="0.2">
      <c r="A392" s="813" t="str">
        <f>'Part 1'!$L$17</f>
        <v>EZZZZ</v>
      </c>
      <c r="B392">
        <v>2017</v>
      </c>
      <c r="C392">
        <v>78</v>
      </c>
      <c r="D392">
        <v>1</v>
      </c>
      <c r="E392" s="277" t="s">
        <v>2310</v>
      </c>
      <c r="F392" s="1546">
        <f>'CHECK P2'!AL23</f>
        <v>0</v>
      </c>
      <c r="G392" s="814"/>
      <c r="H392" s="812" t="s">
        <v>2762</v>
      </c>
      <c r="I392" s="1734" t="s">
        <v>2315</v>
      </c>
    </row>
    <row r="393" spans="1:9" x14ac:dyDescent="0.2">
      <c r="A393" s="813" t="str">
        <f>'Part 1'!$L$17</f>
        <v>EZZZZ</v>
      </c>
      <c r="B393">
        <v>2017</v>
      </c>
      <c r="C393">
        <v>79</v>
      </c>
      <c r="D393">
        <v>1</v>
      </c>
      <c r="E393" s="277" t="s">
        <v>2310</v>
      </c>
      <c r="F393" s="1547">
        <f>'CHECK P2'!AL25</f>
        <v>0</v>
      </c>
      <c r="G393" s="814"/>
      <c r="H393" s="812" t="s">
        <v>2763</v>
      </c>
      <c r="I393" s="1734" t="s">
        <v>2315</v>
      </c>
    </row>
    <row r="394" spans="1:9" x14ac:dyDescent="0.2">
      <c r="A394" s="813" t="str">
        <f>'Part 1'!$L$17</f>
        <v>EZZZZ</v>
      </c>
      <c r="B394">
        <v>2017</v>
      </c>
      <c r="C394">
        <v>80</v>
      </c>
      <c r="D394">
        <v>1</v>
      </c>
      <c r="E394" s="277" t="s">
        <v>2310</v>
      </c>
      <c r="F394" s="1546">
        <f>'CHECK P2'!AL28</f>
        <v>0</v>
      </c>
      <c r="G394" s="814"/>
      <c r="H394" s="812" t="s">
        <v>2764</v>
      </c>
      <c r="I394" s="1734" t="s">
        <v>2315</v>
      </c>
    </row>
    <row r="395" spans="1:9" x14ac:dyDescent="0.2">
      <c r="A395" s="813" t="str">
        <f>'Part 1'!$L$17</f>
        <v>EZZZZ</v>
      </c>
      <c r="B395">
        <v>2017</v>
      </c>
      <c r="C395">
        <v>81</v>
      </c>
      <c r="D395">
        <v>1</v>
      </c>
      <c r="E395" s="277" t="s">
        <v>2310</v>
      </c>
      <c r="F395" s="1547">
        <f>'CHECK P2'!AL32</f>
        <v>0</v>
      </c>
      <c r="G395" s="814"/>
      <c r="H395" s="812" t="s">
        <v>2765</v>
      </c>
      <c r="I395" s="1734" t="s">
        <v>2315</v>
      </c>
    </row>
    <row r="396" spans="1:9" x14ac:dyDescent="0.2">
      <c r="A396" s="813" t="str">
        <f>'Part 1'!$L$17</f>
        <v>EZZZZ</v>
      </c>
      <c r="B396">
        <v>2017</v>
      </c>
      <c r="C396">
        <v>82</v>
      </c>
      <c r="D396">
        <v>1</v>
      </c>
      <c r="E396" s="277" t="s">
        <v>2310</v>
      </c>
      <c r="F396" s="1546">
        <f>'CHECK P2'!AL35</f>
        <v>0</v>
      </c>
      <c r="G396" s="814"/>
      <c r="H396" s="812" t="s">
        <v>2766</v>
      </c>
      <c r="I396" s="1734" t="s">
        <v>2315</v>
      </c>
    </row>
    <row r="397" spans="1:9" x14ac:dyDescent="0.2">
      <c r="A397" s="813" t="str">
        <f>'Part 1'!$L$17</f>
        <v>EZZZZ</v>
      </c>
      <c r="B397">
        <v>2017</v>
      </c>
      <c r="C397">
        <v>83</v>
      </c>
      <c r="D397">
        <v>1</v>
      </c>
      <c r="E397" s="277" t="s">
        <v>2310</v>
      </c>
      <c r="F397" s="1547">
        <f>'CHECK P2'!AL39</f>
        <v>0</v>
      </c>
      <c r="G397" s="814"/>
      <c r="H397" s="812" t="s">
        <v>2767</v>
      </c>
      <c r="I397" s="1734" t="s">
        <v>2315</v>
      </c>
    </row>
    <row r="398" spans="1:9" x14ac:dyDescent="0.2">
      <c r="A398" s="813" t="str">
        <f>'Part 1'!$L$17</f>
        <v>EZZZZ</v>
      </c>
      <c r="B398">
        <v>2017</v>
      </c>
      <c r="C398">
        <v>84</v>
      </c>
      <c r="D398">
        <v>1</v>
      </c>
      <c r="E398" s="277" t="s">
        <v>2310</v>
      </c>
      <c r="F398" s="1546">
        <f>'CHECK P2'!AL41</f>
        <v>0</v>
      </c>
      <c r="G398" s="814"/>
      <c r="H398" s="812" t="s">
        <v>2768</v>
      </c>
      <c r="I398" s="1734" t="s">
        <v>2315</v>
      </c>
    </row>
    <row r="399" spans="1:9" x14ac:dyDescent="0.2">
      <c r="A399" s="813" t="str">
        <f>'Part 1'!$L$17</f>
        <v>EZZZZ</v>
      </c>
      <c r="B399">
        <v>2017</v>
      </c>
      <c r="C399">
        <v>85</v>
      </c>
      <c r="D399">
        <v>1</v>
      </c>
      <c r="E399" s="277" t="s">
        <v>2310</v>
      </c>
      <c r="F399" s="1547">
        <f>'CHECK P2'!AL45</f>
        <v>0</v>
      </c>
      <c r="G399" s="814"/>
      <c r="H399" s="812" t="s">
        <v>2769</v>
      </c>
      <c r="I399" s="1734" t="s">
        <v>2315</v>
      </c>
    </row>
    <row r="400" spans="1:9" x14ac:dyDescent="0.2">
      <c r="A400" s="813" t="str">
        <f>'Part 1'!$L$17</f>
        <v>EZZZZ</v>
      </c>
      <c r="B400">
        <v>2017</v>
      </c>
      <c r="C400">
        <v>86</v>
      </c>
      <c r="D400">
        <v>1</v>
      </c>
      <c r="E400" s="277" t="s">
        <v>2310</v>
      </c>
      <c r="F400" s="1546">
        <f>'CHECK P2'!AL50</f>
        <v>0</v>
      </c>
      <c r="G400" s="814"/>
      <c r="H400" s="812" t="s">
        <v>2770</v>
      </c>
      <c r="I400" s="1734" t="s">
        <v>2315</v>
      </c>
    </row>
    <row r="401" spans="1:9" x14ac:dyDescent="0.2">
      <c r="A401" s="813" t="str">
        <f>'Part 1'!$L$17</f>
        <v>EZZZZ</v>
      </c>
      <c r="B401">
        <v>2017</v>
      </c>
      <c r="C401">
        <v>87</v>
      </c>
      <c r="D401">
        <v>1</v>
      </c>
      <c r="E401" s="277" t="s">
        <v>2310</v>
      </c>
      <c r="F401" s="1547">
        <f>'CHECK P2'!AL56</f>
        <v>0</v>
      </c>
      <c r="G401" s="814"/>
      <c r="H401" s="812" t="s">
        <v>2771</v>
      </c>
      <c r="I401" s="1734" t="s">
        <v>2315</v>
      </c>
    </row>
    <row r="402" spans="1:9" x14ac:dyDescent="0.2">
      <c r="A402" s="813" t="str">
        <f>'Part 1'!$L$17</f>
        <v>EZZZZ</v>
      </c>
      <c r="B402">
        <v>2017</v>
      </c>
      <c r="C402">
        <v>88</v>
      </c>
      <c r="D402">
        <v>1</v>
      </c>
      <c r="E402" s="277" t="s">
        <v>2310</v>
      </c>
      <c r="F402" s="1546">
        <f>'CHECK P2'!AL58</f>
        <v>0</v>
      </c>
      <c r="G402" s="814"/>
      <c r="H402" s="812" t="s">
        <v>2772</v>
      </c>
      <c r="I402" s="1734" t="s">
        <v>2315</v>
      </c>
    </row>
    <row r="403" spans="1:9" x14ac:dyDescent="0.2">
      <c r="A403" s="813" t="str">
        <f>'Part 1'!$L$17</f>
        <v>EZZZZ</v>
      </c>
      <c r="B403">
        <v>2017</v>
      </c>
      <c r="C403">
        <v>89</v>
      </c>
      <c r="D403">
        <v>1</v>
      </c>
      <c r="E403" s="277" t="s">
        <v>2310</v>
      </c>
      <c r="F403" s="1547">
        <f>'CHECK P2'!AL61</f>
        <v>0</v>
      </c>
      <c r="G403" s="814"/>
      <c r="H403" s="812" t="s">
        <v>2773</v>
      </c>
      <c r="I403" s="1734" t="s">
        <v>2315</v>
      </c>
    </row>
    <row r="404" spans="1:9" x14ac:dyDescent="0.2">
      <c r="A404" s="813" t="str">
        <f>'Part 1'!$L$17</f>
        <v>EZZZZ</v>
      </c>
      <c r="B404">
        <v>2017</v>
      </c>
      <c r="C404">
        <v>90</v>
      </c>
      <c r="D404">
        <v>1</v>
      </c>
      <c r="E404" s="277" t="s">
        <v>2310</v>
      </c>
      <c r="F404" s="1546">
        <f>'CHECK P2'!AL64</f>
        <v>0</v>
      </c>
      <c r="G404" s="814"/>
      <c r="H404" s="812" t="s">
        <v>2774</v>
      </c>
      <c r="I404" s="1734" t="s">
        <v>2315</v>
      </c>
    </row>
    <row r="405" spans="1:9" x14ac:dyDescent="0.2">
      <c r="A405" s="813" t="str">
        <f>'Part 1'!$L$17</f>
        <v>EZZZZ</v>
      </c>
      <c r="B405">
        <v>2017</v>
      </c>
      <c r="C405">
        <v>91</v>
      </c>
      <c r="D405">
        <v>1</v>
      </c>
      <c r="E405" s="277" t="s">
        <v>2310</v>
      </c>
      <c r="F405" s="1547">
        <f>'CHECK P2'!AL67</f>
        <v>0</v>
      </c>
      <c r="G405" s="814"/>
      <c r="H405" s="812" t="s">
        <v>2775</v>
      </c>
      <c r="I405" s="1734" t="s">
        <v>2315</v>
      </c>
    </row>
    <row r="406" spans="1:9" x14ac:dyDescent="0.2">
      <c r="A406" s="813" t="str">
        <f>'Part 1'!$L$17</f>
        <v>EZZZZ</v>
      </c>
      <c r="B406">
        <v>2017</v>
      </c>
      <c r="C406">
        <v>92</v>
      </c>
      <c r="D406">
        <v>1</v>
      </c>
      <c r="E406" s="277" t="s">
        <v>2310</v>
      </c>
      <c r="F406" s="1546">
        <f>'CHECK P2'!AL70</f>
        <v>0</v>
      </c>
      <c r="G406" s="814"/>
      <c r="H406" s="812" t="s">
        <v>2776</v>
      </c>
      <c r="I406" s="1734" t="s">
        <v>2315</v>
      </c>
    </row>
    <row r="407" spans="1:9" x14ac:dyDescent="0.2">
      <c r="A407" s="813" t="str">
        <f>'Part 1'!$L$17</f>
        <v>EZZZZ</v>
      </c>
      <c r="B407">
        <v>2017</v>
      </c>
      <c r="C407">
        <v>93</v>
      </c>
      <c r="D407">
        <v>1</v>
      </c>
      <c r="E407" s="277" t="s">
        <v>2310</v>
      </c>
      <c r="F407" s="1547">
        <f>'CHECK P2'!AL73</f>
        <v>0</v>
      </c>
      <c r="G407" s="814"/>
      <c r="H407" s="812" t="s">
        <v>2777</v>
      </c>
      <c r="I407" s="1734" t="s">
        <v>2315</v>
      </c>
    </row>
    <row r="408" spans="1:9" x14ac:dyDescent="0.2">
      <c r="A408" s="813" t="str">
        <f>'Part 1'!$L$17</f>
        <v>EZZZZ</v>
      </c>
      <c r="B408">
        <v>2017</v>
      </c>
      <c r="C408">
        <v>94</v>
      </c>
      <c r="D408">
        <v>1</v>
      </c>
      <c r="E408" s="277" t="s">
        <v>2310</v>
      </c>
      <c r="F408" s="1546">
        <f>'CHECK P2'!AL78</f>
        <v>0</v>
      </c>
      <c r="G408" s="814"/>
      <c r="H408" s="812" t="s">
        <v>2778</v>
      </c>
      <c r="I408" s="1734" t="s">
        <v>2315</v>
      </c>
    </row>
    <row r="409" spans="1:9" x14ac:dyDescent="0.2">
      <c r="A409" s="813" t="str">
        <f>'Part 1'!$L$17</f>
        <v>EZZZZ</v>
      </c>
      <c r="B409">
        <v>2017</v>
      </c>
      <c r="C409">
        <v>95</v>
      </c>
      <c r="D409">
        <v>1</v>
      </c>
      <c r="E409" s="277" t="s">
        <v>2310</v>
      </c>
      <c r="F409" s="1547">
        <f>'CHECK P2'!AL81</f>
        <v>0</v>
      </c>
      <c r="G409" s="814"/>
      <c r="H409" s="812" t="s">
        <v>2779</v>
      </c>
      <c r="I409" s="1734" t="s">
        <v>2315</v>
      </c>
    </row>
    <row r="410" spans="1:9" x14ac:dyDescent="0.2">
      <c r="A410" s="813" t="str">
        <f>'Part 1'!$L$17</f>
        <v>EZZZZ</v>
      </c>
      <c r="B410">
        <v>2017</v>
      </c>
      <c r="C410">
        <v>96</v>
      </c>
      <c r="D410">
        <v>1</v>
      </c>
      <c r="E410" s="277" t="s">
        <v>2310</v>
      </c>
      <c r="F410" s="1546">
        <f>'CHECK P2'!AL85</f>
        <v>0</v>
      </c>
      <c r="G410" s="814"/>
      <c r="H410" s="812" t="s">
        <v>2780</v>
      </c>
      <c r="I410" s="1734" t="s">
        <v>2315</v>
      </c>
    </row>
    <row r="411" spans="1:9" x14ac:dyDescent="0.2">
      <c r="A411" s="813" t="str">
        <f>'Part 1'!$L$17</f>
        <v>EZZZZ</v>
      </c>
      <c r="B411">
        <v>2017</v>
      </c>
      <c r="C411">
        <v>97</v>
      </c>
      <c r="D411">
        <v>1</v>
      </c>
      <c r="E411" s="277" t="s">
        <v>2310</v>
      </c>
      <c r="F411" s="1547">
        <f>'CHECK P2'!AL93</f>
        <v>0</v>
      </c>
      <c r="G411" s="814"/>
      <c r="H411" s="812" t="s">
        <v>2781</v>
      </c>
      <c r="I411" s="1734" t="s">
        <v>2315</v>
      </c>
    </row>
    <row r="412" spans="1:9" x14ac:dyDescent="0.2">
      <c r="A412" s="813" t="str">
        <f>'Part 1'!$L$17</f>
        <v>EZZZZ</v>
      </c>
      <c r="B412">
        <v>2017</v>
      </c>
      <c r="C412">
        <v>98</v>
      </c>
      <c r="D412">
        <v>1</v>
      </c>
      <c r="E412" s="277" t="s">
        <v>2310</v>
      </c>
      <c r="F412" s="1546">
        <f>'CHECK P2'!AL96</f>
        <v>0</v>
      </c>
      <c r="G412" s="814"/>
      <c r="H412" s="812" t="s">
        <v>2782</v>
      </c>
      <c r="I412" s="1734" t="s">
        <v>2315</v>
      </c>
    </row>
    <row r="413" spans="1:9" x14ac:dyDescent="0.2">
      <c r="A413" s="813" t="str">
        <f>'Part 1'!$L$17</f>
        <v>EZZZZ</v>
      </c>
      <c r="B413">
        <v>2017</v>
      </c>
      <c r="C413">
        <v>99</v>
      </c>
      <c r="D413">
        <v>1</v>
      </c>
      <c r="E413" s="277" t="s">
        <v>2310</v>
      </c>
      <c r="F413" s="1547">
        <f>'CHECK P2'!AL100</f>
        <v>0</v>
      </c>
      <c r="G413" s="814"/>
      <c r="H413" s="812" t="s">
        <v>2783</v>
      </c>
      <c r="I413" s="1734" t="s">
        <v>2315</v>
      </c>
    </row>
    <row r="414" spans="1:9" x14ac:dyDescent="0.2">
      <c r="A414" s="813" t="str">
        <f>'Part 1'!$L$17</f>
        <v>EZZZZ</v>
      </c>
      <c r="B414">
        <v>2017</v>
      </c>
      <c r="C414">
        <v>100</v>
      </c>
      <c r="D414">
        <v>1</v>
      </c>
      <c r="E414" s="277" t="s">
        <v>2310</v>
      </c>
      <c r="F414" s="1546">
        <f>'CHECK P2'!AL103</f>
        <v>0</v>
      </c>
      <c r="G414" s="814"/>
      <c r="H414" s="812" t="s">
        <v>2784</v>
      </c>
      <c r="I414" s="1734" t="s">
        <v>2315</v>
      </c>
    </row>
    <row r="415" spans="1:9" x14ac:dyDescent="0.2">
      <c r="A415" s="813" t="str">
        <f>'Part 1'!$L$17</f>
        <v>EZZZZ</v>
      </c>
      <c r="B415">
        <v>2017</v>
      </c>
      <c r="C415">
        <v>101</v>
      </c>
      <c r="D415">
        <v>1</v>
      </c>
      <c r="E415" s="277" t="s">
        <v>2310</v>
      </c>
      <c r="F415" s="1547">
        <f>'CHECK P2'!AL107</f>
        <v>0</v>
      </c>
      <c r="G415" s="814"/>
      <c r="H415" s="812" t="s">
        <v>2785</v>
      </c>
      <c r="I415" s="1734" t="s">
        <v>2315</v>
      </c>
    </row>
    <row r="416" spans="1:9" x14ac:dyDescent="0.2">
      <c r="A416" s="813" t="str">
        <f>'Part 1'!$L$17</f>
        <v>EZZZZ</v>
      </c>
      <c r="B416">
        <v>2017</v>
      </c>
      <c r="C416">
        <v>102</v>
      </c>
      <c r="D416">
        <v>1</v>
      </c>
      <c r="E416" s="277" t="s">
        <v>2310</v>
      </c>
      <c r="F416" s="1546">
        <f>'CHECK P2'!AL113</f>
        <v>0</v>
      </c>
      <c r="G416" s="814"/>
      <c r="H416" s="812" t="s">
        <v>2786</v>
      </c>
      <c r="I416" s="1734" t="s">
        <v>2315</v>
      </c>
    </row>
    <row r="417" spans="1:9" x14ac:dyDescent="0.2">
      <c r="A417" s="813" t="str">
        <f>'Part 1'!$L$17</f>
        <v>EZZZZ</v>
      </c>
      <c r="B417">
        <v>2017</v>
      </c>
      <c r="C417">
        <v>103</v>
      </c>
      <c r="D417">
        <v>1</v>
      </c>
      <c r="E417" s="277" t="s">
        <v>2310</v>
      </c>
      <c r="F417" s="1547">
        <f>'CHECK P2'!AL116</f>
        <v>0</v>
      </c>
      <c r="G417" s="814"/>
      <c r="H417" s="812" t="s">
        <v>2787</v>
      </c>
      <c r="I417" s="1734" t="s">
        <v>2315</v>
      </c>
    </row>
    <row r="418" spans="1:9" x14ac:dyDescent="0.2">
      <c r="A418" s="813" t="str">
        <f>'Part 1'!$L$17</f>
        <v>EZZZZ</v>
      </c>
      <c r="B418">
        <v>2017</v>
      </c>
      <c r="C418">
        <v>104</v>
      </c>
      <c r="D418">
        <v>1</v>
      </c>
      <c r="E418" s="277" t="s">
        <v>2310</v>
      </c>
      <c r="F418" s="1546">
        <f>'CHECK P2'!AL119</f>
        <v>0</v>
      </c>
      <c r="G418" s="814"/>
      <c r="H418" s="812" t="s">
        <v>2788</v>
      </c>
      <c r="I418" s="1734" t="s">
        <v>2315</v>
      </c>
    </row>
    <row r="419" spans="1:9" x14ac:dyDescent="0.2">
      <c r="A419" s="813" t="str">
        <f>'Part 1'!$L$17</f>
        <v>EZZZZ</v>
      </c>
      <c r="B419">
        <v>2017</v>
      </c>
      <c r="C419">
        <v>105</v>
      </c>
      <c r="D419">
        <v>1</v>
      </c>
      <c r="E419" s="277" t="s">
        <v>2310</v>
      </c>
      <c r="F419" s="1547">
        <f>'CHECK P2'!AL122</f>
        <v>0</v>
      </c>
      <c r="G419" s="814"/>
      <c r="H419" s="812" t="s">
        <v>2789</v>
      </c>
      <c r="I419" s="1734" t="s">
        <v>2315</v>
      </c>
    </row>
    <row r="420" spans="1:9" x14ac:dyDescent="0.2">
      <c r="A420" s="813" t="str">
        <f>'Part 1'!$L$17</f>
        <v>EZZZZ</v>
      </c>
      <c r="B420">
        <v>2017</v>
      </c>
      <c r="C420">
        <v>106</v>
      </c>
      <c r="D420">
        <v>1</v>
      </c>
      <c r="E420" s="277" t="s">
        <v>2310</v>
      </c>
      <c r="F420" s="1546">
        <f>'CHECK P2'!AL122</f>
        <v>0</v>
      </c>
      <c r="G420" s="814"/>
      <c r="H420" s="812" t="s">
        <v>2789</v>
      </c>
      <c r="I420" s="1734" t="s">
        <v>2315</v>
      </c>
    </row>
    <row r="421" spans="1:9" x14ac:dyDescent="0.2">
      <c r="A421" s="813" t="str">
        <f>'Part 1'!$L$17</f>
        <v>EZZZZ</v>
      </c>
      <c r="B421">
        <v>2017</v>
      </c>
      <c r="C421">
        <v>107</v>
      </c>
      <c r="D421">
        <v>1</v>
      </c>
      <c r="E421" s="277" t="s">
        <v>2310</v>
      </c>
      <c r="F421" s="1547">
        <f>'CHECK P2'!AL125</f>
        <v>0</v>
      </c>
      <c r="G421" s="814"/>
      <c r="H421" s="812" t="s">
        <v>2790</v>
      </c>
      <c r="I421" s="1734" t="s">
        <v>2315</v>
      </c>
    </row>
    <row r="422" spans="1:9" x14ac:dyDescent="0.2">
      <c r="A422" s="813" t="str">
        <f>'Part 1'!$L$17</f>
        <v>EZZZZ</v>
      </c>
      <c r="B422">
        <v>2017</v>
      </c>
      <c r="C422">
        <v>108</v>
      </c>
      <c r="D422">
        <v>1</v>
      </c>
      <c r="E422" s="277" t="s">
        <v>2310</v>
      </c>
      <c r="F422" s="1546">
        <f>'CHECK P2'!AL128</f>
        <v>0</v>
      </c>
      <c r="G422" s="814"/>
      <c r="H422" s="812" t="s">
        <v>2791</v>
      </c>
      <c r="I422" s="1734" t="s">
        <v>2315</v>
      </c>
    </row>
    <row r="423" spans="1:9" x14ac:dyDescent="0.2">
      <c r="A423" s="813" t="str">
        <f>'Part 1'!$L$17</f>
        <v>EZZZZ</v>
      </c>
      <c r="B423">
        <v>2017</v>
      </c>
      <c r="C423">
        <v>109</v>
      </c>
      <c r="D423">
        <v>1</v>
      </c>
      <c r="E423" s="277" t="s">
        <v>2310</v>
      </c>
      <c r="F423" s="1547">
        <f>'CHECK P2'!AL131</f>
        <v>0</v>
      </c>
      <c r="G423" s="814"/>
      <c r="H423" s="812" t="s">
        <v>2792</v>
      </c>
      <c r="I423" s="1734" t="s">
        <v>2315</v>
      </c>
    </row>
    <row r="424" spans="1:9" x14ac:dyDescent="0.2">
      <c r="A424" s="813" t="str">
        <f>'Part 1'!$L$17</f>
        <v>EZZZZ</v>
      </c>
      <c r="B424">
        <v>2017</v>
      </c>
      <c r="C424">
        <v>110</v>
      </c>
      <c r="D424">
        <v>1</v>
      </c>
      <c r="E424" s="277" t="s">
        <v>2310</v>
      </c>
      <c r="F424" s="1546">
        <f>'CHECK P2'!AL132</f>
        <v>0</v>
      </c>
      <c r="G424" s="814"/>
      <c r="H424" s="812" t="s">
        <v>2793</v>
      </c>
      <c r="I424" s="1734" t="s">
        <v>2315</v>
      </c>
    </row>
    <row r="425" spans="1:9" x14ac:dyDescent="0.2">
      <c r="A425" s="813" t="str">
        <f>'Part 1'!$L$17</f>
        <v>EZZZZ</v>
      </c>
      <c r="B425">
        <v>2017</v>
      </c>
      <c r="C425">
        <v>111</v>
      </c>
      <c r="D425">
        <v>1</v>
      </c>
      <c r="E425" s="277" t="s">
        <v>2310</v>
      </c>
      <c r="F425" s="1547">
        <f>'CHECK P2'!AL138</f>
        <v>0</v>
      </c>
      <c r="G425" s="814"/>
      <c r="H425" s="812" t="s">
        <v>2794</v>
      </c>
      <c r="I425" s="1734" t="s">
        <v>2315</v>
      </c>
    </row>
    <row r="426" spans="1:9" x14ac:dyDescent="0.2">
      <c r="A426" s="813" t="str">
        <f>'Part 1'!$L$17</f>
        <v>EZZZZ</v>
      </c>
      <c r="B426">
        <v>2017</v>
      </c>
      <c r="C426">
        <v>112</v>
      </c>
      <c r="D426">
        <v>1</v>
      </c>
      <c r="E426" s="277" t="s">
        <v>2310</v>
      </c>
      <c r="F426" s="1546">
        <f>'CHECK P2'!AL141</f>
        <v>0</v>
      </c>
      <c r="G426" s="814"/>
      <c r="H426" s="812" t="s">
        <v>2795</v>
      </c>
      <c r="I426" s="1734" t="s">
        <v>2315</v>
      </c>
    </row>
    <row r="427" spans="1:9" x14ac:dyDescent="0.2">
      <c r="A427" s="813" t="str">
        <f>'Part 1'!$L$17</f>
        <v>EZZZZ</v>
      </c>
      <c r="B427">
        <v>2017</v>
      </c>
      <c r="C427">
        <v>113</v>
      </c>
      <c r="D427">
        <v>1</v>
      </c>
      <c r="E427" s="277" t="s">
        <v>2310</v>
      </c>
      <c r="F427" s="1547">
        <f>'CHECK P2'!AL145</f>
        <v>0</v>
      </c>
      <c r="G427" s="814"/>
      <c r="H427" s="812" t="s">
        <v>2796</v>
      </c>
      <c r="I427" s="1734" t="s">
        <v>2315</v>
      </c>
    </row>
    <row r="428" spans="1:9" x14ac:dyDescent="0.2">
      <c r="A428" s="813" t="str">
        <f>'Part 1'!$L$17</f>
        <v>EZZZZ</v>
      </c>
      <c r="B428">
        <v>2017</v>
      </c>
      <c r="C428">
        <v>114</v>
      </c>
      <c r="D428">
        <v>1</v>
      </c>
      <c r="E428" s="277" t="s">
        <v>2310</v>
      </c>
      <c r="F428" s="1546">
        <f>'CHECK P2'!AL153</f>
        <v>0</v>
      </c>
      <c r="G428" s="814"/>
      <c r="H428" s="812" t="s">
        <v>2797</v>
      </c>
      <c r="I428" s="1734" t="s">
        <v>2315</v>
      </c>
    </row>
    <row r="429" spans="1:9" x14ac:dyDescent="0.2">
      <c r="A429" s="813" t="str">
        <f>'Part 1'!$L$17</f>
        <v>EZZZZ</v>
      </c>
      <c r="B429">
        <v>2017</v>
      </c>
      <c r="C429">
        <v>115</v>
      </c>
      <c r="D429">
        <v>1</v>
      </c>
      <c r="E429" s="277" t="s">
        <v>2310</v>
      </c>
      <c r="F429" s="1547">
        <f>'CHECK P2'!AL156</f>
        <v>0</v>
      </c>
      <c r="G429" s="814"/>
      <c r="H429" s="812" t="s">
        <v>2798</v>
      </c>
      <c r="I429" s="1734" t="s">
        <v>2315</v>
      </c>
    </row>
    <row r="430" spans="1:9" x14ac:dyDescent="0.2">
      <c r="A430" s="813" t="str">
        <f>'Part 1'!$L$17</f>
        <v>EZZZZ</v>
      </c>
      <c r="B430">
        <v>2017</v>
      </c>
      <c r="C430">
        <v>116</v>
      </c>
      <c r="D430">
        <v>1</v>
      </c>
      <c r="E430" s="277" t="s">
        <v>2310</v>
      </c>
      <c r="F430" s="1547">
        <f>'CHECK P2'!AL159</f>
        <v>0</v>
      </c>
      <c r="G430" s="814"/>
      <c r="H430" s="812" t="s">
        <v>2799</v>
      </c>
      <c r="I430" s="1734" t="s">
        <v>2315</v>
      </c>
    </row>
    <row r="431" spans="1:9" x14ac:dyDescent="0.2">
      <c r="A431" s="813" t="str">
        <f>'Part 1'!$L$17</f>
        <v>EZZZZ</v>
      </c>
      <c r="B431">
        <v>2017</v>
      </c>
      <c r="C431">
        <v>117</v>
      </c>
      <c r="D431">
        <v>1</v>
      </c>
      <c r="E431" s="277" t="s">
        <v>2310</v>
      </c>
      <c r="F431" s="1547">
        <f>'CHECK P2'!AL162</f>
        <v>0</v>
      </c>
      <c r="G431" s="814"/>
      <c r="H431" s="812" t="s">
        <v>2800</v>
      </c>
      <c r="I431" s="1734" t="s">
        <v>2315</v>
      </c>
    </row>
    <row r="432" spans="1:9" x14ac:dyDescent="0.2">
      <c r="A432" s="813" t="str">
        <f>'Part 1'!$L$17</f>
        <v>EZZZZ</v>
      </c>
      <c r="B432">
        <v>2017</v>
      </c>
      <c r="C432">
        <v>118</v>
      </c>
      <c r="D432">
        <v>1</v>
      </c>
      <c r="E432" s="277" t="s">
        <v>2310</v>
      </c>
      <c r="F432" s="1546">
        <f>'CHECK P2'!AL165</f>
        <v>0</v>
      </c>
      <c r="G432" s="814"/>
      <c r="H432" s="812" t="s">
        <v>2801</v>
      </c>
      <c r="I432" s="1734" t="s">
        <v>2315</v>
      </c>
    </row>
    <row r="433" spans="1:9" x14ac:dyDescent="0.2">
      <c r="A433" s="813" t="str">
        <f>'Part 1'!$L$17</f>
        <v>EZZZZ</v>
      </c>
      <c r="B433">
        <v>2017</v>
      </c>
      <c r="C433">
        <v>119</v>
      </c>
      <c r="D433">
        <v>1</v>
      </c>
      <c r="E433" s="277" t="s">
        <v>2310</v>
      </c>
      <c r="F433" s="1547">
        <f>'CHECK P2'!AL169</f>
        <v>0</v>
      </c>
      <c r="G433" s="814"/>
      <c r="H433" s="812" t="s">
        <v>2802</v>
      </c>
      <c r="I433" s="1734" t="s">
        <v>2315</v>
      </c>
    </row>
    <row r="434" spans="1:9" x14ac:dyDescent="0.2">
      <c r="A434" s="813" t="str">
        <f>'Part 1'!$L$17</f>
        <v>EZZZZ</v>
      </c>
      <c r="B434">
        <v>2017</v>
      </c>
      <c r="C434">
        <v>120</v>
      </c>
      <c r="D434">
        <v>1</v>
      </c>
      <c r="E434" s="277" t="s">
        <v>2310</v>
      </c>
      <c r="F434" s="1546">
        <f>'CHECK P2'!AL173</f>
        <v>0</v>
      </c>
      <c r="G434" s="814"/>
      <c r="H434" s="812" t="s">
        <v>2803</v>
      </c>
      <c r="I434" s="1734" t="s">
        <v>2315</v>
      </c>
    </row>
    <row r="435" spans="1:9" x14ac:dyDescent="0.2">
      <c r="A435" s="813" t="str">
        <f>'Part 1'!$L$17</f>
        <v>EZZZZ</v>
      </c>
      <c r="B435">
        <v>2017</v>
      </c>
      <c r="C435">
        <v>121</v>
      </c>
      <c r="D435">
        <v>1</v>
      </c>
      <c r="E435" s="277" t="s">
        <v>2310</v>
      </c>
      <c r="F435" s="1547">
        <f>'CHECK P2'!AL181</f>
        <v>0</v>
      </c>
      <c r="G435" s="814"/>
      <c r="H435" s="812" t="s">
        <v>2804</v>
      </c>
      <c r="I435" s="1734" t="s">
        <v>2315</v>
      </c>
    </row>
    <row r="436" spans="1:9" x14ac:dyDescent="0.2">
      <c r="A436" s="813" t="str">
        <f>'Part 1'!$L$17</f>
        <v>EZZZZ</v>
      </c>
      <c r="B436">
        <v>2017</v>
      </c>
      <c r="C436">
        <v>122</v>
      </c>
      <c r="D436">
        <v>1</v>
      </c>
      <c r="E436" s="277" t="s">
        <v>2310</v>
      </c>
      <c r="F436" s="1546">
        <f>'CHECK P3'!AH18</f>
        <v>0</v>
      </c>
      <c r="G436" s="814"/>
      <c r="H436" s="812" t="s">
        <v>2805</v>
      </c>
      <c r="I436" s="1734" t="s">
        <v>2315</v>
      </c>
    </row>
    <row r="437" spans="1:9" x14ac:dyDescent="0.2">
      <c r="A437" s="813" t="str">
        <f>'Part 1'!$L$17</f>
        <v>EZZZZ</v>
      </c>
      <c r="B437">
        <v>2017</v>
      </c>
      <c r="C437">
        <v>123</v>
      </c>
      <c r="D437">
        <v>1</v>
      </c>
      <c r="E437" s="277" t="s">
        <v>2310</v>
      </c>
      <c r="F437" s="1547">
        <f>'CHECK P3'!AH23</f>
        <v>0</v>
      </c>
      <c r="G437" s="814"/>
      <c r="H437" s="812" t="s">
        <v>2806</v>
      </c>
      <c r="I437" s="1734" t="s">
        <v>2315</v>
      </c>
    </row>
    <row r="438" spans="1:9" x14ac:dyDescent="0.2">
      <c r="A438" s="813" t="str">
        <f>'Part 1'!$L$17</f>
        <v>EZZZZ</v>
      </c>
      <c r="B438">
        <v>2017</v>
      </c>
      <c r="C438">
        <v>124</v>
      </c>
      <c r="D438">
        <v>1</v>
      </c>
      <c r="E438" s="277" t="s">
        <v>2310</v>
      </c>
      <c r="F438" s="1546">
        <f>'CHECK P3'!AH26</f>
        <v>0</v>
      </c>
      <c r="G438" s="814"/>
      <c r="H438" s="812" t="s">
        <v>2807</v>
      </c>
      <c r="I438" s="1734" t="s">
        <v>2315</v>
      </c>
    </row>
    <row r="439" spans="1:9" x14ac:dyDescent="0.2">
      <c r="A439" s="813" t="str">
        <f>'Part 1'!$L$17</f>
        <v>EZZZZ</v>
      </c>
      <c r="B439">
        <v>2017</v>
      </c>
      <c r="C439">
        <v>125</v>
      </c>
      <c r="D439">
        <v>1</v>
      </c>
      <c r="E439" s="277" t="s">
        <v>2310</v>
      </c>
      <c r="F439" s="1547">
        <f>'CHECK P3'!AH31</f>
        <v>0</v>
      </c>
      <c r="G439" s="814"/>
      <c r="H439" s="812" t="s">
        <v>2808</v>
      </c>
      <c r="I439" s="1734" t="s">
        <v>2315</v>
      </c>
    </row>
    <row r="440" spans="1:9" x14ac:dyDescent="0.2">
      <c r="A440" s="813" t="str">
        <f>'Part 1'!$L$17</f>
        <v>EZZZZ</v>
      </c>
      <c r="B440">
        <v>2017</v>
      </c>
      <c r="C440">
        <v>126</v>
      </c>
      <c r="D440">
        <v>1</v>
      </c>
      <c r="E440" s="277" t="s">
        <v>2310</v>
      </c>
      <c r="F440" s="1546">
        <f>'CHECK P3'!AH36</f>
        <v>0</v>
      </c>
      <c r="G440" s="814"/>
      <c r="H440" s="812" t="s">
        <v>2809</v>
      </c>
      <c r="I440" s="1734" t="s">
        <v>2315</v>
      </c>
    </row>
    <row r="441" spans="1:9" x14ac:dyDescent="0.2">
      <c r="A441" s="813" t="str">
        <f>'Part 1'!$L$17</f>
        <v>EZZZZ</v>
      </c>
      <c r="B441">
        <v>2017</v>
      </c>
      <c r="C441">
        <v>127</v>
      </c>
      <c r="D441">
        <v>1</v>
      </c>
      <c r="E441" s="277" t="s">
        <v>2310</v>
      </c>
      <c r="F441" s="1547">
        <f>'CHECK P3'!AH38</f>
        <v>0</v>
      </c>
      <c r="G441" s="814"/>
      <c r="H441" s="812" t="s">
        <v>2810</v>
      </c>
      <c r="I441" s="1734" t="s">
        <v>2315</v>
      </c>
    </row>
    <row r="442" spans="1:9" x14ac:dyDescent="0.2">
      <c r="A442" s="813" t="str">
        <f>'Part 1'!$L$17</f>
        <v>EZZZZ</v>
      </c>
      <c r="B442">
        <v>2017</v>
      </c>
      <c r="C442">
        <v>128</v>
      </c>
      <c r="D442">
        <v>1</v>
      </c>
      <c r="E442" s="277" t="s">
        <v>2310</v>
      </c>
      <c r="F442" s="1546">
        <f>'CHECK P3'!AH40</f>
        <v>0</v>
      </c>
      <c r="G442" s="814"/>
      <c r="H442" s="812" t="s">
        <v>2811</v>
      </c>
      <c r="I442" s="1734" t="s">
        <v>2315</v>
      </c>
    </row>
    <row r="443" spans="1:9" x14ac:dyDescent="0.2">
      <c r="A443" s="813" t="str">
        <f>'Part 1'!$L$17</f>
        <v>EZZZZ</v>
      </c>
      <c r="B443">
        <v>2017</v>
      </c>
      <c r="C443">
        <v>129</v>
      </c>
      <c r="D443">
        <v>1</v>
      </c>
      <c r="E443" s="277" t="s">
        <v>2310</v>
      </c>
      <c r="F443" s="1547">
        <f>'CHECK P3'!AH44</f>
        <v>0</v>
      </c>
      <c r="G443" s="814"/>
      <c r="H443" s="812" t="s">
        <v>2812</v>
      </c>
      <c r="I443" s="1734" t="s">
        <v>2315</v>
      </c>
    </row>
    <row r="444" spans="1:9" x14ac:dyDescent="0.2">
      <c r="A444" s="813" t="str">
        <f>'Part 1'!$L$17</f>
        <v>EZZZZ</v>
      </c>
      <c r="B444">
        <v>2017</v>
      </c>
      <c r="C444">
        <v>130</v>
      </c>
      <c r="D444">
        <v>1</v>
      </c>
      <c r="E444" s="277" t="s">
        <v>2310</v>
      </c>
      <c r="F444" s="1546">
        <f>'CHECK P3'!AH49</f>
        <v>0</v>
      </c>
      <c r="G444" s="814"/>
      <c r="H444" s="812" t="s">
        <v>2813</v>
      </c>
      <c r="I444" s="1734" t="s">
        <v>2315</v>
      </c>
    </row>
    <row r="445" spans="1:9" x14ac:dyDescent="0.2">
      <c r="A445" s="813" t="str">
        <f>'Part 1'!$L$17</f>
        <v>EZZZZ</v>
      </c>
      <c r="B445">
        <v>2017</v>
      </c>
      <c r="C445">
        <v>131</v>
      </c>
      <c r="D445">
        <v>1</v>
      </c>
      <c r="E445" s="277" t="s">
        <v>2310</v>
      </c>
      <c r="F445" s="1547">
        <f>'CHECK P3'!AH54</f>
        <v>0</v>
      </c>
      <c r="G445" s="814"/>
      <c r="H445" s="812" t="s">
        <v>2814</v>
      </c>
      <c r="I445" s="1734" t="s">
        <v>2315</v>
      </c>
    </row>
    <row r="446" spans="1:9" x14ac:dyDescent="0.2">
      <c r="A446" s="813" t="str">
        <f>'Part 1'!$L$17</f>
        <v>EZZZZ</v>
      </c>
      <c r="B446">
        <v>2017</v>
      </c>
      <c r="C446">
        <v>132</v>
      </c>
      <c r="D446">
        <v>1</v>
      </c>
      <c r="E446" s="277" t="s">
        <v>2310</v>
      </c>
      <c r="F446" s="1546">
        <f>'CHECK P3'!AH57</f>
        <v>0</v>
      </c>
      <c r="G446" s="814"/>
      <c r="H446" s="812" t="s">
        <v>2815</v>
      </c>
      <c r="I446" s="1734" t="s">
        <v>2315</v>
      </c>
    </row>
    <row r="447" spans="1:9" x14ac:dyDescent="0.2">
      <c r="A447" s="813" t="str">
        <f>'Part 1'!$L$17</f>
        <v>EZZZZ</v>
      </c>
      <c r="B447">
        <v>2017</v>
      </c>
      <c r="C447">
        <v>133</v>
      </c>
      <c r="D447">
        <v>1</v>
      </c>
      <c r="E447" s="277" t="s">
        <v>2310</v>
      </c>
      <c r="F447" s="1547">
        <f>'CHECK P3'!AH60</f>
        <v>0</v>
      </c>
      <c r="G447" s="814"/>
      <c r="H447" s="812" t="s">
        <v>2816</v>
      </c>
      <c r="I447" s="1734" t="s">
        <v>2315</v>
      </c>
    </row>
    <row r="448" spans="1:9" x14ac:dyDescent="0.2">
      <c r="A448" s="813" t="str">
        <f>'Part 1'!$L$17</f>
        <v>EZZZZ</v>
      </c>
      <c r="B448">
        <v>2017</v>
      </c>
      <c r="C448">
        <v>134</v>
      </c>
      <c r="D448">
        <v>1</v>
      </c>
      <c r="E448" s="277" t="s">
        <v>2310</v>
      </c>
      <c r="F448" s="1546">
        <f>'CHECK P3'!AH62</f>
        <v>0</v>
      </c>
      <c r="G448" s="814"/>
      <c r="H448" s="812" t="s">
        <v>2817</v>
      </c>
      <c r="I448" s="1734" t="s">
        <v>2315</v>
      </c>
    </row>
    <row r="449" spans="1:9" x14ac:dyDescent="0.2">
      <c r="A449" s="813" t="str">
        <f>'Part 1'!$L$17</f>
        <v>EZZZZ</v>
      </c>
      <c r="B449">
        <v>2017</v>
      </c>
      <c r="C449">
        <v>135</v>
      </c>
      <c r="D449">
        <v>1</v>
      </c>
      <c r="E449" s="277" t="s">
        <v>2310</v>
      </c>
      <c r="F449" s="1547">
        <f>'CHECK P3'!AH66</f>
        <v>0</v>
      </c>
      <c r="G449" s="814"/>
      <c r="H449" s="812" t="s">
        <v>2818</v>
      </c>
      <c r="I449" s="1734" t="s">
        <v>2315</v>
      </c>
    </row>
    <row r="450" spans="1:9" x14ac:dyDescent="0.2">
      <c r="A450" s="813" t="str">
        <f>'Part 1'!$L$17</f>
        <v>EZZZZ</v>
      </c>
      <c r="B450">
        <v>2017</v>
      </c>
      <c r="C450">
        <v>136</v>
      </c>
      <c r="D450">
        <v>1</v>
      </c>
      <c r="E450" s="277" t="s">
        <v>2310</v>
      </c>
      <c r="F450" s="1546">
        <f>'CHECK P3'!AH70</f>
        <v>0</v>
      </c>
      <c r="G450" s="814"/>
      <c r="H450" s="812" t="s">
        <v>2819</v>
      </c>
      <c r="I450" s="1734" t="s">
        <v>2315</v>
      </c>
    </row>
    <row r="451" spans="1:9" x14ac:dyDescent="0.2">
      <c r="A451" s="813" t="str">
        <f>'Part 1'!$L$17</f>
        <v>EZZZZ</v>
      </c>
      <c r="B451">
        <v>2017</v>
      </c>
      <c r="C451">
        <v>137</v>
      </c>
      <c r="D451">
        <v>1</v>
      </c>
      <c r="E451" s="277" t="s">
        <v>2310</v>
      </c>
      <c r="F451" s="1546">
        <f>'CHECK P4'!S28</f>
        <v>0</v>
      </c>
      <c r="G451" s="814"/>
      <c r="H451" s="812" t="s">
        <v>2820</v>
      </c>
      <c r="I451" s="1734" t="s">
        <v>2315</v>
      </c>
    </row>
    <row r="452" spans="1:9" x14ac:dyDescent="0.2">
      <c r="A452" s="813" t="str">
        <f>'Part 1'!$L$17</f>
        <v>EZZZZ</v>
      </c>
      <c r="B452">
        <v>2017</v>
      </c>
      <c r="C452">
        <v>138</v>
      </c>
      <c r="D452">
        <v>1</v>
      </c>
      <c r="E452" s="277" t="s">
        <v>2310</v>
      </c>
      <c r="F452" s="1546">
        <f>'CHECK P4'!S37</f>
        <v>0</v>
      </c>
      <c r="G452" s="814"/>
      <c r="H452" s="812" t="s">
        <v>2821</v>
      </c>
      <c r="I452" s="1734" t="s">
        <v>2315</v>
      </c>
    </row>
    <row r="453" spans="1:9" x14ac:dyDescent="0.2">
      <c r="A453" s="813" t="str">
        <f>'Part 1'!$L$17</f>
        <v>EZZZZ</v>
      </c>
      <c r="B453">
        <v>2017</v>
      </c>
      <c r="C453">
        <v>139</v>
      </c>
      <c r="D453">
        <v>1</v>
      </c>
      <c r="E453" s="277" t="s">
        <v>2310</v>
      </c>
      <c r="F453" s="1546">
        <f>'CHECK P4'!S58</f>
        <v>0</v>
      </c>
      <c r="G453" s="814"/>
      <c r="H453" s="812" t="s">
        <v>2822</v>
      </c>
      <c r="I453" s="1734" t="s">
        <v>2315</v>
      </c>
    </row>
    <row r="454" spans="1:9" x14ac:dyDescent="0.2">
      <c r="A454" s="813" t="str">
        <f>'Part 1'!$L$17</f>
        <v>EZZZZ</v>
      </c>
      <c r="B454">
        <v>2017</v>
      </c>
      <c r="C454">
        <v>140</v>
      </c>
      <c r="D454">
        <v>1</v>
      </c>
      <c r="E454" s="277" t="s">
        <v>2310</v>
      </c>
      <c r="F454" s="1547">
        <f>'CHECK P4'!S63</f>
        <v>0</v>
      </c>
      <c r="G454" s="814"/>
      <c r="H454" s="812" t="s">
        <v>2823</v>
      </c>
      <c r="I454" s="1734" t="s">
        <v>2315</v>
      </c>
    </row>
    <row r="455" spans="1:9" x14ac:dyDescent="0.2">
      <c r="A455" s="813" t="str">
        <f>'Part 1'!$L$17</f>
        <v>EZZZZ</v>
      </c>
      <c r="B455">
        <v>2017</v>
      </c>
      <c r="C455">
        <v>141</v>
      </c>
      <c r="D455">
        <v>1</v>
      </c>
      <c r="E455" s="277" t="s">
        <v>2310</v>
      </c>
      <c r="F455" s="1546">
        <f>'CHECK SUPPLEMENTARY'!L32</f>
        <v>0</v>
      </c>
      <c r="G455" s="814"/>
      <c r="H455" s="812" t="s">
        <v>2824</v>
      </c>
      <c r="I455" s="1734" t="s">
        <v>2315</v>
      </c>
    </row>
    <row r="456" spans="1:9" x14ac:dyDescent="0.2">
      <c r="A456" s="813" t="str">
        <f>'Part 1'!$L$17</f>
        <v>EZZZZ</v>
      </c>
      <c r="B456">
        <v>2017</v>
      </c>
      <c r="C456">
        <v>142</v>
      </c>
      <c r="D456">
        <v>1</v>
      </c>
      <c r="E456" s="277" t="s">
        <v>2310</v>
      </c>
      <c r="F456" s="1546">
        <f>'CHECK SUPPLEMENTARY'!L66</f>
        <v>0</v>
      </c>
      <c r="G456" s="814"/>
      <c r="H456" s="812" t="s">
        <v>2825</v>
      </c>
      <c r="I456" s="1734" t="s">
        <v>2315</v>
      </c>
    </row>
    <row r="457" spans="1:9" x14ac:dyDescent="0.2">
      <c r="A457" s="813" t="str">
        <f>'Part 1'!$L$17</f>
        <v>EZZZZ</v>
      </c>
      <c r="B457">
        <v>2017</v>
      </c>
      <c r="C457">
        <v>143</v>
      </c>
      <c r="D457">
        <v>1</v>
      </c>
      <c r="E457" s="277" t="s">
        <v>2310</v>
      </c>
      <c r="F457" s="1546">
        <f>'CHECK SUPPLEMENTARY'!L71</f>
        <v>0</v>
      </c>
      <c r="G457" s="814"/>
      <c r="H457" s="812" t="s">
        <v>2826</v>
      </c>
      <c r="I457" s="1734" t="s">
        <v>2315</v>
      </c>
    </row>
    <row r="458" spans="1:9" x14ac:dyDescent="0.2">
      <c r="A458" s="813" t="str">
        <f>'Part 1'!$L$17</f>
        <v>EZZZZ</v>
      </c>
      <c r="B458">
        <v>2017</v>
      </c>
      <c r="C458">
        <v>144</v>
      </c>
      <c r="D458">
        <v>1</v>
      </c>
      <c r="E458" s="277" t="s">
        <v>2310</v>
      </c>
      <c r="F458" s="1546">
        <f>'CHECK SUPPLEMENTARY'!L87</f>
        <v>0</v>
      </c>
      <c r="G458" s="814"/>
      <c r="H458" s="812" t="s">
        <v>2827</v>
      </c>
      <c r="I458" s="1734" t="s">
        <v>2315</v>
      </c>
    </row>
    <row r="459" spans="1:9" x14ac:dyDescent="0.2">
      <c r="A459" s="813" t="str">
        <f>'Part 1'!$L$17</f>
        <v>EZZZZ</v>
      </c>
      <c r="B459">
        <v>2017</v>
      </c>
      <c r="C459">
        <v>145</v>
      </c>
      <c r="D459">
        <v>1</v>
      </c>
      <c r="E459" s="277" t="s">
        <v>2310</v>
      </c>
      <c r="F459" s="1547">
        <f>'CHECK SUPPLEMENTARY'!L103</f>
        <v>0</v>
      </c>
      <c r="G459" s="814"/>
      <c r="H459" s="812" t="s">
        <v>2828</v>
      </c>
      <c r="I459" s="1734" t="s">
        <v>2315</v>
      </c>
    </row>
    <row r="460" spans="1:9" x14ac:dyDescent="0.2">
      <c r="A460" s="813" t="str">
        <f>'Part 1'!$L$17</f>
        <v>EZZZZ</v>
      </c>
      <c r="B460">
        <v>2017</v>
      </c>
      <c r="C460">
        <v>146</v>
      </c>
      <c r="D460">
        <v>1</v>
      </c>
      <c r="E460" s="277" t="s">
        <v>2310</v>
      </c>
      <c r="F460" s="1546">
        <f>'CHECK SUPPLEMENTARY'!L110</f>
        <v>0</v>
      </c>
      <c r="G460" s="814"/>
      <c r="H460" s="812" t="s">
        <v>2829</v>
      </c>
      <c r="I460" s="1734" t="s">
        <v>2315</v>
      </c>
    </row>
    <row r="461" spans="1:9" x14ac:dyDescent="0.2">
      <c r="A461" s="813" t="str">
        <f>'Part 1'!$L$17</f>
        <v>EZZZZ</v>
      </c>
      <c r="B461">
        <v>2017</v>
      </c>
      <c r="C461">
        <v>147</v>
      </c>
      <c r="D461">
        <v>1</v>
      </c>
      <c r="E461" s="277" t="s">
        <v>2310</v>
      </c>
      <c r="F461" s="1546">
        <f>'CHECK P3 DA'!BA6</f>
        <v>0</v>
      </c>
      <c r="G461" s="814"/>
      <c r="H461" s="812" t="s">
        <v>2830</v>
      </c>
      <c r="I461" s="1734" t="s">
        <v>2315</v>
      </c>
    </row>
    <row r="462" spans="1:9" x14ac:dyDescent="0.2">
      <c r="A462" s="813" t="str">
        <f>'Part 1'!$L$17</f>
        <v>EZZZZ</v>
      </c>
      <c r="B462">
        <v>2017</v>
      </c>
      <c r="C462">
        <v>148</v>
      </c>
      <c r="D462">
        <v>1</v>
      </c>
      <c r="E462" s="277" t="s">
        <v>2310</v>
      </c>
      <c r="F462" s="1546">
        <f>'CHECK P3 DA'!BA13</f>
        <v>0</v>
      </c>
      <c r="G462" s="814"/>
      <c r="H462" s="812" t="s">
        <v>2831</v>
      </c>
      <c r="I462" s="1734" t="s">
        <v>2315</v>
      </c>
    </row>
    <row r="463" spans="1:9" x14ac:dyDescent="0.2">
      <c r="A463" s="813" t="str">
        <f>'Part 1'!$L$17</f>
        <v>EZZZZ</v>
      </c>
      <c r="B463">
        <v>2017</v>
      </c>
      <c r="C463">
        <v>149</v>
      </c>
      <c r="D463">
        <v>1</v>
      </c>
      <c r="E463" s="277" t="s">
        <v>2310</v>
      </c>
      <c r="F463" s="1546">
        <f>'CHECK P3 DA'!BA14</f>
        <v>0</v>
      </c>
      <c r="G463" s="814"/>
      <c r="H463" s="812" t="s">
        <v>2832</v>
      </c>
      <c r="I463" s="1734" t="s">
        <v>2315</v>
      </c>
    </row>
    <row r="464" spans="1:9" x14ac:dyDescent="0.2">
      <c r="A464" s="813" t="str">
        <f>'Part 1'!$L$17</f>
        <v>EZZZZ</v>
      </c>
      <c r="B464">
        <v>2017</v>
      </c>
      <c r="C464">
        <v>150</v>
      </c>
      <c r="D464">
        <v>1</v>
      </c>
      <c r="E464" s="277" t="s">
        <v>2310</v>
      </c>
      <c r="F464" s="1546">
        <f>'CHECK P3 DA'!BA15</f>
        <v>0</v>
      </c>
      <c r="G464" s="814"/>
      <c r="H464" s="812" t="s">
        <v>2833</v>
      </c>
      <c r="I464" s="1734" t="s">
        <v>2315</v>
      </c>
    </row>
    <row r="465" spans="1:9" x14ac:dyDescent="0.2">
      <c r="A465" s="813" t="str">
        <f>'Part 1'!$L$17</f>
        <v>EZZZZ</v>
      </c>
      <c r="B465">
        <v>2017</v>
      </c>
      <c r="C465">
        <v>151</v>
      </c>
      <c r="D465">
        <v>1</v>
      </c>
      <c r="E465" s="277" t="s">
        <v>2310</v>
      </c>
      <c r="F465" s="1546">
        <f>'CHECK P3 DA'!BA16</f>
        <v>0</v>
      </c>
      <c r="G465" s="814"/>
      <c r="H465" s="812" t="s">
        <v>2834</v>
      </c>
      <c r="I465" s="1734" t="s">
        <v>2315</v>
      </c>
    </row>
    <row r="466" spans="1:9" x14ac:dyDescent="0.2">
      <c r="A466" s="813" t="str">
        <f>'Part 1'!$L$17</f>
        <v>EZZZZ</v>
      </c>
      <c r="B466">
        <v>2017</v>
      </c>
      <c r="C466">
        <v>152</v>
      </c>
      <c r="D466">
        <v>1</v>
      </c>
      <c r="E466" s="277" t="s">
        <v>2310</v>
      </c>
      <c r="F466" s="1546">
        <f>'CHECK P3 DA'!BA17</f>
        <v>0</v>
      </c>
      <c r="G466" s="814"/>
      <c r="H466" s="812" t="s">
        <v>2835</v>
      </c>
      <c r="I466" s="1734" t="s">
        <v>2315</v>
      </c>
    </row>
    <row r="467" spans="1:9" x14ac:dyDescent="0.2">
      <c r="A467" s="813" t="str">
        <f>'Part 1'!$L$17</f>
        <v>EZZZZ</v>
      </c>
      <c r="B467">
        <v>2017</v>
      </c>
      <c r="C467">
        <v>153</v>
      </c>
      <c r="D467">
        <v>1</v>
      </c>
      <c r="E467" s="277" t="s">
        <v>2310</v>
      </c>
      <c r="F467" s="1546">
        <f>'CHECK P3 DA'!BA18</f>
        <v>0</v>
      </c>
      <c r="G467" s="814"/>
      <c r="H467" s="812" t="s">
        <v>2836</v>
      </c>
      <c r="I467" s="1734" t="s">
        <v>2315</v>
      </c>
    </row>
    <row r="468" spans="1:9" x14ac:dyDescent="0.2">
      <c r="A468" s="813" t="str">
        <f>'Part 1'!$L$17</f>
        <v>EZZZZ</v>
      </c>
      <c r="B468">
        <v>2017</v>
      </c>
      <c r="C468">
        <v>154</v>
      </c>
      <c r="D468">
        <v>1</v>
      </c>
      <c r="E468" s="277" t="s">
        <v>2310</v>
      </c>
      <c r="F468" s="1546">
        <f>'CHECK P3 DA'!BA19</f>
        <v>0</v>
      </c>
      <c r="G468" s="814"/>
      <c r="H468" s="812" t="s">
        <v>2837</v>
      </c>
      <c r="I468" s="1734" t="s">
        <v>2315</v>
      </c>
    </row>
    <row r="469" spans="1:9" x14ac:dyDescent="0.2">
      <c r="A469" s="813" t="str">
        <f>'Part 1'!$L$17</f>
        <v>EZZZZ</v>
      </c>
      <c r="B469">
        <v>2017</v>
      </c>
      <c r="C469">
        <v>155</v>
      </c>
      <c r="D469">
        <v>1</v>
      </c>
      <c r="E469" s="277" t="s">
        <v>2310</v>
      </c>
      <c r="F469" s="1546">
        <f>'CHECK P3 DA'!BA20</f>
        <v>0</v>
      </c>
      <c r="G469" s="814"/>
      <c r="H469" s="812" t="s">
        <v>2838</v>
      </c>
      <c r="I469" s="1734" t="s">
        <v>2315</v>
      </c>
    </row>
    <row r="470" spans="1:9" x14ac:dyDescent="0.2">
      <c r="A470" s="813" t="str">
        <f>'Part 1'!$L$17</f>
        <v>EZZZZ</v>
      </c>
      <c r="B470">
        <v>2017</v>
      </c>
      <c r="C470">
        <v>156</v>
      </c>
      <c r="D470">
        <v>1</v>
      </c>
      <c r="E470" s="277" t="s">
        <v>2310</v>
      </c>
      <c r="F470" s="1546">
        <f>'CHECK P3 DA'!BA21</f>
        <v>0</v>
      </c>
      <c r="G470" s="814"/>
      <c r="H470" s="812" t="s">
        <v>2839</v>
      </c>
      <c r="I470" s="1734" t="s">
        <v>2315</v>
      </c>
    </row>
    <row r="471" spans="1:9" x14ac:dyDescent="0.2">
      <c r="A471" s="813" t="str">
        <f>'Part 1'!$L$17</f>
        <v>EZZZZ</v>
      </c>
      <c r="B471">
        <v>2017</v>
      </c>
      <c r="C471">
        <v>157</v>
      </c>
      <c r="D471">
        <v>1</v>
      </c>
      <c r="E471" s="277" t="s">
        <v>2310</v>
      </c>
      <c r="F471" s="1546">
        <f>'CHECK P3 DA'!BA22</f>
        <v>0</v>
      </c>
      <c r="G471" s="814"/>
      <c r="H471" s="812" t="s">
        <v>2840</v>
      </c>
      <c r="I471" s="1734" t="s">
        <v>2315</v>
      </c>
    </row>
    <row r="472" spans="1:9" x14ac:dyDescent="0.2">
      <c r="A472" s="813" t="str">
        <f>'Part 1'!$L$17</f>
        <v>EZZZZ</v>
      </c>
      <c r="B472">
        <v>2017</v>
      </c>
      <c r="C472">
        <v>158</v>
      </c>
      <c r="D472">
        <v>1</v>
      </c>
      <c r="E472" s="277" t="s">
        <v>2310</v>
      </c>
      <c r="F472" s="1546">
        <f>'CHECK P3 DA'!BA23</f>
        <v>0</v>
      </c>
      <c r="G472" s="814"/>
      <c r="H472" s="812" t="s">
        <v>2841</v>
      </c>
      <c r="I472" s="1734" t="s">
        <v>2315</v>
      </c>
    </row>
    <row r="473" spans="1:9" x14ac:dyDescent="0.2">
      <c r="A473" s="813" t="str">
        <f>'Part 1'!$L$17</f>
        <v>EZZZZ</v>
      </c>
      <c r="B473">
        <v>2017</v>
      </c>
      <c r="C473">
        <v>159</v>
      </c>
      <c r="D473">
        <v>1</v>
      </c>
      <c r="E473" s="277" t="s">
        <v>2310</v>
      </c>
      <c r="F473" s="1546">
        <f>'CHECK P3 DA'!BA24</f>
        <v>0</v>
      </c>
      <c r="G473" s="814"/>
      <c r="H473" s="812" t="s">
        <v>2842</v>
      </c>
      <c r="I473" s="1734" t="s">
        <v>2315</v>
      </c>
    </row>
    <row r="474" spans="1:9" x14ac:dyDescent="0.2">
      <c r="A474" s="813" t="str">
        <f>'Part 1'!$L$17</f>
        <v>EZZZZ</v>
      </c>
      <c r="B474">
        <v>2017</v>
      </c>
      <c r="C474">
        <v>160</v>
      </c>
      <c r="D474">
        <v>1</v>
      </c>
      <c r="E474" s="277" t="s">
        <v>2310</v>
      </c>
      <c r="F474" s="1546">
        <f>'CHECK P3 DA'!BA25</f>
        <v>0</v>
      </c>
      <c r="G474" s="814"/>
      <c r="H474" s="812" t="s">
        <v>2843</v>
      </c>
      <c r="I474" s="1734" t="s">
        <v>2315</v>
      </c>
    </row>
    <row r="475" spans="1:9" x14ac:dyDescent="0.2">
      <c r="A475" s="813" t="str">
        <f>'Part 1'!$L$17</f>
        <v>EZZZZ</v>
      </c>
      <c r="B475">
        <v>2017</v>
      </c>
      <c r="C475">
        <v>161</v>
      </c>
      <c r="D475">
        <v>1</v>
      </c>
      <c r="E475" s="277" t="s">
        <v>2310</v>
      </c>
      <c r="F475" s="1546">
        <f>'CHECK P3 DA'!BA26</f>
        <v>0</v>
      </c>
      <c r="G475" s="814"/>
      <c r="H475" s="812" t="s">
        <v>2844</v>
      </c>
      <c r="I475" s="1734" t="s">
        <v>2315</v>
      </c>
    </row>
    <row r="476" spans="1:9" x14ac:dyDescent="0.2">
      <c r="A476" s="813" t="str">
        <f>'Part 1'!$L$17</f>
        <v>EZZZZ</v>
      </c>
      <c r="B476">
        <v>2017</v>
      </c>
      <c r="C476">
        <v>162</v>
      </c>
      <c r="D476">
        <v>1</v>
      </c>
      <c r="E476" s="277" t="s">
        <v>2310</v>
      </c>
      <c r="F476" s="1546">
        <f>'CHECK P3 DA'!BA27</f>
        <v>0</v>
      </c>
      <c r="G476" s="814"/>
      <c r="H476" s="812" t="s">
        <v>2845</v>
      </c>
      <c r="I476" s="1734" t="s">
        <v>2315</v>
      </c>
    </row>
    <row r="477" spans="1:9" x14ac:dyDescent="0.2">
      <c r="A477" s="813" t="str">
        <f>'Part 1'!$L$17</f>
        <v>EZZZZ</v>
      </c>
      <c r="B477">
        <v>2017</v>
      </c>
      <c r="C477">
        <v>163</v>
      </c>
      <c r="D477">
        <v>1</v>
      </c>
      <c r="E477" s="277" t="s">
        <v>2310</v>
      </c>
      <c r="F477" s="1546">
        <f>'CHECK P3 DA'!BA28</f>
        <v>0</v>
      </c>
      <c r="G477" s="814"/>
      <c r="H477" s="812" t="s">
        <v>2846</v>
      </c>
      <c r="I477" s="1734" t="s">
        <v>2315</v>
      </c>
    </row>
    <row r="478" spans="1:9" x14ac:dyDescent="0.2">
      <c r="A478" s="813" t="str">
        <f>'Part 1'!$L$17</f>
        <v>EZZZZ</v>
      </c>
      <c r="B478">
        <v>2017</v>
      </c>
      <c r="C478">
        <v>164</v>
      </c>
      <c r="D478">
        <v>1</v>
      </c>
      <c r="E478" s="277" t="s">
        <v>2310</v>
      </c>
      <c r="F478" s="1546">
        <f>'CHECK P3 DA'!BA29</f>
        <v>0</v>
      </c>
      <c r="G478" s="814"/>
      <c r="H478" s="812" t="s">
        <v>2847</v>
      </c>
      <c r="I478" s="1734" t="s">
        <v>2315</v>
      </c>
    </row>
    <row r="479" spans="1:9" x14ac:dyDescent="0.2">
      <c r="A479" s="813" t="str">
        <f>'Part 1'!$L$17</f>
        <v>EZZZZ</v>
      </c>
      <c r="B479">
        <v>2017</v>
      </c>
      <c r="C479">
        <v>165</v>
      </c>
      <c r="D479">
        <v>1</v>
      </c>
      <c r="E479" s="277" t="s">
        <v>2310</v>
      </c>
      <c r="F479" s="1546">
        <f>'CHECK P3 DA'!BA30</f>
        <v>0</v>
      </c>
      <c r="G479" s="814"/>
      <c r="H479" s="812" t="s">
        <v>2848</v>
      </c>
      <c r="I479" s="1734" t="s">
        <v>2315</v>
      </c>
    </row>
    <row r="480" spans="1:9" x14ac:dyDescent="0.2">
      <c r="A480" s="813" t="str">
        <f>'Part 1'!$L$17</f>
        <v>EZZZZ</v>
      </c>
      <c r="B480">
        <v>2017</v>
      </c>
      <c r="C480">
        <v>166</v>
      </c>
      <c r="D480">
        <v>1</v>
      </c>
      <c r="E480" s="277" t="s">
        <v>2310</v>
      </c>
      <c r="F480" s="1546">
        <f>'CHECK P3 DA'!BA31</f>
        <v>0</v>
      </c>
      <c r="G480" s="814"/>
      <c r="H480" s="812" t="s">
        <v>2849</v>
      </c>
      <c r="I480" s="1734" t="s">
        <v>2315</v>
      </c>
    </row>
    <row r="481" spans="1:9" x14ac:dyDescent="0.2">
      <c r="A481" s="813" t="str">
        <f>'Part 1'!$L$17</f>
        <v>EZZZZ</v>
      </c>
      <c r="B481">
        <v>2017</v>
      </c>
      <c r="C481">
        <v>167</v>
      </c>
      <c r="D481">
        <v>1</v>
      </c>
      <c r="E481" s="277" t="s">
        <v>2310</v>
      </c>
      <c r="F481" s="1546">
        <f>'CHECK P3 DA'!BA32</f>
        <v>0</v>
      </c>
      <c r="G481" s="814"/>
      <c r="H481" s="812" t="s">
        <v>2850</v>
      </c>
      <c r="I481" s="1734" t="s">
        <v>2315</v>
      </c>
    </row>
    <row r="482" spans="1:9" x14ac:dyDescent="0.2">
      <c r="A482" s="813" t="str">
        <f>'Part 1'!$L$17</f>
        <v>EZZZZ</v>
      </c>
      <c r="B482">
        <v>2017</v>
      </c>
      <c r="C482">
        <v>168</v>
      </c>
      <c r="D482">
        <v>1</v>
      </c>
      <c r="E482" s="277" t="s">
        <v>2310</v>
      </c>
      <c r="F482" s="1546">
        <f>'CHECK P3 DA'!BA33</f>
        <v>0</v>
      </c>
      <c r="G482" s="814"/>
      <c r="H482" s="812" t="s">
        <v>2851</v>
      </c>
      <c r="I482" s="1734" t="s">
        <v>2315</v>
      </c>
    </row>
    <row r="483" spans="1:9" x14ac:dyDescent="0.2">
      <c r="A483" s="813" t="str">
        <f>'Part 1'!$L$17</f>
        <v>EZZZZ</v>
      </c>
      <c r="B483">
        <v>2017</v>
      </c>
      <c r="C483">
        <v>169</v>
      </c>
      <c r="D483">
        <v>1</v>
      </c>
      <c r="E483" s="277" t="s">
        <v>2310</v>
      </c>
      <c r="F483" s="1546">
        <f>'CHECK P3 DA'!BA34</f>
        <v>0</v>
      </c>
      <c r="G483" s="814"/>
      <c r="H483" s="812" t="s">
        <v>2852</v>
      </c>
      <c r="I483" s="1734" t="s">
        <v>2315</v>
      </c>
    </row>
    <row r="484" spans="1:9" x14ac:dyDescent="0.2">
      <c r="A484" s="813" t="str">
        <f>'Part 1'!$L$17</f>
        <v>EZZZZ</v>
      </c>
      <c r="B484">
        <v>2017</v>
      </c>
      <c r="C484">
        <v>170</v>
      </c>
      <c r="D484">
        <v>1</v>
      </c>
      <c r="E484" s="277" t="s">
        <v>2310</v>
      </c>
      <c r="F484" s="1546">
        <f>'CHECK P3 DA'!BA35</f>
        <v>0</v>
      </c>
      <c r="G484" s="814"/>
      <c r="H484" s="812" t="s">
        <v>2853</v>
      </c>
      <c r="I484" s="1734" t="s">
        <v>2315</v>
      </c>
    </row>
    <row r="485" spans="1:9" x14ac:dyDescent="0.2">
      <c r="A485" s="813" t="str">
        <f>'Part 1'!$L$17</f>
        <v>EZZZZ</v>
      </c>
      <c r="B485">
        <v>2017</v>
      </c>
      <c r="C485">
        <v>171</v>
      </c>
      <c r="D485">
        <v>1</v>
      </c>
      <c r="E485" s="277" t="s">
        <v>2310</v>
      </c>
      <c r="F485" s="1546">
        <f>'CHECK P3 DA'!BA36</f>
        <v>0</v>
      </c>
      <c r="G485" s="814"/>
      <c r="H485" s="812" t="s">
        <v>2854</v>
      </c>
      <c r="I485" s="1734" t="s">
        <v>2315</v>
      </c>
    </row>
    <row r="486" spans="1:9" x14ac:dyDescent="0.2">
      <c r="A486" s="813" t="str">
        <f>'Part 1'!$L$17</f>
        <v>EZZZZ</v>
      </c>
      <c r="B486">
        <v>2017</v>
      </c>
      <c r="C486">
        <v>172</v>
      </c>
      <c r="D486">
        <v>1</v>
      </c>
      <c r="E486" s="277" t="s">
        <v>2310</v>
      </c>
      <c r="F486" s="1546">
        <f>'CHECK P3 DA'!BA37</f>
        <v>0</v>
      </c>
      <c r="G486" s="814"/>
      <c r="H486" s="812" t="s">
        <v>2855</v>
      </c>
      <c r="I486" s="1734" t="s">
        <v>2315</v>
      </c>
    </row>
    <row r="487" spans="1:9" x14ac:dyDescent="0.2">
      <c r="A487" s="813" t="str">
        <f>'Part 1'!$L$17</f>
        <v>EZZZZ</v>
      </c>
      <c r="B487">
        <v>2017</v>
      </c>
      <c r="C487">
        <v>173</v>
      </c>
      <c r="D487">
        <v>1</v>
      </c>
      <c r="E487" s="277" t="s">
        <v>2310</v>
      </c>
      <c r="F487" s="1546">
        <f>'CHECK P3 DA'!BA38</f>
        <v>0</v>
      </c>
      <c r="G487" s="814"/>
      <c r="H487" s="812" t="s">
        <v>2856</v>
      </c>
      <c r="I487" s="1734" t="s">
        <v>2315</v>
      </c>
    </row>
    <row r="488" spans="1:9" x14ac:dyDescent="0.2">
      <c r="A488" s="813" t="str">
        <f>'Part 1'!$L$17</f>
        <v>EZZZZ</v>
      </c>
      <c r="B488">
        <v>2017</v>
      </c>
      <c r="C488">
        <v>174</v>
      </c>
      <c r="D488">
        <v>1</v>
      </c>
      <c r="E488" s="277" t="s">
        <v>2310</v>
      </c>
      <c r="F488" s="1546">
        <f>'CHECK P3 DA'!BA39</f>
        <v>0</v>
      </c>
      <c r="G488" s="814"/>
      <c r="H488" s="812" t="s">
        <v>2857</v>
      </c>
      <c r="I488" s="1734" t="s">
        <v>2315</v>
      </c>
    </row>
    <row r="489" spans="1:9" x14ac:dyDescent="0.2">
      <c r="A489" s="813" t="str">
        <f>'Part 1'!$L$17</f>
        <v>EZZZZ</v>
      </c>
      <c r="B489">
        <v>2017</v>
      </c>
      <c r="C489">
        <v>175</v>
      </c>
      <c r="D489">
        <v>1</v>
      </c>
      <c r="E489" s="277" t="s">
        <v>2310</v>
      </c>
      <c r="F489" s="1546">
        <f>'CHECK P3 DA'!BA40</f>
        <v>0</v>
      </c>
      <c r="G489" s="814"/>
      <c r="H489" s="812" t="s">
        <v>2858</v>
      </c>
      <c r="I489" s="1734" t="s">
        <v>2315</v>
      </c>
    </row>
    <row r="490" spans="1:9" x14ac:dyDescent="0.2">
      <c r="A490" s="813" t="str">
        <f>'Part 1'!$L$17</f>
        <v>EZZZZ</v>
      </c>
      <c r="B490">
        <v>2017</v>
      </c>
      <c r="C490">
        <v>176</v>
      </c>
      <c r="D490">
        <v>1</v>
      </c>
      <c r="E490" s="277" t="s">
        <v>2310</v>
      </c>
      <c r="F490" s="1546">
        <f>'CHECK P3 DA'!BA41</f>
        <v>0</v>
      </c>
      <c r="G490" s="814"/>
      <c r="H490" s="812" t="s">
        <v>2859</v>
      </c>
      <c r="I490" s="1734" t="s">
        <v>2315</v>
      </c>
    </row>
    <row r="491" spans="1:9" x14ac:dyDescent="0.2">
      <c r="A491" s="813" t="str">
        <f>'Part 1'!$L$17</f>
        <v>EZZZZ</v>
      </c>
      <c r="B491">
        <v>2017</v>
      </c>
      <c r="C491">
        <v>177</v>
      </c>
      <c r="D491">
        <v>1</v>
      </c>
      <c r="E491" s="277" t="s">
        <v>2310</v>
      </c>
      <c r="F491" s="1546">
        <f>'CHECK P3 DA'!BA42</f>
        <v>0</v>
      </c>
      <c r="G491" s="814"/>
      <c r="H491" s="812" t="s">
        <v>2860</v>
      </c>
      <c r="I491" s="1734" t="s">
        <v>2315</v>
      </c>
    </row>
    <row r="492" spans="1:9" x14ac:dyDescent="0.2">
      <c r="A492" s="813" t="str">
        <f>'Part 1'!$L$17</f>
        <v>EZZZZ</v>
      </c>
      <c r="B492">
        <v>2017</v>
      </c>
      <c r="C492">
        <v>178</v>
      </c>
      <c r="D492">
        <v>1</v>
      </c>
      <c r="E492" s="277" t="s">
        <v>2310</v>
      </c>
      <c r="F492" s="1546">
        <f>'CHECK P3 DA'!BA43</f>
        <v>0</v>
      </c>
      <c r="G492" s="814"/>
      <c r="H492" s="812" t="s">
        <v>2861</v>
      </c>
      <c r="I492" s="1734" t="s">
        <v>2315</v>
      </c>
    </row>
    <row r="493" spans="1:9" x14ac:dyDescent="0.2">
      <c r="A493" s="813" t="str">
        <f>'Part 1'!$L$17</f>
        <v>EZZZZ</v>
      </c>
      <c r="B493">
        <v>2017</v>
      </c>
      <c r="C493">
        <v>179</v>
      </c>
      <c r="D493">
        <v>1</v>
      </c>
      <c r="E493" s="277" t="s">
        <v>2310</v>
      </c>
      <c r="F493" s="1546">
        <f>'CHECK P3 DA'!BA44</f>
        <v>0</v>
      </c>
      <c r="G493" s="814"/>
      <c r="H493" s="812" t="s">
        <v>2862</v>
      </c>
      <c r="I493" s="1734" t="s">
        <v>2315</v>
      </c>
    </row>
    <row r="494" spans="1:9" x14ac:dyDescent="0.2">
      <c r="A494" s="813" t="str">
        <f>'Part 1'!$L$17</f>
        <v>EZZZZ</v>
      </c>
      <c r="B494">
        <v>2017</v>
      </c>
      <c r="C494">
        <v>180</v>
      </c>
      <c r="D494">
        <v>1</v>
      </c>
      <c r="E494" s="277" t="s">
        <v>2310</v>
      </c>
      <c r="F494" s="1546">
        <f>'CHECK P3 DA'!BA45</f>
        <v>0</v>
      </c>
      <c r="G494" s="814"/>
      <c r="H494" s="812" t="s">
        <v>2863</v>
      </c>
      <c r="I494" s="1734" t="s">
        <v>2315</v>
      </c>
    </row>
    <row r="495" spans="1:9" x14ac:dyDescent="0.2">
      <c r="A495" s="813" t="str">
        <f>'Part 1'!$L$17</f>
        <v>EZZZZ</v>
      </c>
      <c r="B495">
        <v>2017</v>
      </c>
      <c r="C495">
        <v>181</v>
      </c>
      <c r="D495">
        <v>1</v>
      </c>
      <c r="E495" s="277" t="s">
        <v>2310</v>
      </c>
      <c r="F495" s="1546">
        <f>'CHECK P3 DA'!BA46</f>
        <v>0</v>
      </c>
      <c r="G495" s="814"/>
      <c r="H495" s="812" t="s">
        <v>2864</v>
      </c>
      <c r="I495" s="1734" t="s">
        <v>2315</v>
      </c>
    </row>
    <row r="496" spans="1:9" x14ac:dyDescent="0.2">
      <c r="A496" s="813" t="str">
        <f>'Part 1'!$L$17</f>
        <v>EZZZZ</v>
      </c>
      <c r="B496">
        <v>2017</v>
      </c>
      <c r="C496">
        <v>182</v>
      </c>
      <c r="D496">
        <v>1</v>
      </c>
      <c r="E496" s="277" t="s">
        <v>2310</v>
      </c>
      <c r="F496" s="1546">
        <f>'CHECK P3 DA'!BA47</f>
        <v>0</v>
      </c>
      <c r="G496" s="814"/>
      <c r="H496" s="812" t="s">
        <v>2865</v>
      </c>
      <c r="I496" s="1734" t="s">
        <v>2315</v>
      </c>
    </row>
    <row r="497" spans="1:9" x14ac:dyDescent="0.2">
      <c r="A497" s="813" t="str">
        <f>'Part 1'!$L$17</f>
        <v>EZZZZ</v>
      </c>
      <c r="B497">
        <v>2017</v>
      </c>
      <c r="C497">
        <v>183</v>
      </c>
      <c r="D497">
        <v>1</v>
      </c>
      <c r="E497" s="277" t="s">
        <v>2310</v>
      </c>
      <c r="F497" s="1546">
        <f>'CHECK P3 DA'!BA48</f>
        <v>0</v>
      </c>
      <c r="G497" s="814"/>
      <c r="H497" s="812" t="s">
        <v>2866</v>
      </c>
      <c r="I497" s="1734" t="s">
        <v>2315</v>
      </c>
    </row>
    <row r="498" spans="1:9" x14ac:dyDescent="0.2">
      <c r="A498" s="813" t="str">
        <f>'Part 1'!$L$17</f>
        <v>EZZZZ</v>
      </c>
      <c r="B498">
        <v>2017</v>
      </c>
      <c r="C498">
        <v>184</v>
      </c>
      <c r="D498">
        <v>1</v>
      </c>
      <c r="E498" s="277" t="s">
        <v>2310</v>
      </c>
      <c r="F498" s="1546">
        <f>'CHECK P3 DA'!BA49</f>
        <v>0</v>
      </c>
      <c r="G498" s="814"/>
      <c r="H498" s="812" t="s">
        <v>2867</v>
      </c>
      <c r="I498" s="1734" t="s">
        <v>2315</v>
      </c>
    </row>
    <row r="499" spans="1:9" x14ac:dyDescent="0.2">
      <c r="A499" s="813" t="str">
        <f>'Part 1'!$L$17</f>
        <v>EZZZZ</v>
      </c>
      <c r="B499">
        <v>2017</v>
      </c>
      <c r="C499">
        <v>185</v>
      </c>
      <c r="D499">
        <v>1</v>
      </c>
      <c r="E499" s="277" t="s">
        <v>2310</v>
      </c>
      <c r="F499" s="1546">
        <f>'CHECK P3 DA'!BA50</f>
        <v>0</v>
      </c>
      <c r="G499" s="814"/>
      <c r="H499" s="812" t="s">
        <v>2868</v>
      </c>
      <c r="I499" s="1734" t="s">
        <v>2315</v>
      </c>
    </row>
    <row r="500" spans="1:9" x14ac:dyDescent="0.2">
      <c r="A500" s="813" t="str">
        <f>'Part 1'!$L$17</f>
        <v>EZZZZ</v>
      </c>
      <c r="B500">
        <v>2017</v>
      </c>
      <c r="C500">
        <v>186</v>
      </c>
      <c r="D500">
        <v>1</v>
      </c>
      <c r="E500" s="277" t="s">
        <v>2310</v>
      </c>
      <c r="F500" s="1546">
        <f>'CHECK P3 DA'!BA51</f>
        <v>0</v>
      </c>
      <c r="G500" s="814"/>
      <c r="H500" s="812" t="s">
        <v>2869</v>
      </c>
      <c r="I500" s="1734" t="s">
        <v>2315</v>
      </c>
    </row>
    <row r="501" spans="1:9" x14ac:dyDescent="0.2">
      <c r="A501" s="813" t="str">
        <f>'Part 1'!$L$17</f>
        <v>EZZZZ</v>
      </c>
      <c r="B501">
        <v>2017</v>
      </c>
      <c r="C501">
        <v>187</v>
      </c>
      <c r="D501">
        <v>1</v>
      </c>
      <c r="E501" s="277" t="s">
        <v>2310</v>
      </c>
      <c r="F501" s="1546">
        <f>'CHECK P3 DA'!BA52</f>
        <v>0</v>
      </c>
      <c r="G501" s="814"/>
      <c r="H501" s="812" t="s">
        <v>2870</v>
      </c>
      <c r="I501" s="1734" t="s">
        <v>2315</v>
      </c>
    </row>
    <row r="502" spans="1:9" x14ac:dyDescent="0.2">
      <c r="A502" s="813" t="str">
        <f>'Part 1'!$L$17</f>
        <v>EZZZZ</v>
      </c>
      <c r="B502">
        <v>2017</v>
      </c>
      <c r="C502">
        <v>188</v>
      </c>
      <c r="D502">
        <v>1</v>
      </c>
      <c r="E502" s="277" t="s">
        <v>2310</v>
      </c>
      <c r="F502" s="1546">
        <f>'CHECK P3 DA'!BA53</f>
        <v>0</v>
      </c>
      <c r="G502" s="814"/>
      <c r="H502" s="812" t="s">
        <v>2871</v>
      </c>
      <c r="I502" s="1734" t="s">
        <v>2315</v>
      </c>
    </row>
    <row r="503" spans="1:9" x14ac:dyDescent="0.2">
      <c r="A503" s="813" t="str">
        <f>'Part 1'!$L$17</f>
        <v>EZZZZ</v>
      </c>
      <c r="B503">
        <v>2017</v>
      </c>
      <c r="C503">
        <v>189</v>
      </c>
      <c r="D503">
        <v>1</v>
      </c>
      <c r="E503" s="277" t="s">
        <v>2310</v>
      </c>
      <c r="F503" s="814">
        <f>'Main Validation'!AC46</f>
        <v>0</v>
      </c>
      <c r="G503" s="814"/>
      <c r="H503" s="812" t="s">
        <v>2872</v>
      </c>
      <c r="I503" s="1734" t="s">
        <v>2315</v>
      </c>
    </row>
    <row r="504" spans="1:9" x14ac:dyDescent="0.2">
      <c r="A504" s="813" t="str">
        <f>'Part 1'!$L$17</f>
        <v>EZZZZ</v>
      </c>
      <c r="B504">
        <v>2017</v>
      </c>
      <c r="C504">
        <v>190</v>
      </c>
      <c r="D504">
        <v>1</v>
      </c>
      <c r="E504" s="277" t="s">
        <v>2310</v>
      </c>
      <c r="F504" s="814">
        <f>'Supplementary Validation'!AC40</f>
        <v>0</v>
      </c>
      <c r="G504" s="814"/>
      <c r="H504" s="812" t="s">
        <v>2873</v>
      </c>
      <c r="I504" s="1734" t="s">
        <v>2315</v>
      </c>
    </row>
    <row r="505" spans="1:9" x14ac:dyDescent="0.2">
      <c r="A505" s="813" t="str">
        <f>'Part 1'!$L$17</f>
        <v>EZZZZ</v>
      </c>
      <c r="B505">
        <v>2017</v>
      </c>
      <c r="C505">
        <v>191</v>
      </c>
      <c r="D505">
        <v>1</v>
      </c>
      <c r="E505" s="277" t="s">
        <v>2310</v>
      </c>
      <c r="F505" s="814" t="e">
        <f>'Main Validation'!D17</f>
        <v>#N/A</v>
      </c>
      <c r="G505" s="814"/>
      <c r="H505" s="812" t="s">
        <v>2874</v>
      </c>
      <c r="I505" s="1734" t="s">
        <v>2315</v>
      </c>
    </row>
    <row r="506" spans="1:9" x14ac:dyDescent="0.2">
      <c r="A506" s="813" t="str">
        <f>'Part 1'!$L$17</f>
        <v>EZZZZ</v>
      </c>
      <c r="B506">
        <v>2017</v>
      </c>
      <c r="C506">
        <v>192</v>
      </c>
      <c r="D506">
        <v>1</v>
      </c>
      <c r="E506" s="277" t="s">
        <v>2310</v>
      </c>
      <c r="F506" s="814">
        <f>'Main Validation'!D20</f>
        <v>0</v>
      </c>
      <c r="G506" s="814"/>
      <c r="H506" s="812" t="s">
        <v>2875</v>
      </c>
      <c r="I506" s="1734" t="s">
        <v>2315</v>
      </c>
    </row>
    <row r="507" spans="1:9" x14ac:dyDescent="0.2">
      <c r="A507" s="813" t="str">
        <f>'Part 1'!$L$17</f>
        <v>EZZZZ</v>
      </c>
      <c r="B507">
        <v>2017</v>
      </c>
      <c r="C507">
        <v>193</v>
      </c>
      <c r="D507">
        <v>1</v>
      </c>
      <c r="E507" s="277" t="s">
        <v>2310</v>
      </c>
      <c r="F507" s="814">
        <f>'Main Validation'!D21</f>
        <v>0</v>
      </c>
      <c r="G507" s="814"/>
      <c r="H507" s="812" t="s">
        <v>2876</v>
      </c>
      <c r="I507" s="1734" t="s">
        <v>2315</v>
      </c>
    </row>
    <row r="508" spans="1:9" x14ac:dyDescent="0.2">
      <c r="A508" s="813" t="str">
        <f>'Part 1'!$L$17</f>
        <v>EZZZZ</v>
      </c>
      <c r="B508">
        <v>2017</v>
      </c>
      <c r="C508">
        <v>194</v>
      </c>
      <c r="D508">
        <v>1</v>
      </c>
      <c r="E508" s="277" t="s">
        <v>2310</v>
      </c>
      <c r="F508" s="814">
        <f>'Main Validation'!D22</f>
        <v>0</v>
      </c>
      <c r="G508" s="814"/>
      <c r="H508" s="812" t="s">
        <v>2877</v>
      </c>
      <c r="I508" s="1734" t="s">
        <v>2315</v>
      </c>
    </row>
    <row r="509" spans="1:9" x14ac:dyDescent="0.2">
      <c r="A509" s="813" t="str">
        <f>'Part 1'!$L$17</f>
        <v>EZZZZ</v>
      </c>
      <c r="B509">
        <v>2017</v>
      </c>
      <c r="C509">
        <v>195</v>
      </c>
      <c r="D509">
        <v>1</v>
      </c>
      <c r="E509" s="277" t="s">
        <v>2310</v>
      </c>
      <c r="F509" s="814">
        <f>'Main Validation'!D23</f>
        <v>0</v>
      </c>
      <c r="G509" s="814"/>
      <c r="H509" s="812" t="s">
        <v>2878</v>
      </c>
      <c r="I509" s="1734" t="s">
        <v>2315</v>
      </c>
    </row>
    <row r="510" spans="1:9" x14ac:dyDescent="0.2">
      <c r="A510" s="813" t="str">
        <f>'Part 1'!$L$17</f>
        <v>EZZZZ</v>
      </c>
      <c r="B510">
        <v>2017</v>
      </c>
      <c r="C510">
        <v>196</v>
      </c>
      <c r="D510">
        <v>1</v>
      </c>
      <c r="E510" s="277" t="s">
        <v>2310</v>
      </c>
      <c r="F510" s="814">
        <f>'Main Validation'!D24</f>
        <v>0</v>
      </c>
      <c r="G510" s="814"/>
      <c r="H510" s="812" t="s">
        <v>2879</v>
      </c>
      <c r="I510" s="1734" t="s">
        <v>2315</v>
      </c>
    </row>
    <row r="511" spans="1:9" x14ac:dyDescent="0.2">
      <c r="A511" s="813" t="str">
        <f>'Part 1'!$L$17</f>
        <v>EZZZZ</v>
      </c>
      <c r="B511">
        <v>2017</v>
      </c>
      <c r="C511">
        <v>197</v>
      </c>
      <c r="D511">
        <v>1</v>
      </c>
      <c r="E511" s="277" t="s">
        <v>2310</v>
      </c>
      <c r="F511" s="814">
        <f>'Main Validation'!D25</f>
        <v>0</v>
      </c>
      <c r="H511" s="812" t="s">
        <v>2880</v>
      </c>
      <c r="I511" s="1734" t="s">
        <v>2315</v>
      </c>
    </row>
    <row r="512" spans="1:9" x14ac:dyDescent="0.2">
      <c r="A512" s="813" t="str">
        <f>'Part 1'!$L$17</f>
        <v>EZZZZ</v>
      </c>
      <c r="B512">
        <v>2017</v>
      </c>
      <c r="C512">
        <v>198</v>
      </c>
      <c r="D512">
        <v>1</v>
      </c>
      <c r="E512" s="277" t="s">
        <v>2310</v>
      </c>
      <c r="F512" s="814">
        <f>'Main Validation'!D26</f>
        <v>0</v>
      </c>
      <c r="H512" s="812" t="s">
        <v>2881</v>
      </c>
      <c r="I512" s="1734" t="s">
        <v>2315</v>
      </c>
    </row>
    <row r="513" spans="1:9" x14ac:dyDescent="0.2">
      <c r="A513" s="813" t="str">
        <f>'Part 1'!$L$17</f>
        <v>EZZZZ</v>
      </c>
      <c r="B513">
        <v>2017</v>
      </c>
      <c r="C513">
        <v>199</v>
      </c>
      <c r="D513">
        <v>1</v>
      </c>
      <c r="E513" s="277" t="s">
        <v>2310</v>
      </c>
      <c r="F513" s="814">
        <f>'Main Validation'!D27</f>
        <v>0</v>
      </c>
      <c r="H513" s="812" t="s">
        <v>2882</v>
      </c>
      <c r="I513" s="1734" t="s">
        <v>2315</v>
      </c>
    </row>
    <row r="514" spans="1:9" x14ac:dyDescent="0.2">
      <c r="A514" s="813" t="str">
        <f>'Part 1'!$L$17</f>
        <v>EZZZZ</v>
      </c>
      <c r="B514">
        <v>2017</v>
      </c>
      <c r="C514">
        <v>200</v>
      </c>
      <c r="D514">
        <v>1</v>
      </c>
      <c r="E514" s="277" t="s">
        <v>2310</v>
      </c>
      <c r="F514" s="814">
        <f>'Main Validation'!D30</f>
        <v>0</v>
      </c>
      <c r="H514" s="812" t="s">
        <v>2883</v>
      </c>
      <c r="I514" s="1734" t="s">
        <v>2315</v>
      </c>
    </row>
    <row r="515" spans="1:9" x14ac:dyDescent="0.2">
      <c r="A515" s="813" t="str">
        <f>'Part 1'!$L$17</f>
        <v>EZZZZ</v>
      </c>
      <c r="B515">
        <v>2017</v>
      </c>
      <c r="C515">
        <v>201</v>
      </c>
      <c r="D515">
        <v>1</v>
      </c>
      <c r="E515" s="277" t="s">
        <v>2310</v>
      </c>
      <c r="F515" s="814">
        <f>'Main Validation'!D31</f>
        <v>0</v>
      </c>
      <c r="H515" s="812" t="s">
        <v>2884</v>
      </c>
      <c r="I515" s="1734" t="s">
        <v>2315</v>
      </c>
    </row>
    <row r="516" spans="1:9" x14ac:dyDescent="0.2">
      <c r="A516" s="813" t="str">
        <f>'Part 1'!$L$17</f>
        <v>EZZZZ</v>
      </c>
      <c r="B516">
        <v>2017</v>
      </c>
      <c r="C516">
        <v>202</v>
      </c>
      <c r="D516">
        <v>1</v>
      </c>
      <c r="E516" s="277" t="s">
        <v>2310</v>
      </c>
      <c r="F516" s="814">
        <f>'Main Validation'!D32</f>
        <v>0</v>
      </c>
      <c r="H516" s="812" t="s">
        <v>2885</v>
      </c>
      <c r="I516" s="1734" t="s">
        <v>2315</v>
      </c>
    </row>
    <row r="517" spans="1:9" x14ac:dyDescent="0.2">
      <c r="A517" s="813" t="str">
        <f>'Part 1'!$L$17</f>
        <v>EZZZZ</v>
      </c>
      <c r="B517">
        <v>2017</v>
      </c>
      <c r="C517">
        <v>203</v>
      </c>
      <c r="D517">
        <v>1</v>
      </c>
      <c r="E517" s="277" t="s">
        <v>2310</v>
      </c>
      <c r="F517" s="814">
        <f>'Main Validation'!D33</f>
        <v>0</v>
      </c>
      <c r="H517" s="812" t="s">
        <v>2886</v>
      </c>
      <c r="I517" s="1734" t="s">
        <v>2315</v>
      </c>
    </row>
    <row r="518" spans="1:9" x14ac:dyDescent="0.2">
      <c r="A518" s="813" t="str">
        <f>'Part 1'!$L$17</f>
        <v>EZZZZ</v>
      </c>
      <c r="B518">
        <v>2017</v>
      </c>
      <c r="C518">
        <v>204</v>
      </c>
      <c r="D518">
        <v>1</v>
      </c>
      <c r="E518" s="277" t="s">
        <v>2310</v>
      </c>
      <c r="F518" s="814">
        <f>'Main Validation'!D34</f>
        <v>0</v>
      </c>
      <c r="H518" s="812" t="s">
        <v>2887</v>
      </c>
      <c r="I518" s="1734" t="s">
        <v>2315</v>
      </c>
    </row>
    <row r="519" spans="1:9" x14ac:dyDescent="0.2">
      <c r="A519" s="813" t="str">
        <f>'Part 1'!$L$17</f>
        <v>EZZZZ</v>
      </c>
      <c r="B519">
        <v>2017</v>
      </c>
      <c r="C519">
        <v>205</v>
      </c>
      <c r="D519">
        <v>1</v>
      </c>
      <c r="E519" s="277" t="s">
        <v>2310</v>
      </c>
      <c r="F519" s="814">
        <f>'Main Validation'!D35</f>
        <v>0</v>
      </c>
      <c r="H519" s="812" t="s">
        <v>2888</v>
      </c>
      <c r="I519" s="1734" t="s">
        <v>2315</v>
      </c>
    </row>
    <row r="520" spans="1:9" x14ac:dyDescent="0.2">
      <c r="A520" s="813" t="str">
        <f>'Part 1'!$L$17</f>
        <v>EZZZZ</v>
      </c>
      <c r="B520">
        <v>2017</v>
      </c>
      <c r="C520">
        <v>206</v>
      </c>
      <c r="D520">
        <v>1</v>
      </c>
      <c r="E520" s="277" t="s">
        <v>2310</v>
      </c>
      <c r="F520" s="814">
        <f>'Main Validation'!D36</f>
        <v>0</v>
      </c>
      <c r="H520" s="812" t="s">
        <v>2889</v>
      </c>
      <c r="I520" s="1734" t="s">
        <v>2315</v>
      </c>
    </row>
    <row r="521" spans="1:9" x14ac:dyDescent="0.2">
      <c r="A521" s="813" t="str">
        <f>'Part 1'!$L$17</f>
        <v>EZZZZ</v>
      </c>
      <c r="B521">
        <v>2017</v>
      </c>
      <c r="C521">
        <v>207</v>
      </c>
      <c r="D521">
        <v>1</v>
      </c>
      <c r="E521" s="277" t="s">
        <v>2310</v>
      </c>
      <c r="F521" s="814">
        <f>'Main Validation'!D37</f>
        <v>0</v>
      </c>
      <c r="H521" s="812" t="s">
        <v>2890</v>
      </c>
      <c r="I521" s="1734" t="s">
        <v>2315</v>
      </c>
    </row>
    <row r="522" spans="1:9" x14ac:dyDescent="0.2">
      <c r="A522" s="813" t="str">
        <f>'Part 1'!$L$17</f>
        <v>EZZZZ</v>
      </c>
      <c r="B522">
        <v>2017</v>
      </c>
      <c r="C522">
        <v>208</v>
      </c>
      <c r="D522">
        <v>1</v>
      </c>
      <c r="E522" s="277" t="s">
        <v>2310</v>
      </c>
      <c r="F522" s="814">
        <f>'Main Validation'!D38</f>
        <v>0</v>
      </c>
      <c r="H522" s="812" t="s">
        <v>2891</v>
      </c>
      <c r="I522" s="1734" t="s">
        <v>2315</v>
      </c>
    </row>
    <row r="523" spans="1:9" x14ac:dyDescent="0.2">
      <c r="A523" s="813" t="str">
        <f>'Part 1'!$L$17</f>
        <v>EZZZZ</v>
      </c>
      <c r="B523">
        <v>2017</v>
      </c>
      <c r="C523">
        <v>209</v>
      </c>
      <c r="D523">
        <v>1</v>
      </c>
      <c r="E523" s="277" t="s">
        <v>2310</v>
      </c>
      <c r="F523" s="814">
        <f>'Main Validation'!D39</f>
        <v>0</v>
      </c>
      <c r="H523" s="812" t="s">
        <v>2892</v>
      </c>
      <c r="I523" s="1734" t="s">
        <v>2315</v>
      </c>
    </row>
    <row r="524" spans="1:9" x14ac:dyDescent="0.2">
      <c r="A524" s="813" t="str">
        <f>'Part 1'!$L$17</f>
        <v>EZZZZ</v>
      </c>
      <c r="B524">
        <v>2017</v>
      </c>
      <c r="C524">
        <v>210</v>
      </c>
      <c r="D524">
        <v>1</v>
      </c>
      <c r="E524" s="277" t="s">
        <v>2310</v>
      </c>
      <c r="F524" s="814" t="e">
        <f>'Main Validation'!D41</f>
        <v>#N/A</v>
      </c>
      <c r="H524" s="812" t="s">
        <v>2893</v>
      </c>
      <c r="I524" s="1734" t="s">
        <v>2315</v>
      </c>
    </row>
    <row r="525" spans="1:9" x14ac:dyDescent="0.2">
      <c r="A525" s="813" t="str">
        <f>'Part 1'!$L$17</f>
        <v>EZZZZ</v>
      </c>
      <c r="B525">
        <v>2017</v>
      </c>
      <c r="C525">
        <v>211</v>
      </c>
      <c r="D525">
        <v>1</v>
      </c>
      <c r="E525" s="277" t="s">
        <v>2310</v>
      </c>
      <c r="F525" s="814">
        <f>'Main Validation'!D44</f>
        <v>0</v>
      </c>
      <c r="H525" s="812" t="s">
        <v>2894</v>
      </c>
      <c r="I525" s="1734" t="s">
        <v>2315</v>
      </c>
    </row>
    <row r="526" spans="1:9" x14ac:dyDescent="0.2">
      <c r="A526" s="813" t="str">
        <f>'Part 1'!$L$17</f>
        <v>EZZZZ</v>
      </c>
      <c r="B526">
        <v>2017</v>
      </c>
      <c r="C526">
        <v>212</v>
      </c>
      <c r="D526">
        <v>1</v>
      </c>
      <c r="E526" s="277" t="s">
        <v>2310</v>
      </c>
      <c r="F526" s="814" t="e">
        <f>'Supplementary Validation'!D18</f>
        <v>#N/A</v>
      </c>
      <c r="H526" s="812" t="s">
        <v>2895</v>
      </c>
      <c r="I526" s="1734" t="s">
        <v>2315</v>
      </c>
    </row>
    <row r="527" spans="1:9" x14ac:dyDescent="0.2">
      <c r="A527" s="813" t="str">
        <f>'Part 1'!$L$17</f>
        <v>EZZZZ</v>
      </c>
      <c r="B527">
        <v>2017</v>
      </c>
      <c r="C527">
        <v>213</v>
      </c>
      <c r="D527">
        <v>1</v>
      </c>
      <c r="E527" s="277" t="s">
        <v>2310</v>
      </c>
      <c r="F527" s="814" t="e">
        <f>'Supplementary Validation'!D19</f>
        <v>#N/A</v>
      </c>
      <c r="H527" s="812" t="s">
        <v>2896</v>
      </c>
      <c r="I527" s="1734" t="s">
        <v>2315</v>
      </c>
    </row>
    <row r="528" spans="1:9" x14ac:dyDescent="0.2">
      <c r="A528" s="813" t="str">
        <f>'Part 1'!$L$17</f>
        <v>EZZZZ</v>
      </c>
      <c r="B528">
        <v>2017</v>
      </c>
      <c r="C528">
        <v>214</v>
      </c>
      <c r="D528">
        <v>1</v>
      </c>
      <c r="E528" s="277" t="s">
        <v>2310</v>
      </c>
      <c r="F528" s="814" t="e">
        <f>'Supplementary Validation'!D20</f>
        <v>#N/A</v>
      </c>
      <c r="H528" s="812" t="s">
        <v>2897</v>
      </c>
      <c r="I528" s="1734" t="s">
        <v>2315</v>
      </c>
    </row>
    <row r="529" spans="1:9" x14ac:dyDescent="0.2">
      <c r="A529" s="813" t="str">
        <f>'Part 1'!$L$17</f>
        <v>EZZZZ</v>
      </c>
      <c r="B529">
        <v>2017</v>
      </c>
      <c r="C529">
        <v>215</v>
      </c>
      <c r="D529">
        <v>1</v>
      </c>
      <c r="E529" s="277" t="s">
        <v>2310</v>
      </c>
      <c r="F529" s="814" t="e">
        <f>'Supplementary Validation'!D21</f>
        <v>#N/A</v>
      </c>
      <c r="H529" s="812" t="s">
        <v>2898</v>
      </c>
      <c r="I529" s="1734" t="s">
        <v>2315</v>
      </c>
    </row>
    <row r="530" spans="1:9" x14ac:dyDescent="0.2">
      <c r="A530" s="813" t="str">
        <f>'Part 1'!$L$17</f>
        <v>EZZZZ</v>
      </c>
      <c r="B530">
        <v>2017</v>
      </c>
      <c r="C530">
        <v>216</v>
      </c>
      <c r="D530">
        <v>1</v>
      </c>
      <c r="E530" s="277" t="s">
        <v>2310</v>
      </c>
      <c r="F530" s="814" t="e">
        <f>'Supplementary Validation'!D22</f>
        <v>#N/A</v>
      </c>
      <c r="H530" s="812" t="s">
        <v>2899</v>
      </c>
      <c r="I530" s="1734" t="s">
        <v>2315</v>
      </c>
    </row>
    <row r="531" spans="1:9" x14ac:dyDescent="0.2">
      <c r="A531" s="813" t="str">
        <f>'Part 1'!$L$17</f>
        <v>EZZZZ</v>
      </c>
      <c r="B531">
        <v>2017</v>
      </c>
      <c r="C531">
        <v>217</v>
      </c>
      <c r="D531">
        <v>1</v>
      </c>
      <c r="E531" s="277" t="s">
        <v>2310</v>
      </c>
      <c r="F531" s="814" t="e">
        <f>'Supplementary Validation'!D25</f>
        <v>#N/A</v>
      </c>
      <c r="H531" s="812" t="s">
        <v>2900</v>
      </c>
      <c r="I531" s="1734" t="s">
        <v>2315</v>
      </c>
    </row>
    <row r="532" spans="1:9" x14ac:dyDescent="0.2">
      <c r="A532" s="813" t="str">
        <f>'Part 1'!$L$17</f>
        <v>EZZZZ</v>
      </c>
      <c r="B532">
        <v>2017</v>
      </c>
      <c r="C532">
        <v>218</v>
      </c>
      <c r="D532">
        <v>1</v>
      </c>
      <c r="E532" s="277" t="s">
        <v>2310</v>
      </c>
      <c r="F532" s="814" t="e">
        <f>'Supplementary Validation'!D26</f>
        <v>#N/A</v>
      </c>
      <c r="H532" s="812" t="s">
        <v>2901</v>
      </c>
      <c r="I532" s="1734" t="s">
        <v>2315</v>
      </c>
    </row>
    <row r="533" spans="1:9" x14ac:dyDescent="0.2">
      <c r="A533" s="813" t="str">
        <f>'Part 1'!$L$17</f>
        <v>EZZZZ</v>
      </c>
      <c r="B533">
        <v>2017</v>
      </c>
      <c r="C533">
        <v>219</v>
      </c>
      <c r="D533">
        <v>1</v>
      </c>
      <c r="E533" s="277" t="s">
        <v>2310</v>
      </c>
      <c r="F533" s="814" t="e">
        <f>'Supplementary Validation'!D27</f>
        <v>#N/A</v>
      </c>
      <c r="H533" s="812" t="s">
        <v>2902</v>
      </c>
      <c r="I533" s="1734" t="s">
        <v>2315</v>
      </c>
    </row>
    <row r="534" spans="1:9" x14ac:dyDescent="0.2">
      <c r="A534" s="813" t="str">
        <f>'Part 1'!$L$17</f>
        <v>EZZZZ</v>
      </c>
      <c r="B534">
        <v>2017</v>
      </c>
      <c r="C534">
        <v>220</v>
      </c>
      <c r="D534">
        <v>1</v>
      </c>
      <c r="E534" s="277" t="s">
        <v>2310</v>
      </c>
      <c r="F534" s="814" t="e">
        <f>'Supplementary Validation'!D28</f>
        <v>#N/A</v>
      </c>
      <c r="H534" s="812" t="s">
        <v>2903</v>
      </c>
      <c r="I534" s="1734" t="s">
        <v>2315</v>
      </c>
    </row>
    <row r="535" spans="1:9" x14ac:dyDescent="0.2">
      <c r="A535" s="813" t="str">
        <f>'Part 1'!$L$17</f>
        <v>EZZZZ</v>
      </c>
      <c r="B535">
        <v>2017</v>
      </c>
      <c r="C535">
        <v>221</v>
      </c>
      <c r="D535">
        <v>1</v>
      </c>
      <c r="E535" s="277" t="s">
        <v>2310</v>
      </c>
      <c r="F535" s="814" t="e">
        <f>'Supplementary Validation'!D29</f>
        <v>#N/A</v>
      </c>
      <c r="H535" s="812" t="s">
        <v>2904</v>
      </c>
      <c r="I535" s="1734" t="s">
        <v>2315</v>
      </c>
    </row>
    <row r="536" spans="1:9" x14ac:dyDescent="0.2">
      <c r="A536" s="813" t="str">
        <f>'Part 1'!$L$17</f>
        <v>EZZZZ</v>
      </c>
      <c r="B536">
        <v>2017</v>
      </c>
      <c r="C536">
        <v>222</v>
      </c>
      <c r="D536">
        <v>1</v>
      </c>
      <c r="E536" s="277" t="s">
        <v>2310</v>
      </c>
      <c r="F536" s="814" t="e">
        <f>'Supplementary Validation'!D30</f>
        <v>#N/A</v>
      </c>
      <c r="H536" s="812" t="s">
        <v>2905</v>
      </c>
      <c r="I536" s="1734" t="s">
        <v>2315</v>
      </c>
    </row>
    <row r="537" spans="1:9" x14ac:dyDescent="0.2">
      <c r="A537" s="813" t="str">
        <f>'Part 1'!$L$17</f>
        <v>EZZZZ</v>
      </c>
      <c r="B537">
        <v>2017</v>
      </c>
      <c r="C537">
        <v>223</v>
      </c>
      <c r="D537">
        <v>1</v>
      </c>
      <c r="E537" s="277" t="s">
        <v>2310</v>
      </c>
      <c r="F537" s="814" t="e">
        <f>'Supplementary Validation'!D31</f>
        <v>#N/A</v>
      </c>
      <c r="H537" s="812" t="s">
        <v>2906</v>
      </c>
      <c r="I537" s="1734" t="s">
        <v>2315</v>
      </c>
    </row>
    <row r="538" spans="1:9" x14ac:dyDescent="0.2">
      <c r="A538" s="813" t="str">
        <f>'Part 1'!$L$17</f>
        <v>EZZZZ</v>
      </c>
      <c r="B538">
        <v>2017</v>
      </c>
      <c r="C538">
        <v>224</v>
      </c>
      <c r="D538">
        <v>1</v>
      </c>
      <c r="E538" s="277" t="s">
        <v>2310</v>
      </c>
      <c r="F538" s="814" t="e">
        <f>'Supplementary Validation'!D32</f>
        <v>#N/A</v>
      </c>
      <c r="H538" s="812" t="s">
        <v>2907</v>
      </c>
      <c r="I538" s="1734" t="s">
        <v>2315</v>
      </c>
    </row>
    <row r="539" spans="1:9" x14ac:dyDescent="0.2">
      <c r="A539" s="813" t="str">
        <f>'Part 1'!$L$17</f>
        <v>EZZZZ</v>
      </c>
      <c r="B539">
        <v>2017</v>
      </c>
      <c r="C539">
        <v>225</v>
      </c>
      <c r="D539">
        <v>1</v>
      </c>
      <c r="E539" s="277" t="s">
        <v>2310</v>
      </c>
      <c r="F539" s="814" t="e">
        <f>'Supplementary Validation'!D33</f>
        <v>#N/A</v>
      </c>
      <c r="H539" s="812" t="s">
        <v>2908</v>
      </c>
      <c r="I539" s="1734" t="s">
        <v>2315</v>
      </c>
    </row>
    <row r="540" spans="1:9" x14ac:dyDescent="0.2">
      <c r="A540" s="813" t="str">
        <f>'Part 1'!$L$17</f>
        <v>EZZZZ</v>
      </c>
      <c r="B540">
        <v>2017</v>
      </c>
      <c r="C540">
        <v>226</v>
      </c>
      <c r="D540">
        <v>1</v>
      </c>
      <c r="E540" s="277" t="s">
        <v>2310</v>
      </c>
      <c r="F540" s="814" t="e">
        <f>'Supplementary Validation'!D34</f>
        <v>#N/A</v>
      </c>
      <c r="H540" s="812" t="s">
        <v>2909</v>
      </c>
      <c r="I540" s="1734" t="s">
        <v>2315</v>
      </c>
    </row>
    <row r="541" spans="1:9" x14ac:dyDescent="0.2">
      <c r="A541" s="813" t="str">
        <f>'Part 1'!$L$17</f>
        <v>EZZZZ</v>
      </c>
      <c r="B541">
        <v>2017</v>
      </c>
      <c r="C541">
        <v>227</v>
      </c>
      <c r="D541">
        <v>1</v>
      </c>
      <c r="E541" s="277" t="s">
        <v>2310</v>
      </c>
      <c r="F541" s="814" t="e">
        <f>'Supplementary Validation'!D35</f>
        <v>#N/A</v>
      </c>
      <c r="H541" s="812" t="s">
        <v>2910</v>
      </c>
      <c r="I541" s="1734" t="s">
        <v>2315</v>
      </c>
    </row>
    <row r="542" spans="1:9" x14ac:dyDescent="0.2">
      <c r="A542" s="813" t="str">
        <f>'Part 1'!$L$17</f>
        <v>EZZZZ</v>
      </c>
      <c r="B542">
        <v>2017</v>
      </c>
      <c r="C542">
        <v>228</v>
      </c>
      <c r="D542">
        <v>1</v>
      </c>
      <c r="E542" s="277" t="s">
        <v>2310</v>
      </c>
      <c r="F542" s="814" t="e">
        <f>'Supplementary Validation'!D36</f>
        <v>#N/A</v>
      </c>
      <c r="H542" s="812" t="s">
        <v>2911</v>
      </c>
      <c r="I542" s="1734" t="s">
        <v>2315</v>
      </c>
    </row>
    <row r="543" spans="1:9" x14ac:dyDescent="0.2">
      <c r="A543" s="813" t="str">
        <f>'Part 1'!$L$17</f>
        <v>EZZZZ</v>
      </c>
      <c r="B543">
        <v>2017</v>
      </c>
      <c r="C543">
        <v>229</v>
      </c>
      <c r="D543">
        <v>1</v>
      </c>
      <c r="E543" s="277" t="s">
        <v>2310</v>
      </c>
      <c r="F543" s="814" t="e">
        <f>'Supplementary Validation'!D39</f>
        <v>#N/A</v>
      </c>
      <c r="H543" s="812" t="s">
        <v>2912</v>
      </c>
      <c r="I543" s="1734" t="s">
        <v>2315</v>
      </c>
    </row>
    <row r="544" spans="1:9" x14ac:dyDescent="0.2">
      <c r="A544" s="813" t="str">
        <f>'Part 1'!$L$17</f>
        <v>EZZZZ</v>
      </c>
      <c r="B544">
        <v>2017</v>
      </c>
      <c r="C544">
        <v>230</v>
      </c>
      <c r="D544">
        <v>1</v>
      </c>
      <c r="E544" s="277" t="s">
        <v>2310</v>
      </c>
      <c r="F544" s="814">
        <f>'Part 1'!X21</f>
        <v>1</v>
      </c>
      <c r="H544" s="812" t="s">
        <v>2913</v>
      </c>
      <c r="I544" s="1734" t="s">
        <v>2315</v>
      </c>
    </row>
    <row r="545" spans="1:6" x14ac:dyDescent="0.2">
      <c r="A545" s="813"/>
      <c r="F545" s="814"/>
    </row>
    <row r="546" spans="1:6" x14ac:dyDescent="0.2">
      <c r="A546" s="813"/>
      <c r="F546" s="814"/>
    </row>
    <row r="547" spans="1:6" x14ac:dyDescent="0.2">
      <c r="A547" s="813"/>
      <c r="F547" s="814"/>
    </row>
    <row r="548" spans="1:6" x14ac:dyDescent="0.2">
      <c r="A548" s="813"/>
      <c r="F548" s="814"/>
    </row>
    <row r="549" spans="1:6" x14ac:dyDescent="0.2">
      <c r="A549" s="813"/>
      <c r="F549" s="814"/>
    </row>
    <row r="550" spans="1:6" x14ac:dyDescent="0.2">
      <c r="A550" s="813"/>
      <c r="F550" s="814"/>
    </row>
    <row r="551" spans="1:6" x14ac:dyDescent="0.2">
      <c r="A551" s="813"/>
      <c r="F551" s="814"/>
    </row>
  </sheetData>
  <autoFilter ref="A1:V314">
    <sortState ref="A2:V99">
      <sortCondition ref="C1:C307"/>
    </sortState>
  </autoFilter>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C1"/>
  <sheetViews>
    <sheetView workbookViewId="0">
      <selection activeCell="C13" sqref="C13"/>
    </sheetView>
  </sheetViews>
  <sheetFormatPr defaultRowHeight="12.75" x14ac:dyDescent="0.2"/>
  <sheetData>
    <row r="1" spans="1:3" x14ac:dyDescent="0.2">
      <c r="A1" t="str">
        <f>'Part 1'!L17</f>
        <v>EZZZZ</v>
      </c>
      <c r="B1" s="277" t="s">
        <v>2316</v>
      </c>
      <c r="C1">
        <v>2017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A1:P42"/>
  <sheetViews>
    <sheetView workbookViewId="0">
      <selection activeCell="E2" sqref="E2"/>
    </sheetView>
  </sheetViews>
  <sheetFormatPr defaultRowHeight="12.75" x14ac:dyDescent="0.2"/>
  <sheetData>
    <row r="1" spans="1:16" x14ac:dyDescent="0.2">
      <c r="A1" s="816" t="s">
        <v>1113</v>
      </c>
      <c r="B1" s="816" t="s">
        <v>1114</v>
      </c>
      <c r="C1" s="816" t="s">
        <v>2317</v>
      </c>
      <c r="D1" s="816" t="s">
        <v>1115</v>
      </c>
      <c r="E1" s="816" t="s">
        <v>2318</v>
      </c>
      <c r="F1" s="816" t="s">
        <v>2319</v>
      </c>
      <c r="G1" s="816" t="s">
        <v>2320</v>
      </c>
      <c r="H1" s="816" t="s">
        <v>2321</v>
      </c>
      <c r="I1" s="816" t="s">
        <v>2322</v>
      </c>
      <c r="J1" s="816" t="s">
        <v>2323</v>
      </c>
      <c r="K1" s="816" t="s">
        <v>2324</v>
      </c>
      <c r="L1" s="816" t="s">
        <v>2325</v>
      </c>
      <c r="M1" s="816" t="s">
        <v>2326</v>
      </c>
      <c r="N1" s="816" t="s">
        <v>2327</v>
      </c>
      <c r="O1" s="816" t="s">
        <v>2328</v>
      </c>
      <c r="P1" s="816" t="s">
        <v>2329</v>
      </c>
    </row>
    <row r="2" spans="1:16" x14ac:dyDescent="0.2">
      <c r="A2" t="str">
        <f>'Part 1'!$L$17</f>
        <v>EZZZZ</v>
      </c>
      <c r="B2">
        <v>2017</v>
      </c>
      <c r="C2" t="str">
        <f>'Part 3 DA summary'!B13</f>
        <v>EZZZZEZ1</v>
      </c>
      <c r="D2">
        <f>'Part 3 DA summary'!A13</f>
        <v>1</v>
      </c>
      <c r="E2">
        <f>IF('Part 3 DA summary'!C13="",0,'Part 3 DA summary'!C13)</f>
        <v>0</v>
      </c>
      <c r="F2">
        <f>'Part 3 DA summary'!E13</f>
        <v>0</v>
      </c>
      <c r="G2">
        <f>'Part 3 DA summary'!G13</f>
        <v>0</v>
      </c>
      <c r="H2">
        <f>'Part 3 DA summary'!I13</f>
        <v>0</v>
      </c>
      <c r="I2" t="str">
        <f>'Part 3 DA summary'!K13</f>
        <v/>
      </c>
      <c r="J2">
        <f>'Part 3 DA summary'!M13</f>
        <v>0</v>
      </c>
      <c r="K2">
        <f>'Part 3 DA summary'!O13</f>
        <v>0</v>
      </c>
      <c r="L2">
        <f>'Part 3 DA summary'!Q13</f>
        <v>0</v>
      </c>
      <c r="M2" t="str">
        <f>'Part 3 DA summary'!S13</f>
        <v/>
      </c>
      <c r="N2">
        <f>'Part 3 DA summary'!U13</f>
        <v>0</v>
      </c>
      <c r="O2" t="str">
        <f>'Part 3 DA summary'!W13</f>
        <v/>
      </c>
      <c r="P2" t="str">
        <f>'Part 3 DA summary'!Y13</f>
        <v/>
      </c>
    </row>
    <row r="3" spans="1:16" x14ac:dyDescent="0.2">
      <c r="A3" t="str">
        <f>'Part 1'!$L$17</f>
        <v>EZZZZ</v>
      </c>
      <c r="B3">
        <v>2017</v>
      </c>
      <c r="C3" t="str">
        <f>'Part 3 DA summary'!B14</f>
        <v>EZZZZEZ2</v>
      </c>
      <c r="D3">
        <f>'Part 3 DA summary'!A14</f>
        <v>2</v>
      </c>
      <c r="E3">
        <f>IF('Part 3 DA summary'!C14="",0,'Part 3 DA summary'!C14)</f>
        <v>0</v>
      </c>
      <c r="F3">
        <f>'Part 3 DA summary'!E14</f>
        <v>0</v>
      </c>
      <c r="G3">
        <f>'Part 3 DA summary'!G14</f>
        <v>0</v>
      </c>
      <c r="H3">
        <f>'Part 3 DA summary'!I14</f>
        <v>0</v>
      </c>
      <c r="I3" t="str">
        <f>'Part 3 DA summary'!K14</f>
        <v/>
      </c>
      <c r="J3">
        <f>'Part 3 DA summary'!M14</f>
        <v>0</v>
      </c>
      <c r="K3">
        <f>'Part 3 DA summary'!O14</f>
        <v>0</v>
      </c>
      <c r="L3">
        <f>'Part 3 DA summary'!Q14</f>
        <v>0</v>
      </c>
      <c r="M3" t="str">
        <f>'Part 3 DA summary'!S14</f>
        <v/>
      </c>
      <c r="N3">
        <f>'Part 3 DA summary'!U14</f>
        <v>0</v>
      </c>
      <c r="O3" t="str">
        <f>'Part 3 DA summary'!W14</f>
        <v/>
      </c>
      <c r="P3" t="str">
        <f>'Part 3 DA summary'!Y14</f>
        <v/>
      </c>
    </row>
    <row r="4" spans="1:16" x14ac:dyDescent="0.2">
      <c r="A4" t="str">
        <f>'Part 1'!$L$17</f>
        <v>EZZZZ</v>
      </c>
      <c r="B4">
        <v>2017</v>
      </c>
      <c r="C4" t="str">
        <f>'Part 3 DA summary'!B15</f>
        <v>EZZZZEZ3</v>
      </c>
      <c r="D4">
        <f>'Part 3 DA summary'!A15</f>
        <v>3</v>
      </c>
      <c r="E4">
        <f>IF('Part 3 DA summary'!C15="",0,'Part 3 DA summary'!C15)</f>
        <v>0</v>
      </c>
      <c r="F4">
        <f>'Part 3 DA summary'!E15</f>
        <v>0</v>
      </c>
      <c r="G4">
        <f>'Part 3 DA summary'!G15</f>
        <v>0</v>
      </c>
      <c r="H4">
        <f>'Part 3 DA summary'!I15</f>
        <v>0</v>
      </c>
      <c r="I4" t="str">
        <f>'Part 3 DA summary'!K15</f>
        <v/>
      </c>
      <c r="J4">
        <f>'Part 3 DA summary'!M15</f>
        <v>0</v>
      </c>
      <c r="K4">
        <f>'Part 3 DA summary'!O15</f>
        <v>0</v>
      </c>
      <c r="L4">
        <f>'Part 3 DA summary'!Q15</f>
        <v>0</v>
      </c>
      <c r="M4" t="str">
        <f>'Part 3 DA summary'!S15</f>
        <v/>
      </c>
      <c r="N4">
        <f>'Part 3 DA summary'!U15</f>
        <v>0</v>
      </c>
      <c r="O4" t="str">
        <f>'Part 3 DA summary'!W15</f>
        <v/>
      </c>
      <c r="P4" t="str">
        <f>'Part 3 DA summary'!Y15</f>
        <v/>
      </c>
    </row>
    <row r="5" spans="1:16" x14ac:dyDescent="0.2">
      <c r="A5" t="str">
        <f>'Part 1'!$L$17</f>
        <v>EZZZZ</v>
      </c>
      <c r="B5">
        <v>2017</v>
      </c>
      <c r="C5" t="str">
        <f>'Part 3 DA summary'!B16</f>
        <v>EZZZZEZ4</v>
      </c>
      <c r="D5">
        <f>'Part 3 DA summary'!A16</f>
        <v>4</v>
      </c>
      <c r="E5">
        <f>IF('Part 3 DA summary'!C16="",0,'Part 3 DA summary'!C16)</f>
        <v>0</v>
      </c>
      <c r="F5">
        <f>'Part 3 DA summary'!E16</f>
        <v>0</v>
      </c>
      <c r="G5">
        <f>'Part 3 DA summary'!G16</f>
        <v>0</v>
      </c>
      <c r="H5">
        <f>'Part 3 DA summary'!I16</f>
        <v>0</v>
      </c>
      <c r="I5" t="str">
        <f>'Part 3 DA summary'!K16</f>
        <v/>
      </c>
      <c r="J5">
        <f>'Part 3 DA summary'!M16</f>
        <v>0</v>
      </c>
      <c r="K5">
        <f>'Part 3 DA summary'!O16</f>
        <v>0</v>
      </c>
      <c r="L5">
        <f>'Part 3 DA summary'!Q16</f>
        <v>0</v>
      </c>
      <c r="M5" t="str">
        <f>'Part 3 DA summary'!S16</f>
        <v/>
      </c>
      <c r="N5">
        <f>'Part 3 DA summary'!U16</f>
        <v>0</v>
      </c>
      <c r="O5" t="str">
        <f>'Part 3 DA summary'!W16</f>
        <v/>
      </c>
      <c r="P5" t="str">
        <f>'Part 3 DA summary'!Y16</f>
        <v/>
      </c>
    </row>
    <row r="6" spans="1:16" x14ac:dyDescent="0.2">
      <c r="A6" t="str">
        <f>'Part 1'!$L$17</f>
        <v>EZZZZ</v>
      </c>
      <c r="B6">
        <v>2017</v>
      </c>
      <c r="C6" t="str">
        <f>'Part 3 DA summary'!B17</f>
        <v>EZZZZEZ5</v>
      </c>
      <c r="D6">
        <f>'Part 3 DA summary'!A17</f>
        <v>5</v>
      </c>
      <c r="E6">
        <f>IF('Part 3 DA summary'!C17="",0,'Part 3 DA summary'!C17)</f>
        <v>0</v>
      </c>
      <c r="F6">
        <f>'Part 3 DA summary'!E17</f>
        <v>0</v>
      </c>
      <c r="G6">
        <f>'Part 3 DA summary'!G17</f>
        <v>0</v>
      </c>
      <c r="H6">
        <f>'Part 3 DA summary'!I17</f>
        <v>0</v>
      </c>
      <c r="I6" t="str">
        <f>'Part 3 DA summary'!K17</f>
        <v/>
      </c>
      <c r="J6">
        <f>'Part 3 DA summary'!M17</f>
        <v>0</v>
      </c>
      <c r="K6">
        <f>'Part 3 DA summary'!O17</f>
        <v>0</v>
      </c>
      <c r="L6">
        <f>'Part 3 DA summary'!Q17</f>
        <v>0</v>
      </c>
      <c r="M6" t="str">
        <f>'Part 3 DA summary'!S17</f>
        <v/>
      </c>
      <c r="N6">
        <f>'Part 3 DA summary'!U17</f>
        <v>0</v>
      </c>
      <c r="O6" t="str">
        <f>'Part 3 DA summary'!W17</f>
        <v/>
      </c>
      <c r="P6" t="str">
        <f>'Part 3 DA summary'!Y17</f>
        <v/>
      </c>
    </row>
    <row r="7" spans="1:16" x14ac:dyDescent="0.2">
      <c r="A7" t="str">
        <f>'Part 1'!$L$17</f>
        <v>EZZZZ</v>
      </c>
      <c r="B7">
        <v>2017</v>
      </c>
      <c r="C7" t="str">
        <f>'Part 3 DA summary'!B18</f>
        <v>EZZZZEZ6</v>
      </c>
      <c r="D7">
        <f>'Part 3 DA summary'!A18</f>
        <v>6</v>
      </c>
      <c r="E7">
        <f>IF('Part 3 DA summary'!C18="",0,'Part 3 DA summary'!C18)</f>
        <v>0</v>
      </c>
      <c r="F7">
        <f>'Part 3 DA summary'!E18</f>
        <v>0</v>
      </c>
      <c r="G7">
        <f>'Part 3 DA summary'!G18</f>
        <v>0</v>
      </c>
      <c r="H7">
        <f>'Part 3 DA summary'!I18</f>
        <v>0</v>
      </c>
      <c r="I7" t="str">
        <f>'Part 3 DA summary'!K18</f>
        <v/>
      </c>
      <c r="J7">
        <f>'Part 3 DA summary'!M18</f>
        <v>0</v>
      </c>
      <c r="K7">
        <f>'Part 3 DA summary'!O18</f>
        <v>0</v>
      </c>
      <c r="L7">
        <f>'Part 3 DA summary'!Q18</f>
        <v>0</v>
      </c>
      <c r="M7" t="str">
        <f>'Part 3 DA summary'!S18</f>
        <v/>
      </c>
      <c r="N7">
        <f>'Part 3 DA summary'!U18</f>
        <v>0</v>
      </c>
      <c r="O7" t="str">
        <f>'Part 3 DA summary'!W18</f>
        <v/>
      </c>
      <c r="P7" t="str">
        <f>'Part 3 DA summary'!Y18</f>
        <v/>
      </c>
    </row>
    <row r="8" spans="1:16" x14ac:dyDescent="0.2">
      <c r="A8" t="str">
        <f>'Part 1'!$L$17</f>
        <v>EZZZZ</v>
      </c>
      <c r="B8">
        <v>2017</v>
      </c>
      <c r="C8" t="str">
        <f>'Part 3 DA summary'!B19</f>
        <v>EZZZZEZ7</v>
      </c>
      <c r="D8">
        <f>'Part 3 DA summary'!A19</f>
        <v>7</v>
      </c>
      <c r="E8">
        <f>IF('Part 3 DA summary'!C19="",0,'Part 3 DA summary'!C19)</f>
        <v>0</v>
      </c>
      <c r="F8">
        <f>'Part 3 DA summary'!E19</f>
        <v>0</v>
      </c>
      <c r="G8">
        <f>'Part 3 DA summary'!G19</f>
        <v>0</v>
      </c>
      <c r="H8">
        <f>'Part 3 DA summary'!I19</f>
        <v>0</v>
      </c>
      <c r="I8" t="str">
        <f>'Part 3 DA summary'!K19</f>
        <v/>
      </c>
      <c r="J8">
        <f>'Part 3 DA summary'!M19</f>
        <v>0</v>
      </c>
      <c r="K8">
        <f>'Part 3 DA summary'!O19</f>
        <v>0</v>
      </c>
      <c r="L8">
        <f>'Part 3 DA summary'!Q19</f>
        <v>0</v>
      </c>
      <c r="M8" t="str">
        <f>'Part 3 DA summary'!S19</f>
        <v/>
      </c>
      <c r="N8">
        <f>'Part 3 DA summary'!U19</f>
        <v>0</v>
      </c>
      <c r="O8" t="str">
        <f>'Part 3 DA summary'!W19</f>
        <v/>
      </c>
      <c r="P8" t="str">
        <f>'Part 3 DA summary'!Y19</f>
        <v/>
      </c>
    </row>
    <row r="9" spans="1:16" x14ac:dyDescent="0.2">
      <c r="A9" t="str">
        <f>'Part 1'!$L$17</f>
        <v>EZZZZ</v>
      </c>
      <c r="B9">
        <v>2017</v>
      </c>
      <c r="C9" t="str">
        <f>'Part 3 DA summary'!B20</f>
        <v>EZZZZEZ8</v>
      </c>
      <c r="D9">
        <f>'Part 3 DA summary'!A20</f>
        <v>8</v>
      </c>
      <c r="E9">
        <f>IF('Part 3 DA summary'!C20="",0,'Part 3 DA summary'!C20)</f>
        <v>0</v>
      </c>
      <c r="F9">
        <f>'Part 3 DA summary'!E20</f>
        <v>0</v>
      </c>
      <c r="G9">
        <f>'Part 3 DA summary'!G20</f>
        <v>0</v>
      </c>
      <c r="H9">
        <f>'Part 3 DA summary'!I20</f>
        <v>0</v>
      </c>
      <c r="I9" t="str">
        <f>'Part 3 DA summary'!K20</f>
        <v/>
      </c>
      <c r="J9">
        <f>'Part 3 DA summary'!M20</f>
        <v>0</v>
      </c>
      <c r="K9">
        <f>'Part 3 DA summary'!O20</f>
        <v>0</v>
      </c>
      <c r="L9">
        <f>'Part 3 DA summary'!Q20</f>
        <v>0</v>
      </c>
      <c r="M9" t="str">
        <f>'Part 3 DA summary'!S20</f>
        <v/>
      </c>
      <c r="N9">
        <f>'Part 3 DA summary'!U20</f>
        <v>0</v>
      </c>
      <c r="O9" t="str">
        <f>'Part 3 DA summary'!W20</f>
        <v/>
      </c>
      <c r="P9" t="str">
        <f>'Part 3 DA summary'!Y20</f>
        <v/>
      </c>
    </row>
    <row r="10" spans="1:16" x14ac:dyDescent="0.2">
      <c r="A10" t="str">
        <f>'Part 1'!$L$17</f>
        <v>EZZZZ</v>
      </c>
      <c r="B10">
        <v>2017</v>
      </c>
      <c r="C10" t="str">
        <f>'Part 3 DA summary'!B21</f>
        <v>EZZZZEZ9</v>
      </c>
      <c r="D10">
        <f>'Part 3 DA summary'!A21</f>
        <v>9</v>
      </c>
      <c r="E10">
        <f>IF('Part 3 DA summary'!C21="",0,'Part 3 DA summary'!C21)</f>
        <v>0</v>
      </c>
      <c r="F10">
        <f>'Part 3 DA summary'!E21</f>
        <v>0</v>
      </c>
      <c r="G10">
        <f>'Part 3 DA summary'!G21</f>
        <v>0</v>
      </c>
      <c r="H10">
        <f>'Part 3 DA summary'!I21</f>
        <v>0</v>
      </c>
      <c r="I10" t="str">
        <f>'Part 3 DA summary'!K21</f>
        <v/>
      </c>
      <c r="J10">
        <f>'Part 3 DA summary'!M21</f>
        <v>0</v>
      </c>
      <c r="K10">
        <f>'Part 3 DA summary'!O21</f>
        <v>0</v>
      </c>
      <c r="L10">
        <f>'Part 3 DA summary'!Q21</f>
        <v>0</v>
      </c>
      <c r="M10" t="str">
        <f>'Part 3 DA summary'!S21</f>
        <v/>
      </c>
      <c r="N10">
        <f>'Part 3 DA summary'!U21</f>
        <v>0</v>
      </c>
      <c r="O10" t="str">
        <f>'Part 3 DA summary'!W21</f>
        <v/>
      </c>
      <c r="P10" t="str">
        <f>'Part 3 DA summary'!Y21</f>
        <v/>
      </c>
    </row>
    <row r="11" spans="1:16" x14ac:dyDescent="0.2">
      <c r="A11" t="str">
        <f>'Part 1'!$L$17</f>
        <v>EZZZZ</v>
      </c>
      <c r="B11">
        <v>2017</v>
      </c>
      <c r="C11" t="str">
        <f>'Part 3 DA summary'!B22</f>
        <v>EZZZZEZ10</v>
      </c>
      <c r="D11">
        <f>'Part 3 DA summary'!A22</f>
        <v>10</v>
      </c>
      <c r="E11">
        <f>IF('Part 3 DA summary'!C22="",0,'Part 3 DA summary'!C22)</f>
        <v>0</v>
      </c>
      <c r="F11">
        <f>'Part 3 DA summary'!E22</f>
        <v>0</v>
      </c>
      <c r="G11">
        <f>'Part 3 DA summary'!G22</f>
        <v>0</v>
      </c>
      <c r="H11">
        <f>'Part 3 DA summary'!I22</f>
        <v>0</v>
      </c>
      <c r="I11" t="str">
        <f>'Part 3 DA summary'!K22</f>
        <v/>
      </c>
      <c r="J11">
        <f>'Part 3 DA summary'!M22</f>
        <v>0</v>
      </c>
      <c r="K11">
        <f>'Part 3 DA summary'!O22</f>
        <v>0</v>
      </c>
      <c r="L11">
        <f>'Part 3 DA summary'!Q22</f>
        <v>0</v>
      </c>
      <c r="M11" t="str">
        <f>'Part 3 DA summary'!S22</f>
        <v/>
      </c>
      <c r="N11">
        <f>'Part 3 DA summary'!U22</f>
        <v>0</v>
      </c>
      <c r="O11" t="str">
        <f>'Part 3 DA summary'!W22</f>
        <v/>
      </c>
      <c r="P11" t="str">
        <f>'Part 3 DA summary'!Y22</f>
        <v/>
      </c>
    </row>
    <row r="12" spans="1:16" x14ac:dyDescent="0.2">
      <c r="A12" t="str">
        <f>'Part 1'!$L$17</f>
        <v>EZZZZ</v>
      </c>
      <c r="B12">
        <v>2017</v>
      </c>
      <c r="C12" t="str">
        <f>'Part 3 DA summary'!B23</f>
        <v>EZZZZEZ11</v>
      </c>
      <c r="D12">
        <f>'Part 3 DA summary'!A23</f>
        <v>11</v>
      </c>
      <c r="E12">
        <f>IF('Part 3 DA summary'!C23="",0,'Part 3 DA summary'!C23)</f>
        <v>0</v>
      </c>
      <c r="F12">
        <f>'Part 3 DA summary'!E23</f>
        <v>0</v>
      </c>
      <c r="G12">
        <f>'Part 3 DA summary'!G23</f>
        <v>0</v>
      </c>
      <c r="H12">
        <f>'Part 3 DA summary'!I23</f>
        <v>0</v>
      </c>
      <c r="I12" t="str">
        <f>'Part 3 DA summary'!K23</f>
        <v/>
      </c>
      <c r="J12">
        <f>'Part 3 DA summary'!M23</f>
        <v>0</v>
      </c>
      <c r="K12">
        <f>'Part 3 DA summary'!O23</f>
        <v>0</v>
      </c>
      <c r="L12">
        <f>'Part 3 DA summary'!Q23</f>
        <v>0</v>
      </c>
      <c r="M12" t="str">
        <f>'Part 3 DA summary'!S23</f>
        <v/>
      </c>
      <c r="N12">
        <f>'Part 3 DA summary'!U23</f>
        <v>0</v>
      </c>
      <c r="O12" t="str">
        <f>'Part 3 DA summary'!W23</f>
        <v/>
      </c>
      <c r="P12" t="str">
        <f>'Part 3 DA summary'!Y23</f>
        <v/>
      </c>
    </row>
    <row r="13" spans="1:16" x14ac:dyDescent="0.2">
      <c r="A13" t="str">
        <f>'Part 1'!$L$17</f>
        <v>EZZZZ</v>
      </c>
      <c r="B13">
        <v>2017</v>
      </c>
      <c r="C13" t="str">
        <f>'Part 3 DA summary'!B24</f>
        <v>EZZZZEZ12</v>
      </c>
      <c r="D13">
        <f>'Part 3 DA summary'!A24</f>
        <v>12</v>
      </c>
      <c r="E13">
        <f>IF('Part 3 DA summary'!C24="",0,'Part 3 DA summary'!C24)</f>
        <v>0</v>
      </c>
      <c r="F13">
        <f>'Part 3 DA summary'!E24</f>
        <v>0</v>
      </c>
      <c r="G13">
        <f>'Part 3 DA summary'!G24</f>
        <v>0</v>
      </c>
      <c r="H13">
        <f>'Part 3 DA summary'!I24</f>
        <v>0</v>
      </c>
      <c r="I13" t="str">
        <f>'Part 3 DA summary'!K24</f>
        <v/>
      </c>
      <c r="J13">
        <f>'Part 3 DA summary'!M24</f>
        <v>0</v>
      </c>
      <c r="K13">
        <f>'Part 3 DA summary'!O24</f>
        <v>0</v>
      </c>
      <c r="L13">
        <f>'Part 3 DA summary'!Q24</f>
        <v>0</v>
      </c>
      <c r="M13" t="str">
        <f>'Part 3 DA summary'!S24</f>
        <v/>
      </c>
      <c r="N13">
        <f>'Part 3 DA summary'!U24</f>
        <v>0</v>
      </c>
      <c r="O13" t="str">
        <f>'Part 3 DA summary'!W24</f>
        <v/>
      </c>
      <c r="P13" t="str">
        <f>'Part 3 DA summary'!Y24</f>
        <v/>
      </c>
    </row>
    <row r="14" spans="1:16" x14ac:dyDescent="0.2">
      <c r="A14" t="str">
        <f>'Part 1'!$L$17</f>
        <v>EZZZZ</v>
      </c>
      <c r="B14">
        <v>2017</v>
      </c>
      <c r="C14" t="str">
        <f>'Part 3 DA summary'!B25</f>
        <v>EZZZZEZ13</v>
      </c>
      <c r="D14">
        <f>'Part 3 DA summary'!A25</f>
        <v>13</v>
      </c>
      <c r="E14">
        <f>IF('Part 3 DA summary'!C25="",0,'Part 3 DA summary'!C25)</f>
        <v>0</v>
      </c>
      <c r="F14">
        <f>'Part 3 DA summary'!E25</f>
        <v>0</v>
      </c>
      <c r="G14">
        <f>'Part 3 DA summary'!G25</f>
        <v>0</v>
      </c>
      <c r="H14">
        <f>'Part 3 DA summary'!I25</f>
        <v>0</v>
      </c>
      <c r="I14" t="str">
        <f>'Part 3 DA summary'!K25</f>
        <v/>
      </c>
      <c r="J14">
        <f>'Part 3 DA summary'!M25</f>
        <v>0</v>
      </c>
      <c r="K14">
        <f>'Part 3 DA summary'!O25</f>
        <v>0</v>
      </c>
      <c r="L14">
        <f>'Part 3 DA summary'!Q25</f>
        <v>0</v>
      </c>
      <c r="M14" t="str">
        <f>'Part 3 DA summary'!S25</f>
        <v/>
      </c>
      <c r="N14">
        <f>'Part 3 DA summary'!U25</f>
        <v>0</v>
      </c>
      <c r="O14" t="str">
        <f>'Part 3 DA summary'!W25</f>
        <v/>
      </c>
      <c r="P14" t="str">
        <f>'Part 3 DA summary'!Y25</f>
        <v/>
      </c>
    </row>
    <row r="15" spans="1:16" x14ac:dyDescent="0.2">
      <c r="A15" t="str">
        <f>'Part 1'!$L$17</f>
        <v>EZZZZ</v>
      </c>
      <c r="B15">
        <v>2017</v>
      </c>
      <c r="C15" t="str">
        <f>'Part 3 DA summary'!B26</f>
        <v>EZZZZEZ14</v>
      </c>
      <c r="D15">
        <f>'Part 3 DA summary'!A26</f>
        <v>14</v>
      </c>
      <c r="E15">
        <f>IF('Part 3 DA summary'!C26="",0,'Part 3 DA summary'!C26)</f>
        <v>0</v>
      </c>
      <c r="F15">
        <f>'Part 3 DA summary'!E26</f>
        <v>0</v>
      </c>
      <c r="G15">
        <f>'Part 3 DA summary'!G26</f>
        <v>0</v>
      </c>
      <c r="H15">
        <f>'Part 3 DA summary'!I26</f>
        <v>0</v>
      </c>
      <c r="I15" t="str">
        <f>'Part 3 DA summary'!K26</f>
        <v/>
      </c>
      <c r="J15">
        <f>'Part 3 DA summary'!M26</f>
        <v>0</v>
      </c>
      <c r="K15">
        <f>'Part 3 DA summary'!O26</f>
        <v>0</v>
      </c>
      <c r="L15">
        <f>'Part 3 DA summary'!Q26</f>
        <v>0</v>
      </c>
      <c r="M15" t="str">
        <f>'Part 3 DA summary'!S26</f>
        <v/>
      </c>
      <c r="N15">
        <f>'Part 3 DA summary'!U26</f>
        <v>0</v>
      </c>
      <c r="O15" t="str">
        <f>'Part 3 DA summary'!W26</f>
        <v/>
      </c>
      <c r="P15" t="str">
        <f>'Part 3 DA summary'!Y26</f>
        <v/>
      </c>
    </row>
    <row r="16" spans="1:16" x14ac:dyDescent="0.2">
      <c r="A16" t="str">
        <f>'Part 1'!$L$17</f>
        <v>EZZZZ</v>
      </c>
      <c r="B16">
        <v>2017</v>
      </c>
      <c r="C16" t="str">
        <f>'Part 3 DA summary'!B27</f>
        <v>EZZZZEZ15</v>
      </c>
      <c r="D16">
        <f>'Part 3 DA summary'!A27</f>
        <v>15</v>
      </c>
      <c r="E16">
        <f>IF('Part 3 DA summary'!C27="",0,'Part 3 DA summary'!C27)</f>
        <v>0</v>
      </c>
      <c r="F16">
        <f>'Part 3 DA summary'!E27</f>
        <v>0</v>
      </c>
      <c r="G16">
        <f>'Part 3 DA summary'!G27</f>
        <v>0</v>
      </c>
      <c r="H16">
        <f>'Part 3 DA summary'!I27</f>
        <v>0</v>
      </c>
      <c r="I16" t="str">
        <f>'Part 3 DA summary'!K27</f>
        <v/>
      </c>
      <c r="J16">
        <f>'Part 3 DA summary'!M27</f>
        <v>0</v>
      </c>
      <c r="K16">
        <f>'Part 3 DA summary'!O27</f>
        <v>0</v>
      </c>
      <c r="L16">
        <f>'Part 3 DA summary'!Q27</f>
        <v>0</v>
      </c>
      <c r="M16" t="str">
        <f>'Part 3 DA summary'!S27</f>
        <v/>
      </c>
      <c r="N16">
        <f>'Part 3 DA summary'!U27</f>
        <v>0</v>
      </c>
      <c r="O16" t="str">
        <f>'Part 3 DA summary'!W27</f>
        <v/>
      </c>
      <c r="P16" t="str">
        <f>'Part 3 DA summary'!Y27</f>
        <v/>
      </c>
    </row>
    <row r="17" spans="1:16" x14ac:dyDescent="0.2">
      <c r="A17" t="str">
        <f>'Part 1'!$L$17</f>
        <v>EZZZZ</v>
      </c>
      <c r="B17">
        <v>2017</v>
      </c>
      <c r="C17" t="str">
        <f>'Part 3 DA summary'!B28</f>
        <v>EZZZZEZ16</v>
      </c>
      <c r="D17">
        <f>'Part 3 DA summary'!A28</f>
        <v>16</v>
      </c>
      <c r="E17">
        <f>IF('Part 3 DA summary'!C28="",0,'Part 3 DA summary'!C28)</f>
        <v>0</v>
      </c>
      <c r="F17">
        <f>'Part 3 DA summary'!E28</f>
        <v>0</v>
      </c>
      <c r="G17">
        <f>'Part 3 DA summary'!G28</f>
        <v>0</v>
      </c>
      <c r="H17">
        <f>'Part 3 DA summary'!I28</f>
        <v>0</v>
      </c>
      <c r="I17" t="str">
        <f>'Part 3 DA summary'!K28</f>
        <v/>
      </c>
      <c r="J17">
        <f>'Part 3 DA summary'!M28</f>
        <v>0</v>
      </c>
      <c r="K17">
        <f>'Part 3 DA summary'!O28</f>
        <v>0</v>
      </c>
      <c r="L17">
        <f>'Part 3 DA summary'!Q28</f>
        <v>0</v>
      </c>
      <c r="M17" t="str">
        <f>'Part 3 DA summary'!S28</f>
        <v/>
      </c>
      <c r="N17">
        <f>'Part 3 DA summary'!U28</f>
        <v>0</v>
      </c>
      <c r="O17" t="str">
        <f>'Part 3 DA summary'!W28</f>
        <v/>
      </c>
      <c r="P17" t="str">
        <f>'Part 3 DA summary'!Y28</f>
        <v/>
      </c>
    </row>
    <row r="18" spans="1:16" x14ac:dyDescent="0.2">
      <c r="A18" t="str">
        <f>'Part 1'!$L$17</f>
        <v>EZZZZ</v>
      </c>
      <c r="B18">
        <v>2017</v>
      </c>
      <c r="C18" t="str">
        <f>'Part 3 DA summary'!B29</f>
        <v>EZZZZEZ17</v>
      </c>
      <c r="D18">
        <f>'Part 3 DA summary'!A29</f>
        <v>17</v>
      </c>
      <c r="E18">
        <f>IF('Part 3 DA summary'!C29="",0,'Part 3 DA summary'!C29)</f>
        <v>0</v>
      </c>
      <c r="F18">
        <f>'Part 3 DA summary'!E29</f>
        <v>0</v>
      </c>
      <c r="G18">
        <f>'Part 3 DA summary'!G29</f>
        <v>0</v>
      </c>
      <c r="H18">
        <f>'Part 3 DA summary'!I29</f>
        <v>0</v>
      </c>
      <c r="I18" t="str">
        <f>'Part 3 DA summary'!K29</f>
        <v/>
      </c>
      <c r="J18">
        <f>'Part 3 DA summary'!M29</f>
        <v>0</v>
      </c>
      <c r="K18">
        <f>'Part 3 DA summary'!O29</f>
        <v>0</v>
      </c>
      <c r="L18">
        <f>'Part 3 DA summary'!Q29</f>
        <v>0</v>
      </c>
      <c r="M18" t="str">
        <f>'Part 3 DA summary'!S29</f>
        <v/>
      </c>
      <c r="N18">
        <f>'Part 3 DA summary'!U29</f>
        <v>0</v>
      </c>
      <c r="O18" t="str">
        <f>'Part 3 DA summary'!W29</f>
        <v/>
      </c>
      <c r="P18" t="str">
        <f>'Part 3 DA summary'!Y29</f>
        <v/>
      </c>
    </row>
    <row r="19" spans="1:16" x14ac:dyDescent="0.2">
      <c r="A19" t="str">
        <f>'Part 1'!$L$17</f>
        <v>EZZZZ</v>
      </c>
      <c r="B19">
        <v>2017</v>
      </c>
      <c r="C19" t="str">
        <f>'Part 3 DA summary'!B30</f>
        <v>EZZZZEZ18</v>
      </c>
      <c r="D19">
        <f>'Part 3 DA summary'!A30</f>
        <v>18</v>
      </c>
      <c r="E19">
        <f>IF('Part 3 DA summary'!C30="",0,'Part 3 DA summary'!C30)</f>
        <v>0</v>
      </c>
      <c r="F19">
        <f>'Part 3 DA summary'!E30</f>
        <v>0</v>
      </c>
      <c r="G19">
        <f>'Part 3 DA summary'!G30</f>
        <v>0</v>
      </c>
      <c r="H19">
        <f>'Part 3 DA summary'!I30</f>
        <v>0</v>
      </c>
      <c r="I19" t="str">
        <f>'Part 3 DA summary'!K30</f>
        <v/>
      </c>
      <c r="J19">
        <f>'Part 3 DA summary'!M30</f>
        <v>0</v>
      </c>
      <c r="K19">
        <f>'Part 3 DA summary'!O30</f>
        <v>0</v>
      </c>
      <c r="L19">
        <f>'Part 3 DA summary'!Q30</f>
        <v>0</v>
      </c>
      <c r="M19" t="str">
        <f>'Part 3 DA summary'!S30</f>
        <v/>
      </c>
      <c r="N19">
        <f>'Part 3 DA summary'!U30</f>
        <v>0</v>
      </c>
      <c r="O19" t="str">
        <f>'Part 3 DA summary'!W30</f>
        <v/>
      </c>
      <c r="P19" t="str">
        <f>'Part 3 DA summary'!Y30</f>
        <v/>
      </c>
    </row>
    <row r="20" spans="1:16" x14ac:dyDescent="0.2">
      <c r="A20" t="str">
        <f>'Part 1'!$L$17</f>
        <v>EZZZZ</v>
      </c>
      <c r="B20">
        <v>2017</v>
      </c>
      <c r="C20" t="str">
        <f>'Part 3 DA summary'!B31</f>
        <v>EZZZZEZ19</v>
      </c>
      <c r="D20">
        <f>'Part 3 DA summary'!A31</f>
        <v>19</v>
      </c>
      <c r="E20">
        <f>IF('Part 3 DA summary'!C31="",0,'Part 3 DA summary'!C31)</f>
        <v>0</v>
      </c>
      <c r="F20">
        <f>'Part 3 DA summary'!E31</f>
        <v>0</v>
      </c>
      <c r="G20">
        <f>'Part 3 DA summary'!G31</f>
        <v>0</v>
      </c>
      <c r="H20">
        <f>'Part 3 DA summary'!I31</f>
        <v>0</v>
      </c>
      <c r="I20" t="str">
        <f>'Part 3 DA summary'!K31</f>
        <v/>
      </c>
      <c r="J20">
        <f>'Part 3 DA summary'!M31</f>
        <v>0</v>
      </c>
      <c r="K20">
        <f>'Part 3 DA summary'!O31</f>
        <v>0</v>
      </c>
      <c r="L20">
        <f>'Part 3 DA summary'!Q31</f>
        <v>0</v>
      </c>
      <c r="M20" t="str">
        <f>'Part 3 DA summary'!S31</f>
        <v/>
      </c>
      <c r="N20">
        <f>'Part 3 DA summary'!U31</f>
        <v>0</v>
      </c>
      <c r="O20" t="str">
        <f>'Part 3 DA summary'!W31</f>
        <v/>
      </c>
      <c r="P20" t="str">
        <f>'Part 3 DA summary'!Y31</f>
        <v/>
      </c>
    </row>
    <row r="21" spans="1:16" x14ac:dyDescent="0.2">
      <c r="A21" t="str">
        <f>'Part 1'!$L$17</f>
        <v>EZZZZ</v>
      </c>
      <c r="B21">
        <v>2017</v>
      </c>
      <c r="C21" t="str">
        <f>'Part 3 DA summary'!B32</f>
        <v>EZZZZEZ20</v>
      </c>
      <c r="D21">
        <f>'Part 3 DA summary'!A32</f>
        <v>20</v>
      </c>
      <c r="E21">
        <f>IF('Part 3 DA summary'!C32="",0,'Part 3 DA summary'!C32)</f>
        <v>0</v>
      </c>
      <c r="F21">
        <f>'Part 3 DA summary'!E32</f>
        <v>0</v>
      </c>
      <c r="G21">
        <f>'Part 3 DA summary'!G32</f>
        <v>0</v>
      </c>
      <c r="H21">
        <f>'Part 3 DA summary'!I32</f>
        <v>0</v>
      </c>
      <c r="I21" t="str">
        <f>'Part 3 DA summary'!K32</f>
        <v/>
      </c>
      <c r="J21">
        <f>'Part 3 DA summary'!M32</f>
        <v>0</v>
      </c>
      <c r="K21">
        <f>'Part 3 DA summary'!O32</f>
        <v>0</v>
      </c>
      <c r="L21">
        <f>'Part 3 DA summary'!Q32</f>
        <v>0</v>
      </c>
      <c r="M21" t="str">
        <f>'Part 3 DA summary'!S32</f>
        <v/>
      </c>
      <c r="N21">
        <f>'Part 3 DA summary'!U32</f>
        <v>0</v>
      </c>
      <c r="O21" t="str">
        <f>'Part 3 DA summary'!W32</f>
        <v/>
      </c>
      <c r="P21" t="str">
        <f>'Part 3 DA summary'!Y32</f>
        <v/>
      </c>
    </row>
    <row r="22" spans="1:16" x14ac:dyDescent="0.2">
      <c r="A22" t="str">
        <f>'Part 1'!$L$17</f>
        <v>EZZZZ</v>
      </c>
      <c r="B22">
        <v>2017</v>
      </c>
      <c r="C22" t="str">
        <f>'Part 3 DA summary'!B33</f>
        <v>EZZZZEZ21</v>
      </c>
      <c r="D22">
        <f>'Part 3 DA summary'!A33</f>
        <v>21</v>
      </c>
      <c r="E22">
        <f>IF('Part 3 DA summary'!C33="",0,'Part 3 DA summary'!C33)</f>
        <v>0</v>
      </c>
      <c r="F22">
        <f>'Part 3 DA summary'!E33</f>
        <v>0</v>
      </c>
      <c r="G22">
        <f>'Part 3 DA summary'!G33</f>
        <v>0</v>
      </c>
      <c r="H22">
        <f>'Part 3 DA summary'!I33</f>
        <v>0</v>
      </c>
      <c r="I22" t="str">
        <f>'Part 3 DA summary'!K33</f>
        <v/>
      </c>
      <c r="J22">
        <f>'Part 3 DA summary'!M33</f>
        <v>0</v>
      </c>
      <c r="K22">
        <f>'Part 3 DA summary'!O33</f>
        <v>0</v>
      </c>
      <c r="L22">
        <f>'Part 3 DA summary'!Q33</f>
        <v>0</v>
      </c>
      <c r="M22" t="str">
        <f>'Part 3 DA summary'!S33</f>
        <v/>
      </c>
      <c r="N22">
        <f>'Part 3 DA summary'!U33</f>
        <v>0</v>
      </c>
      <c r="O22" t="str">
        <f>'Part 3 DA summary'!W33</f>
        <v/>
      </c>
      <c r="P22" t="str">
        <f>'Part 3 DA summary'!Y33</f>
        <v/>
      </c>
    </row>
    <row r="23" spans="1:16" x14ac:dyDescent="0.2">
      <c r="A23" t="str">
        <f>'Part 1'!$L$17</f>
        <v>EZZZZ</v>
      </c>
      <c r="B23">
        <v>2017</v>
      </c>
      <c r="C23" t="str">
        <f>'Part 3 DA summary'!B34</f>
        <v>EZZZZEZ22</v>
      </c>
      <c r="D23">
        <f>'Part 3 DA summary'!A34</f>
        <v>22</v>
      </c>
      <c r="E23">
        <f>IF('Part 3 DA summary'!C34="",0,'Part 3 DA summary'!C34)</f>
        <v>0</v>
      </c>
      <c r="F23">
        <f>'Part 3 DA summary'!E34</f>
        <v>0</v>
      </c>
      <c r="G23">
        <f>'Part 3 DA summary'!G34</f>
        <v>0</v>
      </c>
      <c r="H23">
        <f>'Part 3 DA summary'!I34</f>
        <v>0</v>
      </c>
      <c r="I23" t="str">
        <f>'Part 3 DA summary'!K34</f>
        <v/>
      </c>
      <c r="J23">
        <f>'Part 3 DA summary'!M34</f>
        <v>0</v>
      </c>
      <c r="K23">
        <f>'Part 3 DA summary'!O34</f>
        <v>0</v>
      </c>
      <c r="L23">
        <f>'Part 3 DA summary'!Q34</f>
        <v>0</v>
      </c>
      <c r="M23" t="str">
        <f>'Part 3 DA summary'!S34</f>
        <v/>
      </c>
      <c r="N23">
        <f>'Part 3 DA summary'!U34</f>
        <v>0</v>
      </c>
      <c r="O23" t="str">
        <f>'Part 3 DA summary'!W34</f>
        <v/>
      </c>
      <c r="P23" t="str">
        <f>'Part 3 DA summary'!Y34</f>
        <v/>
      </c>
    </row>
    <row r="24" spans="1:16" x14ac:dyDescent="0.2">
      <c r="A24" t="str">
        <f>'Part 1'!$L$17</f>
        <v>EZZZZ</v>
      </c>
      <c r="B24">
        <v>2017</v>
      </c>
      <c r="C24" t="str">
        <f>'Part 3 DA summary'!B35</f>
        <v>EZZZZEZ23</v>
      </c>
      <c r="D24">
        <f>'Part 3 DA summary'!A35</f>
        <v>23</v>
      </c>
      <c r="E24">
        <f>IF('Part 3 DA summary'!C35="",0,'Part 3 DA summary'!C35)</f>
        <v>0</v>
      </c>
      <c r="F24">
        <f>'Part 3 DA summary'!E35</f>
        <v>0</v>
      </c>
      <c r="G24">
        <f>'Part 3 DA summary'!G35</f>
        <v>0</v>
      </c>
      <c r="H24">
        <f>'Part 3 DA summary'!I35</f>
        <v>0</v>
      </c>
      <c r="I24" t="str">
        <f>'Part 3 DA summary'!K35</f>
        <v/>
      </c>
      <c r="J24">
        <f>'Part 3 DA summary'!M35</f>
        <v>0</v>
      </c>
      <c r="K24">
        <f>'Part 3 DA summary'!O35</f>
        <v>0</v>
      </c>
      <c r="L24">
        <f>'Part 3 DA summary'!Q35</f>
        <v>0</v>
      </c>
      <c r="M24" t="str">
        <f>'Part 3 DA summary'!S35</f>
        <v/>
      </c>
      <c r="N24">
        <f>'Part 3 DA summary'!U35</f>
        <v>0</v>
      </c>
      <c r="O24" t="str">
        <f>'Part 3 DA summary'!W35</f>
        <v/>
      </c>
      <c r="P24" t="str">
        <f>'Part 3 DA summary'!Y35</f>
        <v/>
      </c>
    </row>
    <row r="25" spans="1:16" x14ac:dyDescent="0.2">
      <c r="A25" t="str">
        <f>'Part 1'!$L$17</f>
        <v>EZZZZ</v>
      </c>
      <c r="B25">
        <v>2017</v>
      </c>
      <c r="C25" t="str">
        <f>'Part 3 DA summary'!B36</f>
        <v>EZZZZEZ24</v>
      </c>
      <c r="D25">
        <f>'Part 3 DA summary'!A36</f>
        <v>24</v>
      </c>
      <c r="E25">
        <f>IF('Part 3 DA summary'!C36="",0,'Part 3 DA summary'!C36)</f>
        <v>0</v>
      </c>
      <c r="F25">
        <f>'Part 3 DA summary'!E36</f>
        <v>0</v>
      </c>
      <c r="G25">
        <f>'Part 3 DA summary'!G36</f>
        <v>0</v>
      </c>
      <c r="H25">
        <f>'Part 3 DA summary'!I36</f>
        <v>0</v>
      </c>
      <c r="I25" t="str">
        <f>'Part 3 DA summary'!K36</f>
        <v/>
      </c>
      <c r="J25">
        <f>'Part 3 DA summary'!M36</f>
        <v>0</v>
      </c>
      <c r="K25">
        <f>'Part 3 DA summary'!O36</f>
        <v>0</v>
      </c>
      <c r="L25">
        <f>'Part 3 DA summary'!Q36</f>
        <v>0</v>
      </c>
      <c r="M25" t="str">
        <f>'Part 3 DA summary'!S36</f>
        <v/>
      </c>
      <c r="N25">
        <f>'Part 3 DA summary'!U36</f>
        <v>0</v>
      </c>
      <c r="O25" t="str">
        <f>'Part 3 DA summary'!W36</f>
        <v/>
      </c>
      <c r="P25" t="str">
        <f>'Part 3 DA summary'!Y36</f>
        <v/>
      </c>
    </row>
    <row r="26" spans="1:16" x14ac:dyDescent="0.2">
      <c r="A26" t="str">
        <f>'Part 1'!$L$17</f>
        <v>EZZZZ</v>
      </c>
      <c r="B26">
        <v>2017</v>
      </c>
      <c r="C26" t="str">
        <f>'Part 3 DA summary'!B37</f>
        <v>EZZZZEZ25</v>
      </c>
      <c r="D26">
        <f>'Part 3 DA summary'!A37</f>
        <v>25</v>
      </c>
      <c r="E26">
        <f>IF('Part 3 DA summary'!C37="",0,'Part 3 DA summary'!C37)</f>
        <v>0</v>
      </c>
      <c r="F26">
        <f>'Part 3 DA summary'!E37</f>
        <v>0</v>
      </c>
      <c r="G26">
        <f>'Part 3 DA summary'!G37</f>
        <v>0</v>
      </c>
      <c r="H26">
        <f>'Part 3 DA summary'!I37</f>
        <v>0</v>
      </c>
      <c r="I26" t="str">
        <f>'Part 3 DA summary'!K37</f>
        <v/>
      </c>
      <c r="J26">
        <f>'Part 3 DA summary'!M37</f>
        <v>0</v>
      </c>
      <c r="K26">
        <f>'Part 3 DA summary'!O37</f>
        <v>0</v>
      </c>
      <c r="L26">
        <f>'Part 3 DA summary'!Q37</f>
        <v>0</v>
      </c>
      <c r="M26" t="str">
        <f>'Part 3 DA summary'!S37</f>
        <v/>
      </c>
      <c r="N26">
        <f>'Part 3 DA summary'!U37</f>
        <v>0</v>
      </c>
      <c r="O26" t="str">
        <f>'Part 3 DA summary'!W37</f>
        <v/>
      </c>
      <c r="P26" t="str">
        <f>'Part 3 DA summary'!Y37</f>
        <v/>
      </c>
    </row>
    <row r="27" spans="1:16" x14ac:dyDescent="0.2">
      <c r="A27" t="str">
        <f>'Part 1'!$L$17</f>
        <v>EZZZZ</v>
      </c>
      <c r="B27">
        <v>2017</v>
      </c>
      <c r="C27" t="str">
        <f>'Part 3 DA summary'!B38</f>
        <v>EZZZZEZ26</v>
      </c>
      <c r="D27">
        <f>'Part 3 DA summary'!A38</f>
        <v>26</v>
      </c>
      <c r="E27">
        <f>IF('Part 3 DA summary'!C38="",0,'Part 3 DA summary'!C38)</f>
        <v>0</v>
      </c>
      <c r="F27">
        <f>'Part 3 DA summary'!E38</f>
        <v>0</v>
      </c>
      <c r="G27">
        <f>'Part 3 DA summary'!G38</f>
        <v>0</v>
      </c>
      <c r="H27">
        <f>'Part 3 DA summary'!I38</f>
        <v>0</v>
      </c>
      <c r="I27" t="str">
        <f>'Part 3 DA summary'!K38</f>
        <v/>
      </c>
      <c r="J27">
        <f>'Part 3 DA summary'!M38</f>
        <v>0</v>
      </c>
      <c r="K27">
        <f>'Part 3 DA summary'!O38</f>
        <v>0</v>
      </c>
      <c r="L27">
        <f>'Part 3 DA summary'!Q38</f>
        <v>0</v>
      </c>
      <c r="M27" t="str">
        <f>'Part 3 DA summary'!S38</f>
        <v/>
      </c>
      <c r="N27">
        <f>'Part 3 DA summary'!U38</f>
        <v>0</v>
      </c>
      <c r="O27" t="str">
        <f>'Part 3 DA summary'!W38</f>
        <v/>
      </c>
      <c r="P27" t="str">
        <f>'Part 3 DA summary'!Y38</f>
        <v/>
      </c>
    </row>
    <row r="28" spans="1:16" x14ac:dyDescent="0.2">
      <c r="A28" t="str">
        <f>'Part 1'!$L$17</f>
        <v>EZZZZ</v>
      </c>
      <c r="B28">
        <v>2017</v>
      </c>
      <c r="C28" t="str">
        <f>'Part 3 DA summary'!B39</f>
        <v>EZZZZEZ27</v>
      </c>
      <c r="D28">
        <f>'Part 3 DA summary'!A39</f>
        <v>27</v>
      </c>
      <c r="E28">
        <f>IF('Part 3 DA summary'!C39="",0,'Part 3 DA summary'!C39)</f>
        <v>0</v>
      </c>
      <c r="F28">
        <f>'Part 3 DA summary'!E39</f>
        <v>0</v>
      </c>
      <c r="G28">
        <f>'Part 3 DA summary'!G39</f>
        <v>0</v>
      </c>
      <c r="H28">
        <f>'Part 3 DA summary'!I39</f>
        <v>0</v>
      </c>
      <c r="I28" t="str">
        <f>'Part 3 DA summary'!K39</f>
        <v/>
      </c>
      <c r="J28">
        <f>'Part 3 DA summary'!M39</f>
        <v>0</v>
      </c>
      <c r="K28">
        <f>'Part 3 DA summary'!O39</f>
        <v>0</v>
      </c>
      <c r="L28">
        <f>'Part 3 DA summary'!Q39</f>
        <v>0</v>
      </c>
      <c r="M28" t="str">
        <f>'Part 3 DA summary'!S39</f>
        <v/>
      </c>
      <c r="N28">
        <f>'Part 3 DA summary'!U39</f>
        <v>0</v>
      </c>
      <c r="O28" t="str">
        <f>'Part 3 DA summary'!W39</f>
        <v/>
      </c>
      <c r="P28" t="str">
        <f>'Part 3 DA summary'!Y39</f>
        <v/>
      </c>
    </row>
    <row r="29" spans="1:16" x14ac:dyDescent="0.2">
      <c r="A29" t="str">
        <f>'Part 1'!$L$17</f>
        <v>EZZZZ</v>
      </c>
      <c r="B29">
        <v>2017</v>
      </c>
      <c r="C29" t="str">
        <f>'Part 3 DA summary'!B40</f>
        <v>EZZZZEZ28</v>
      </c>
      <c r="D29">
        <f>'Part 3 DA summary'!A40</f>
        <v>28</v>
      </c>
      <c r="E29">
        <f>IF('Part 3 DA summary'!C40="",0,'Part 3 DA summary'!C40)</f>
        <v>0</v>
      </c>
      <c r="F29">
        <f>'Part 3 DA summary'!E40</f>
        <v>0</v>
      </c>
      <c r="G29">
        <f>'Part 3 DA summary'!G40</f>
        <v>0</v>
      </c>
      <c r="H29">
        <f>'Part 3 DA summary'!I40</f>
        <v>0</v>
      </c>
      <c r="I29" t="str">
        <f>'Part 3 DA summary'!K40</f>
        <v/>
      </c>
      <c r="J29">
        <f>'Part 3 DA summary'!M40</f>
        <v>0</v>
      </c>
      <c r="K29">
        <f>'Part 3 DA summary'!O40</f>
        <v>0</v>
      </c>
      <c r="L29">
        <f>'Part 3 DA summary'!Q40</f>
        <v>0</v>
      </c>
      <c r="M29" t="str">
        <f>'Part 3 DA summary'!S40</f>
        <v/>
      </c>
      <c r="N29">
        <f>'Part 3 DA summary'!U40</f>
        <v>0</v>
      </c>
      <c r="O29" t="str">
        <f>'Part 3 DA summary'!W40</f>
        <v/>
      </c>
      <c r="P29" t="str">
        <f>'Part 3 DA summary'!Y40</f>
        <v/>
      </c>
    </row>
    <row r="30" spans="1:16" x14ac:dyDescent="0.2">
      <c r="A30" t="str">
        <f>'Part 1'!$L$17</f>
        <v>EZZZZ</v>
      </c>
      <c r="B30">
        <v>2017</v>
      </c>
      <c r="C30" t="str">
        <f>'Part 3 DA summary'!B41</f>
        <v>EZZZZEZ29</v>
      </c>
      <c r="D30">
        <f>'Part 3 DA summary'!A41</f>
        <v>29</v>
      </c>
      <c r="E30">
        <f>IF('Part 3 DA summary'!C41="",0,'Part 3 DA summary'!C41)</f>
        <v>0</v>
      </c>
      <c r="F30">
        <f>'Part 3 DA summary'!E41</f>
        <v>0</v>
      </c>
      <c r="G30">
        <f>'Part 3 DA summary'!G41</f>
        <v>0</v>
      </c>
      <c r="H30">
        <f>'Part 3 DA summary'!I41</f>
        <v>0</v>
      </c>
      <c r="I30" t="str">
        <f>'Part 3 DA summary'!K41</f>
        <v/>
      </c>
      <c r="J30">
        <f>'Part 3 DA summary'!M41</f>
        <v>0</v>
      </c>
      <c r="K30">
        <f>'Part 3 DA summary'!O41</f>
        <v>0</v>
      </c>
      <c r="L30">
        <f>'Part 3 DA summary'!Q41</f>
        <v>0</v>
      </c>
      <c r="M30" t="str">
        <f>'Part 3 DA summary'!S41</f>
        <v/>
      </c>
      <c r="N30">
        <f>'Part 3 DA summary'!U41</f>
        <v>0</v>
      </c>
      <c r="O30" t="str">
        <f>'Part 3 DA summary'!W41</f>
        <v/>
      </c>
      <c r="P30" t="str">
        <f>'Part 3 DA summary'!Y41</f>
        <v/>
      </c>
    </row>
    <row r="31" spans="1:16" x14ac:dyDescent="0.2">
      <c r="A31" t="str">
        <f>'Part 1'!$L$17</f>
        <v>EZZZZ</v>
      </c>
      <c r="B31">
        <v>2017</v>
      </c>
      <c r="C31" t="str">
        <f>'Part 3 DA summary'!B42</f>
        <v>EZZZZEZ30</v>
      </c>
      <c r="D31">
        <f>'Part 3 DA summary'!A42</f>
        <v>30</v>
      </c>
      <c r="E31">
        <f>IF('Part 3 DA summary'!C42="",0,'Part 3 DA summary'!C42)</f>
        <v>0</v>
      </c>
      <c r="F31">
        <f>'Part 3 DA summary'!E42</f>
        <v>0</v>
      </c>
      <c r="G31">
        <f>'Part 3 DA summary'!G42</f>
        <v>0</v>
      </c>
      <c r="H31">
        <f>'Part 3 DA summary'!I42</f>
        <v>0</v>
      </c>
      <c r="I31" t="str">
        <f>'Part 3 DA summary'!K42</f>
        <v/>
      </c>
      <c r="J31">
        <f>'Part 3 DA summary'!M42</f>
        <v>0</v>
      </c>
      <c r="K31">
        <f>'Part 3 DA summary'!O42</f>
        <v>0</v>
      </c>
      <c r="L31">
        <f>'Part 3 DA summary'!Q42</f>
        <v>0</v>
      </c>
      <c r="M31" t="str">
        <f>'Part 3 DA summary'!S42</f>
        <v/>
      </c>
      <c r="N31">
        <f>'Part 3 DA summary'!U42</f>
        <v>0</v>
      </c>
      <c r="O31" t="str">
        <f>'Part 3 DA summary'!W42</f>
        <v/>
      </c>
      <c r="P31" t="str">
        <f>'Part 3 DA summary'!Y42</f>
        <v/>
      </c>
    </row>
    <row r="32" spans="1:16" x14ac:dyDescent="0.2">
      <c r="A32" t="str">
        <f>'Part 1'!$L$17</f>
        <v>EZZZZ</v>
      </c>
      <c r="B32">
        <v>2017</v>
      </c>
      <c r="C32" t="str">
        <f>'Part 3 DA summary'!B43</f>
        <v>EZZZZEZ31</v>
      </c>
      <c r="D32">
        <f>'Part 3 DA summary'!A43</f>
        <v>31</v>
      </c>
      <c r="E32">
        <f>IF('Part 3 DA summary'!C43="",0,'Part 3 DA summary'!C43)</f>
        <v>0</v>
      </c>
      <c r="F32">
        <f>'Part 3 DA summary'!E43</f>
        <v>0</v>
      </c>
      <c r="G32">
        <f>'Part 3 DA summary'!G43</f>
        <v>0</v>
      </c>
      <c r="H32">
        <f>'Part 3 DA summary'!I43</f>
        <v>0</v>
      </c>
      <c r="I32" t="str">
        <f>'Part 3 DA summary'!K43</f>
        <v/>
      </c>
      <c r="J32">
        <f>'Part 3 DA summary'!M43</f>
        <v>0</v>
      </c>
      <c r="K32">
        <f>'Part 3 DA summary'!O43</f>
        <v>0</v>
      </c>
      <c r="L32">
        <f>'Part 3 DA summary'!Q43</f>
        <v>0</v>
      </c>
      <c r="M32" t="str">
        <f>'Part 3 DA summary'!S43</f>
        <v/>
      </c>
      <c r="N32">
        <f>'Part 3 DA summary'!U43</f>
        <v>0</v>
      </c>
      <c r="O32" t="str">
        <f>'Part 3 DA summary'!W43</f>
        <v/>
      </c>
      <c r="P32" t="str">
        <f>'Part 3 DA summary'!Y43</f>
        <v/>
      </c>
    </row>
    <row r="33" spans="1:16" x14ac:dyDescent="0.2">
      <c r="A33" t="str">
        <f>'Part 1'!$L$17</f>
        <v>EZZZZ</v>
      </c>
      <c r="B33">
        <v>2017</v>
      </c>
      <c r="C33" t="str">
        <f>'Part 3 DA summary'!B44</f>
        <v>EZZZZEZ32</v>
      </c>
      <c r="D33">
        <f>'Part 3 DA summary'!A44</f>
        <v>32</v>
      </c>
      <c r="E33">
        <f>IF('Part 3 DA summary'!C44="",0,'Part 3 DA summary'!C44)</f>
        <v>0</v>
      </c>
      <c r="F33">
        <f>'Part 3 DA summary'!E44</f>
        <v>0</v>
      </c>
      <c r="G33">
        <f>'Part 3 DA summary'!G44</f>
        <v>0</v>
      </c>
      <c r="H33">
        <f>'Part 3 DA summary'!I44</f>
        <v>0</v>
      </c>
      <c r="I33" t="str">
        <f>'Part 3 DA summary'!K44</f>
        <v/>
      </c>
      <c r="J33">
        <f>'Part 3 DA summary'!M44</f>
        <v>0</v>
      </c>
      <c r="K33">
        <f>'Part 3 DA summary'!O44</f>
        <v>0</v>
      </c>
      <c r="L33">
        <f>'Part 3 DA summary'!Q44</f>
        <v>0</v>
      </c>
      <c r="M33" t="str">
        <f>'Part 3 DA summary'!S44</f>
        <v/>
      </c>
      <c r="N33">
        <f>'Part 3 DA summary'!U44</f>
        <v>0</v>
      </c>
      <c r="O33" t="str">
        <f>'Part 3 DA summary'!W44</f>
        <v/>
      </c>
      <c r="P33" t="str">
        <f>'Part 3 DA summary'!Y44</f>
        <v/>
      </c>
    </row>
    <row r="34" spans="1:16" x14ac:dyDescent="0.2">
      <c r="A34" t="str">
        <f>'Part 1'!$L$17</f>
        <v>EZZZZ</v>
      </c>
      <c r="B34">
        <v>2017</v>
      </c>
      <c r="C34" t="str">
        <f>'Part 3 DA summary'!B45</f>
        <v>EZZZZEZ33</v>
      </c>
      <c r="D34">
        <f>'Part 3 DA summary'!A45</f>
        <v>33</v>
      </c>
      <c r="E34">
        <f>IF('Part 3 DA summary'!C45="",0,'Part 3 DA summary'!C45)</f>
        <v>0</v>
      </c>
      <c r="F34">
        <f>'Part 3 DA summary'!E45</f>
        <v>0</v>
      </c>
      <c r="G34">
        <f>'Part 3 DA summary'!G45</f>
        <v>0</v>
      </c>
      <c r="H34">
        <f>'Part 3 DA summary'!I45</f>
        <v>0</v>
      </c>
      <c r="I34" t="str">
        <f>'Part 3 DA summary'!K45</f>
        <v/>
      </c>
      <c r="J34">
        <f>'Part 3 DA summary'!M45</f>
        <v>0</v>
      </c>
      <c r="K34">
        <f>'Part 3 DA summary'!O45</f>
        <v>0</v>
      </c>
      <c r="L34">
        <f>'Part 3 DA summary'!Q45</f>
        <v>0</v>
      </c>
      <c r="M34" t="str">
        <f>'Part 3 DA summary'!S45</f>
        <v/>
      </c>
      <c r="N34">
        <f>'Part 3 DA summary'!U45</f>
        <v>0</v>
      </c>
      <c r="O34" t="str">
        <f>'Part 3 DA summary'!W45</f>
        <v/>
      </c>
      <c r="P34" t="str">
        <f>'Part 3 DA summary'!Y45</f>
        <v/>
      </c>
    </row>
    <row r="35" spans="1:16" x14ac:dyDescent="0.2">
      <c r="A35" t="str">
        <f>'Part 1'!$L$17</f>
        <v>EZZZZ</v>
      </c>
      <c r="B35">
        <v>2017</v>
      </c>
      <c r="C35" t="str">
        <f>'Part 3 DA summary'!B46</f>
        <v>EZZZZEZ34</v>
      </c>
      <c r="D35">
        <f>'Part 3 DA summary'!A46</f>
        <v>34</v>
      </c>
      <c r="E35">
        <f>IF('Part 3 DA summary'!C46="",0,'Part 3 DA summary'!C46)</f>
        <v>0</v>
      </c>
      <c r="F35">
        <f>'Part 3 DA summary'!E46</f>
        <v>0</v>
      </c>
      <c r="G35">
        <f>'Part 3 DA summary'!G46</f>
        <v>0</v>
      </c>
      <c r="H35">
        <f>'Part 3 DA summary'!I46</f>
        <v>0</v>
      </c>
      <c r="I35" t="str">
        <f>'Part 3 DA summary'!K46</f>
        <v/>
      </c>
      <c r="J35">
        <f>'Part 3 DA summary'!M46</f>
        <v>0</v>
      </c>
      <c r="K35">
        <f>'Part 3 DA summary'!O46</f>
        <v>0</v>
      </c>
      <c r="L35">
        <f>'Part 3 DA summary'!Q46</f>
        <v>0</v>
      </c>
      <c r="M35" t="str">
        <f>'Part 3 DA summary'!S46</f>
        <v/>
      </c>
      <c r="N35">
        <f>'Part 3 DA summary'!U46</f>
        <v>0</v>
      </c>
      <c r="O35" t="str">
        <f>'Part 3 DA summary'!W46</f>
        <v/>
      </c>
      <c r="P35" t="str">
        <f>'Part 3 DA summary'!Y46</f>
        <v/>
      </c>
    </row>
    <row r="36" spans="1:16" x14ac:dyDescent="0.2">
      <c r="A36" t="str">
        <f>'Part 1'!$L$17</f>
        <v>EZZZZ</v>
      </c>
      <c r="B36">
        <v>2017</v>
      </c>
      <c r="C36" t="str">
        <f>'Part 3 DA summary'!B47</f>
        <v>EZZZZEZ35</v>
      </c>
      <c r="D36">
        <f>'Part 3 DA summary'!A47</f>
        <v>35</v>
      </c>
      <c r="E36">
        <f>IF('Part 3 DA summary'!C47="",0,'Part 3 DA summary'!C47)</f>
        <v>0</v>
      </c>
      <c r="F36">
        <f>'Part 3 DA summary'!E47</f>
        <v>0</v>
      </c>
      <c r="G36">
        <f>'Part 3 DA summary'!G47</f>
        <v>0</v>
      </c>
      <c r="H36">
        <f>'Part 3 DA summary'!I47</f>
        <v>0</v>
      </c>
      <c r="I36" t="str">
        <f>'Part 3 DA summary'!K47</f>
        <v/>
      </c>
      <c r="J36">
        <f>'Part 3 DA summary'!M47</f>
        <v>0</v>
      </c>
      <c r="K36">
        <f>'Part 3 DA summary'!O47</f>
        <v>0</v>
      </c>
      <c r="L36">
        <f>'Part 3 DA summary'!Q47</f>
        <v>0</v>
      </c>
      <c r="M36" t="str">
        <f>'Part 3 DA summary'!S47</f>
        <v/>
      </c>
      <c r="N36">
        <f>'Part 3 DA summary'!U47</f>
        <v>0</v>
      </c>
      <c r="O36" t="str">
        <f>'Part 3 DA summary'!W47</f>
        <v/>
      </c>
      <c r="P36" t="str">
        <f>'Part 3 DA summary'!Y47</f>
        <v/>
      </c>
    </row>
    <row r="37" spans="1:16" x14ac:dyDescent="0.2">
      <c r="A37" t="str">
        <f>'Part 1'!$L$17</f>
        <v>EZZZZ</v>
      </c>
      <c r="B37">
        <v>2017</v>
      </c>
      <c r="C37" t="str">
        <f>'Part 3 DA summary'!B48</f>
        <v>EZZZZEZ36</v>
      </c>
      <c r="D37">
        <f>'Part 3 DA summary'!A48</f>
        <v>36</v>
      </c>
      <c r="E37">
        <f>IF('Part 3 DA summary'!C48="",0,'Part 3 DA summary'!C48)</f>
        <v>0</v>
      </c>
      <c r="F37">
        <f>'Part 3 DA summary'!E48</f>
        <v>0</v>
      </c>
      <c r="G37">
        <f>'Part 3 DA summary'!G48</f>
        <v>0</v>
      </c>
      <c r="H37">
        <f>'Part 3 DA summary'!I48</f>
        <v>0</v>
      </c>
      <c r="I37" t="str">
        <f>'Part 3 DA summary'!K48</f>
        <v/>
      </c>
      <c r="J37">
        <f>'Part 3 DA summary'!M48</f>
        <v>0</v>
      </c>
      <c r="K37">
        <f>'Part 3 DA summary'!O48</f>
        <v>0</v>
      </c>
      <c r="L37">
        <f>'Part 3 DA summary'!Q48</f>
        <v>0</v>
      </c>
      <c r="M37" t="str">
        <f>'Part 3 DA summary'!S48</f>
        <v/>
      </c>
      <c r="N37">
        <f>'Part 3 DA summary'!U48</f>
        <v>0</v>
      </c>
      <c r="O37" t="str">
        <f>'Part 3 DA summary'!W48</f>
        <v/>
      </c>
      <c r="P37" t="str">
        <f>'Part 3 DA summary'!Y48</f>
        <v/>
      </c>
    </row>
    <row r="38" spans="1:16" x14ac:dyDescent="0.2">
      <c r="A38" t="str">
        <f>'Part 1'!$L$17</f>
        <v>EZZZZ</v>
      </c>
      <c r="B38">
        <v>2017</v>
      </c>
      <c r="C38" t="str">
        <f>'Part 3 DA summary'!B49</f>
        <v>EZZZZEZ37</v>
      </c>
      <c r="D38">
        <f>'Part 3 DA summary'!A49</f>
        <v>37</v>
      </c>
      <c r="E38">
        <f>IF('Part 3 DA summary'!C49="",0,'Part 3 DA summary'!C49)</f>
        <v>0</v>
      </c>
      <c r="F38">
        <f>'Part 3 DA summary'!E49</f>
        <v>0</v>
      </c>
      <c r="G38">
        <f>'Part 3 DA summary'!G49</f>
        <v>0</v>
      </c>
      <c r="H38">
        <f>'Part 3 DA summary'!I49</f>
        <v>0</v>
      </c>
      <c r="I38" t="str">
        <f>'Part 3 DA summary'!K49</f>
        <v/>
      </c>
      <c r="J38">
        <f>'Part 3 DA summary'!M49</f>
        <v>0</v>
      </c>
      <c r="K38">
        <f>'Part 3 DA summary'!O49</f>
        <v>0</v>
      </c>
      <c r="L38">
        <f>'Part 3 DA summary'!Q49</f>
        <v>0</v>
      </c>
      <c r="M38" t="str">
        <f>'Part 3 DA summary'!S49</f>
        <v/>
      </c>
      <c r="N38">
        <f>'Part 3 DA summary'!U49</f>
        <v>0</v>
      </c>
      <c r="O38" t="str">
        <f>'Part 3 DA summary'!W49</f>
        <v/>
      </c>
      <c r="P38" t="str">
        <f>'Part 3 DA summary'!Y49</f>
        <v/>
      </c>
    </row>
    <row r="39" spans="1:16" x14ac:dyDescent="0.2">
      <c r="A39" t="str">
        <f>'Part 1'!$L$17</f>
        <v>EZZZZ</v>
      </c>
      <c r="B39">
        <v>2017</v>
      </c>
      <c r="C39" t="str">
        <f>'Part 3 DA summary'!B50</f>
        <v>EZZZZEZ38</v>
      </c>
      <c r="D39">
        <f>'Part 3 DA summary'!A50</f>
        <v>38</v>
      </c>
      <c r="E39">
        <f>IF('Part 3 DA summary'!C50="",0,'Part 3 DA summary'!C50)</f>
        <v>0</v>
      </c>
      <c r="F39">
        <f>'Part 3 DA summary'!E50</f>
        <v>0</v>
      </c>
      <c r="G39">
        <f>'Part 3 DA summary'!G50</f>
        <v>0</v>
      </c>
      <c r="H39">
        <f>'Part 3 DA summary'!I50</f>
        <v>0</v>
      </c>
      <c r="I39" t="str">
        <f>'Part 3 DA summary'!K50</f>
        <v/>
      </c>
      <c r="J39">
        <f>'Part 3 DA summary'!M50</f>
        <v>0</v>
      </c>
      <c r="K39">
        <f>'Part 3 DA summary'!O50</f>
        <v>0</v>
      </c>
      <c r="L39">
        <f>'Part 3 DA summary'!Q50</f>
        <v>0</v>
      </c>
      <c r="M39" t="str">
        <f>'Part 3 DA summary'!S50</f>
        <v/>
      </c>
      <c r="N39">
        <f>'Part 3 DA summary'!U50</f>
        <v>0</v>
      </c>
      <c r="O39" t="str">
        <f>'Part 3 DA summary'!W50</f>
        <v/>
      </c>
      <c r="P39" t="str">
        <f>'Part 3 DA summary'!Y50</f>
        <v/>
      </c>
    </row>
    <row r="40" spans="1:16" x14ac:dyDescent="0.2">
      <c r="A40" t="str">
        <f>'Part 1'!$L$17</f>
        <v>EZZZZ</v>
      </c>
      <c r="B40">
        <v>2017</v>
      </c>
      <c r="C40" t="str">
        <f>'Part 3 DA summary'!B51</f>
        <v>EZZZZEZ39</v>
      </c>
      <c r="D40">
        <f>'Part 3 DA summary'!A51</f>
        <v>39</v>
      </c>
      <c r="E40">
        <f>IF('Part 3 DA summary'!C51="",0,'Part 3 DA summary'!C51)</f>
        <v>0</v>
      </c>
      <c r="F40">
        <f>'Part 3 DA summary'!E51</f>
        <v>0</v>
      </c>
      <c r="G40">
        <f>'Part 3 DA summary'!G51</f>
        <v>0</v>
      </c>
      <c r="H40">
        <f>'Part 3 DA summary'!I51</f>
        <v>0</v>
      </c>
      <c r="I40" t="str">
        <f>'Part 3 DA summary'!K51</f>
        <v/>
      </c>
      <c r="J40">
        <f>'Part 3 DA summary'!M51</f>
        <v>0</v>
      </c>
      <c r="K40">
        <f>'Part 3 DA summary'!O51</f>
        <v>0</v>
      </c>
      <c r="L40">
        <f>'Part 3 DA summary'!Q51</f>
        <v>0</v>
      </c>
      <c r="M40" t="str">
        <f>'Part 3 DA summary'!S51</f>
        <v/>
      </c>
      <c r="N40">
        <f>'Part 3 DA summary'!U51</f>
        <v>0</v>
      </c>
      <c r="O40" t="str">
        <f>'Part 3 DA summary'!W51</f>
        <v/>
      </c>
      <c r="P40" t="str">
        <f>'Part 3 DA summary'!Y51</f>
        <v/>
      </c>
    </row>
    <row r="41" spans="1:16" x14ac:dyDescent="0.2">
      <c r="A41" t="str">
        <f>'Part 1'!$L$17</f>
        <v>EZZZZ</v>
      </c>
      <c r="B41">
        <v>2017</v>
      </c>
      <c r="C41" t="str">
        <f>'Part 3 DA summary'!B52</f>
        <v>EZZZZEZ40</v>
      </c>
      <c r="D41">
        <f>'Part 3 DA summary'!A52</f>
        <v>40</v>
      </c>
      <c r="E41">
        <f>IF('Part 3 DA summary'!C52="",0,'Part 3 DA summary'!C52)</f>
        <v>0</v>
      </c>
      <c r="F41">
        <f>'Part 3 DA summary'!E52</f>
        <v>0</v>
      </c>
      <c r="G41">
        <f>'Part 3 DA summary'!G52</f>
        <v>0</v>
      </c>
      <c r="H41">
        <f>'Part 3 DA summary'!I52</f>
        <v>0</v>
      </c>
      <c r="I41" t="str">
        <f>'Part 3 DA summary'!K52</f>
        <v/>
      </c>
      <c r="J41">
        <f>'Part 3 DA summary'!M52</f>
        <v>0</v>
      </c>
      <c r="K41">
        <f>'Part 3 DA summary'!O52</f>
        <v>0</v>
      </c>
      <c r="L41">
        <f>'Part 3 DA summary'!Q52</f>
        <v>0</v>
      </c>
      <c r="M41" t="str">
        <f>'Part 3 DA summary'!S52</f>
        <v/>
      </c>
      <c r="N41">
        <f>'Part 3 DA summary'!U52</f>
        <v>0</v>
      </c>
      <c r="O41" t="str">
        <f>'Part 3 DA summary'!W52</f>
        <v/>
      </c>
      <c r="P41" t="str">
        <f>'Part 3 DA summary'!Y52</f>
        <v/>
      </c>
    </row>
    <row r="42" spans="1:16" x14ac:dyDescent="0.2">
      <c r="A42" t="str">
        <f>'Part 1'!$L$17</f>
        <v>EZZZZ</v>
      </c>
      <c r="B42">
        <v>2017</v>
      </c>
      <c r="C42" t="str">
        <f>'Part 3 DA summary'!B53</f>
        <v>EZZZZEZ41</v>
      </c>
      <c r="D42">
        <f>'Part 3 DA summary'!A53</f>
        <v>41</v>
      </c>
      <c r="E42">
        <f>IF('Part 3 DA summary'!C53="",0,'Part 3 DA summary'!C53)</f>
        <v>0</v>
      </c>
      <c r="F42">
        <f>'Part 3 DA summary'!E53</f>
        <v>0</v>
      </c>
      <c r="G42">
        <f>'Part 3 DA summary'!G53</f>
        <v>0</v>
      </c>
      <c r="H42">
        <f>'Part 3 DA summary'!I53</f>
        <v>0</v>
      </c>
      <c r="I42" t="str">
        <f>'Part 3 DA summary'!K53</f>
        <v/>
      </c>
      <c r="J42">
        <f>'Part 3 DA summary'!M53</f>
        <v>0</v>
      </c>
      <c r="K42">
        <f>'Part 3 DA summary'!O53</f>
        <v>0</v>
      </c>
      <c r="L42">
        <f>'Part 3 DA summary'!Q53</f>
        <v>0</v>
      </c>
      <c r="M42" t="str">
        <f>'Part 3 DA summary'!S53</f>
        <v/>
      </c>
      <c r="N42">
        <f>'Part 3 DA summary'!U53</f>
        <v>0</v>
      </c>
      <c r="O42" t="str">
        <f>'Part 3 DA summary'!W53</f>
        <v/>
      </c>
      <c r="P42" t="str">
        <f>'Part 3 DA summary'!Y53</f>
        <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C000"/>
  </sheetPr>
  <dimension ref="A1:JI252"/>
  <sheetViews>
    <sheetView zoomScale="85" zoomScaleNormal="85" workbookViewId="0"/>
  </sheetViews>
  <sheetFormatPr defaultColWidth="9.140625" defaultRowHeight="15" x14ac:dyDescent="0.2"/>
  <cols>
    <col min="1" max="1" width="3.42578125" style="1354" customWidth="1"/>
    <col min="2" max="2" width="1.7109375" style="1275" customWidth="1"/>
    <col min="3" max="3" width="13.28515625" style="1275" bestFit="1" customWidth="1"/>
    <col min="4" max="8" width="9.140625" style="1275"/>
    <col min="9" max="9" width="13" style="1275" bestFit="1" customWidth="1"/>
    <col min="10" max="10" width="3.7109375" style="1275" customWidth="1"/>
    <col min="11" max="12" width="8.7109375" style="1275" customWidth="1"/>
    <col min="13" max="13" width="3.7109375" style="1275" customWidth="1"/>
    <col min="14" max="15" width="10.28515625" style="1275" customWidth="1"/>
    <col min="16" max="16" width="3.7109375" style="1275" customWidth="1"/>
    <col min="17" max="18" width="10.28515625" style="1275" customWidth="1"/>
    <col min="19" max="19" width="3.7109375" style="1275" customWidth="1"/>
    <col min="20" max="21" width="10.28515625" style="1275" customWidth="1"/>
    <col min="22" max="22" width="3.7109375" style="1275" customWidth="1"/>
    <col min="23" max="24" width="8.7109375" style="1275" customWidth="1"/>
    <col min="25" max="25" width="1.5703125" style="1275" customWidth="1"/>
    <col min="26" max="26" width="1.7109375" style="1275" customWidth="1"/>
    <col min="27" max="27" width="10.140625" style="1192" bestFit="1" customWidth="1"/>
    <col min="28" max="28" width="12.7109375" style="1193" customWidth="1"/>
    <col min="29" max="29" width="14.140625" style="9" bestFit="1" customWidth="1"/>
    <col min="30" max="42" width="14.140625" style="9" customWidth="1"/>
    <col min="43" max="43" width="22.85546875" style="1358" bestFit="1" customWidth="1"/>
    <col min="44" max="45" width="10.140625" style="9" bestFit="1" customWidth="1"/>
    <col min="46" max="46" width="17.5703125" style="9" bestFit="1" customWidth="1"/>
    <col min="47" max="47" width="10.7109375" style="9" bestFit="1" customWidth="1"/>
    <col min="48" max="48" width="9.140625" style="9"/>
    <col min="49" max="49" width="16.28515625" style="9" bestFit="1" customWidth="1"/>
    <col min="50" max="16384" width="9.140625" style="9"/>
  </cols>
  <sheetData>
    <row r="1" spans="1:49" s="990" customFormat="1" x14ac:dyDescent="0.2">
      <c r="A1" s="1186"/>
      <c r="B1" s="1187"/>
      <c r="C1" s="1187"/>
      <c r="D1" s="1187"/>
      <c r="E1" s="1187"/>
      <c r="F1" s="1188">
        <f>'Part 1'!F1</f>
        <v>327</v>
      </c>
      <c r="G1" s="1187"/>
      <c r="H1" s="1187"/>
      <c r="I1" s="1187"/>
      <c r="J1" s="1187"/>
      <c r="K1" s="1187"/>
      <c r="L1" s="1187"/>
      <c r="M1" s="1187"/>
      <c r="N1" s="1187"/>
      <c r="O1" s="1187"/>
      <c r="P1" s="1187"/>
      <c r="Q1" s="1187"/>
      <c r="R1" s="2391"/>
      <c r="S1" s="2391"/>
      <c r="T1" s="1187"/>
      <c r="U1" s="1187"/>
      <c r="V1" s="1187"/>
      <c r="W1" s="1187"/>
      <c r="X1" s="1187"/>
      <c r="Y1" s="1187"/>
      <c r="Z1" s="1189"/>
      <c r="AA1" s="1190"/>
      <c r="AB1" s="1191"/>
      <c r="AQ1" s="1357"/>
    </row>
    <row r="2" spans="1:49" ht="15.75" x14ac:dyDescent="0.25">
      <c r="A2" s="2392" t="s">
        <v>820</v>
      </c>
      <c r="B2" s="2393"/>
      <c r="C2" s="2393"/>
      <c r="D2" s="2393"/>
      <c r="E2" s="2393"/>
      <c r="F2" s="2393"/>
      <c r="G2" s="2393"/>
      <c r="H2" s="2393"/>
      <c r="I2" s="2393"/>
      <c r="J2" s="2393"/>
      <c r="K2" s="2393"/>
      <c r="L2" s="2393"/>
      <c r="M2" s="2393"/>
      <c r="N2" s="2393"/>
      <c r="O2" s="2393"/>
      <c r="P2" s="2393"/>
      <c r="Q2" s="2393"/>
      <c r="R2" s="2393"/>
      <c r="S2" s="2393"/>
      <c r="T2" s="2393"/>
      <c r="U2" s="2393"/>
      <c r="V2" s="2393"/>
      <c r="W2" s="2393"/>
      <c r="X2" s="2393"/>
      <c r="Y2" s="2393"/>
      <c r="Z2" s="2394"/>
    </row>
    <row r="3" spans="1:49" ht="15.75" x14ac:dyDescent="0.25">
      <c r="A3" s="2392" t="s">
        <v>2110</v>
      </c>
      <c r="B3" s="2393"/>
      <c r="C3" s="2393"/>
      <c r="D3" s="2393"/>
      <c r="E3" s="2393"/>
      <c r="F3" s="2393"/>
      <c r="G3" s="2393"/>
      <c r="H3" s="2393"/>
      <c r="I3" s="2393"/>
      <c r="J3" s="2393"/>
      <c r="K3" s="2393"/>
      <c r="L3" s="2393"/>
      <c r="M3" s="2393"/>
      <c r="N3" s="2393"/>
      <c r="O3" s="2393"/>
      <c r="P3" s="2393"/>
      <c r="Q3" s="2393"/>
      <c r="R3" s="2393"/>
      <c r="S3" s="2393"/>
      <c r="T3" s="2393"/>
      <c r="U3" s="2393"/>
      <c r="V3" s="2393"/>
      <c r="W3" s="2393"/>
      <c r="X3" s="2393"/>
      <c r="Y3" s="2393"/>
      <c r="Z3" s="2394"/>
    </row>
    <row r="4" spans="1:49" ht="15.75" x14ac:dyDescent="0.25">
      <c r="A4" s="2365" t="s">
        <v>2111</v>
      </c>
      <c r="B4" s="2366"/>
      <c r="C4" s="2366"/>
      <c r="D4" s="2366"/>
      <c r="E4" s="2366"/>
      <c r="F4" s="2366"/>
      <c r="G4" s="2366"/>
      <c r="H4" s="2366"/>
      <c r="I4" s="2366"/>
      <c r="J4" s="2366"/>
      <c r="K4" s="2366"/>
      <c r="L4" s="2366"/>
      <c r="M4" s="2366"/>
      <c r="N4" s="2366"/>
      <c r="O4" s="2366"/>
      <c r="P4" s="2366"/>
      <c r="Q4" s="2366"/>
      <c r="R4" s="2366"/>
      <c r="S4" s="2366"/>
      <c r="T4" s="2366"/>
      <c r="U4" s="2366"/>
      <c r="V4" s="2366"/>
      <c r="W4" s="2366"/>
      <c r="X4" s="2366"/>
      <c r="Y4" s="2366"/>
      <c r="Z4" s="2367"/>
    </row>
    <row r="5" spans="1:49" ht="15.75" x14ac:dyDescent="0.25">
      <c r="A5" s="2365" t="s">
        <v>2112</v>
      </c>
      <c r="B5" s="2366"/>
      <c r="C5" s="2366"/>
      <c r="D5" s="2366"/>
      <c r="E5" s="2366"/>
      <c r="F5" s="2366"/>
      <c r="G5" s="2366"/>
      <c r="H5" s="2366"/>
      <c r="I5" s="2366"/>
      <c r="J5" s="2366"/>
      <c r="K5" s="2366"/>
      <c r="L5" s="2366"/>
      <c r="M5" s="2366"/>
      <c r="N5" s="2366"/>
      <c r="O5" s="2366"/>
      <c r="P5" s="2366"/>
      <c r="Q5" s="2366"/>
      <c r="R5" s="2366"/>
      <c r="S5" s="2366"/>
      <c r="T5" s="2366"/>
      <c r="U5" s="2366"/>
      <c r="V5" s="2366"/>
      <c r="W5" s="2366"/>
      <c r="X5" s="2366"/>
      <c r="Y5" s="2366"/>
      <c r="Z5" s="2367"/>
    </row>
    <row r="6" spans="1:49" x14ac:dyDescent="0.2">
      <c r="A6" s="1788"/>
      <c r="B6" s="1789"/>
      <c r="C6" s="1789"/>
      <c r="D6" s="1789"/>
      <c r="E6" s="1789"/>
      <c r="F6" s="1789"/>
      <c r="G6" s="1789"/>
      <c r="H6" s="1789"/>
      <c r="I6" s="1789"/>
      <c r="J6" s="1789"/>
      <c r="K6" s="1789"/>
      <c r="L6" s="1789"/>
      <c r="M6" s="1789"/>
      <c r="N6" s="1789"/>
      <c r="O6" s="1789"/>
      <c r="P6" s="1789"/>
      <c r="Q6" s="1789"/>
      <c r="R6" s="1789"/>
      <c r="S6" s="1789"/>
      <c r="T6" s="1789"/>
      <c r="U6" s="1789"/>
      <c r="V6" s="1789"/>
      <c r="W6" s="1789"/>
      <c r="X6" s="1789"/>
      <c r="Y6" s="1789"/>
      <c r="Z6" s="1790"/>
    </row>
    <row r="7" spans="1:49" ht="15.75" x14ac:dyDescent="0.25">
      <c r="A7" s="2395" t="s">
        <v>1070</v>
      </c>
      <c r="B7" s="2396"/>
      <c r="C7" s="2396"/>
      <c r="D7" s="2396"/>
      <c r="E7" s="2396"/>
      <c r="F7" s="2396"/>
      <c r="G7" s="2396"/>
      <c r="H7" s="2396"/>
      <c r="I7" s="2396"/>
      <c r="J7" s="2396"/>
      <c r="K7" s="2396"/>
      <c r="L7" s="2396"/>
      <c r="M7" s="2396"/>
      <c r="N7" s="2396"/>
      <c r="O7" s="2396"/>
      <c r="P7" s="2396"/>
      <c r="Q7" s="2396"/>
      <c r="R7" s="2396"/>
      <c r="S7" s="2396"/>
      <c r="T7" s="2396"/>
      <c r="U7" s="2396"/>
      <c r="V7" s="2396"/>
      <c r="W7" s="2396"/>
      <c r="X7" s="2396"/>
      <c r="Y7" s="2396"/>
      <c r="Z7" s="2397"/>
    </row>
    <row r="8" spans="1:49" x14ac:dyDescent="0.2">
      <c r="A8" s="1788"/>
      <c r="B8" s="1789"/>
      <c r="C8" s="1789"/>
      <c r="D8" s="1789"/>
      <c r="E8" s="1789"/>
      <c r="F8" s="1789"/>
      <c r="G8" s="1789"/>
      <c r="H8" s="1789"/>
      <c r="I8" s="1789"/>
      <c r="J8" s="1789"/>
      <c r="K8" s="1789"/>
      <c r="L8" s="1789"/>
      <c r="M8" s="1789"/>
      <c r="N8" s="1789"/>
      <c r="O8" s="1789"/>
      <c r="P8" s="1789"/>
      <c r="Q8" s="1789"/>
      <c r="R8" s="1789"/>
      <c r="S8" s="1789"/>
      <c r="T8" s="1789"/>
      <c r="U8" s="1789"/>
      <c r="V8" s="1789"/>
      <c r="W8" s="1789"/>
      <c r="X8" s="1789"/>
      <c r="Y8" s="1789"/>
      <c r="Z8" s="1790"/>
    </row>
    <row r="9" spans="1:49" x14ac:dyDescent="0.2">
      <c r="A9" s="2365"/>
      <c r="B9" s="2366"/>
      <c r="C9" s="2366"/>
      <c r="D9" s="2366"/>
      <c r="E9" s="2366"/>
      <c r="F9" s="2366"/>
      <c r="G9" s="2366"/>
      <c r="H9" s="2366"/>
      <c r="I9" s="2366"/>
      <c r="J9" s="2366"/>
      <c r="K9" s="2366"/>
      <c r="L9" s="2366"/>
      <c r="M9" s="2366"/>
      <c r="N9" s="2366"/>
      <c r="O9" s="2366"/>
      <c r="P9" s="2366"/>
      <c r="Q9" s="2366"/>
      <c r="R9" s="2366"/>
      <c r="S9" s="2366"/>
      <c r="T9" s="2366"/>
      <c r="U9" s="2366"/>
      <c r="V9" s="2366"/>
      <c r="W9" s="2366"/>
      <c r="X9" s="2366"/>
      <c r="Y9" s="2366"/>
      <c r="Z9" s="2367"/>
      <c r="AA9" s="1194"/>
    </row>
    <row r="10" spans="1:49" ht="15.75" thickBot="1" x14ac:dyDescent="0.25">
      <c r="A10" s="2368"/>
      <c r="B10" s="2369"/>
      <c r="C10" s="2369"/>
      <c r="D10" s="2369"/>
      <c r="E10" s="2369"/>
      <c r="F10" s="2369"/>
      <c r="G10" s="2369"/>
      <c r="H10" s="2369"/>
      <c r="I10" s="2369"/>
      <c r="J10" s="2369"/>
      <c r="K10" s="2369"/>
      <c r="L10" s="2369"/>
      <c r="M10" s="2369"/>
      <c r="N10" s="2369"/>
      <c r="O10" s="2369"/>
      <c r="P10" s="2369"/>
      <c r="Q10" s="2369"/>
      <c r="R10" s="2369"/>
      <c r="S10" s="2369"/>
      <c r="T10" s="2369"/>
      <c r="U10" s="2369"/>
      <c r="V10" s="2369"/>
      <c r="W10" s="2369"/>
      <c r="X10" s="2369"/>
      <c r="Y10" s="2369"/>
      <c r="Z10" s="2370"/>
    </row>
    <row r="11" spans="1:49" s="990" customFormat="1" x14ac:dyDescent="0.2">
      <c r="A11" s="1186"/>
      <c r="B11" s="1187"/>
      <c r="C11" s="1187"/>
      <c r="D11" s="1187"/>
      <c r="E11" s="1187"/>
      <c r="F11" s="1187"/>
      <c r="G11" s="1187"/>
      <c r="H11" s="1187"/>
      <c r="I11" s="1187"/>
      <c r="J11" s="1187"/>
      <c r="K11" s="1187"/>
      <c r="L11" s="1187"/>
      <c r="M11" s="1187"/>
      <c r="N11" s="1187"/>
      <c r="O11" s="1187"/>
      <c r="P11" s="1187"/>
      <c r="Q11" s="1187"/>
      <c r="R11" s="1187"/>
      <c r="S11" s="1187"/>
      <c r="T11" s="1187"/>
      <c r="U11" s="1187"/>
      <c r="V11" s="1187"/>
      <c r="W11" s="1187"/>
      <c r="X11" s="1187"/>
      <c r="Y11" s="1187"/>
      <c r="Z11" s="1189"/>
      <c r="AA11" s="1190"/>
      <c r="AB11" s="1191"/>
      <c r="AQ11" s="1357"/>
      <c r="AS11" s="995"/>
    </row>
    <row r="12" spans="1:49" s="990" customFormat="1" x14ac:dyDescent="0.2">
      <c r="A12" s="1195"/>
      <c r="B12" s="1190"/>
      <c r="C12" s="1190"/>
      <c r="D12" s="1190"/>
      <c r="E12" s="2371" t="s">
        <v>566</v>
      </c>
      <c r="F12" s="2371"/>
      <c r="G12" s="2371"/>
      <c r="H12" s="2371"/>
      <c r="I12" s="2371"/>
      <c r="J12" s="2371"/>
      <c r="K12" s="1190"/>
      <c r="L12" s="1196"/>
      <c r="M12" s="1196"/>
      <c r="N12" s="1196"/>
      <c r="O12" s="1197"/>
      <c r="P12" s="1190"/>
      <c r="Q12" s="1190"/>
      <c r="R12" s="1190"/>
      <c r="S12" s="1190"/>
      <c r="T12" s="1190"/>
      <c r="U12" s="1190"/>
      <c r="V12" s="1190"/>
      <c r="W12" s="1190"/>
      <c r="X12" s="1190"/>
      <c r="Y12" s="1190"/>
      <c r="Z12" s="1198"/>
      <c r="AA12" s="1190"/>
      <c r="AB12" s="1191"/>
      <c r="AQ12" s="1357"/>
      <c r="AS12" s="995"/>
      <c r="AW12" s="998"/>
    </row>
    <row r="13" spans="1:49" s="990" customFormat="1" x14ac:dyDescent="0.2">
      <c r="A13" s="1195"/>
      <c r="B13" s="1190"/>
      <c r="C13" s="1190"/>
      <c r="D13" s="1190"/>
      <c r="E13" s="1190"/>
      <c r="F13" s="1197"/>
      <c r="G13" s="1197"/>
      <c r="H13" s="1197"/>
      <c r="I13" s="1197"/>
      <c r="J13" s="1197"/>
      <c r="K13" s="1197"/>
      <c r="L13" s="1196"/>
      <c r="M13" s="1196"/>
      <c r="N13" s="1196"/>
      <c r="O13" s="1197"/>
      <c r="P13" s="1190"/>
      <c r="Q13" s="1190"/>
      <c r="R13" s="1190"/>
      <c r="S13" s="1190"/>
      <c r="T13" s="1190"/>
      <c r="U13" s="1190"/>
      <c r="V13" s="1190"/>
      <c r="W13" s="1190"/>
      <c r="X13" s="1190"/>
      <c r="Y13" s="1190"/>
      <c r="Z13" s="1198"/>
      <c r="AA13" s="1190"/>
      <c r="AB13" s="1191"/>
      <c r="AQ13" s="1357"/>
      <c r="AS13" s="999"/>
    </row>
    <row r="14" spans="1:49" s="990" customFormat="1" x14ac:dyDescent="0.2">
      <c r="A14" s="1195"/>
      <c r="B14" s="1190"/>
      <c r="C14" s="1190"/>
      <c r="D14" s="1190"/>
      <c r="E14" s="1190"/>
      <c r="F14" s="1199"/>
      <c r="G14" s="1199"/>
      <c r="H14" s="1199"/>
      <c r="I14" s="1199"/>
      <c r="J14" s="1199"/>
      <c r="K14" s="1199"/>
      <c r="L14" s="1200"/>
      <c r="M14" s="1200"/>
      <c r="N14" s="1200"/>
      <c r="O14" s="1199"/>
      <c r="P14" s="1190"/>
      <c r="Q14" s="1190"/>
      <c r="R14" s="1190"/>
      <c r="S14" s="1190"/>
      <c r="T14" s="1190"/>
      <c r="U14" s="1190"/>
      <c r="V14" s="1190"/>
      <c r="W14" s="1190"/>
      <c r="X14" s="1190"/>
      <c r="Y14" s="1190"/>
      <c r="Z14" s="1198"/>
      <c r="AA14" s="1190"/>
      <c r="AB14" s="1191"/>
      <c r="AQ14" s="1357"/>
      <c r="AS14" s="995"/>
    </row>
    <row r="15" spans="1:49" s="990" customFormat="1" x14ac:dyDescent="0.2">
      <c r="A15" s="1195"/>
      <c r="B15" s="1190"/>
      <c r="C15" s="1190"/>
      <c r="D15" s="1190"/>
      <c r="E15" s="1190"/>
      <c r="F15" s="1199"/>
      <c r="G15" s="1199"/>
      <c r="H15" s="1199"/>
      <c r="I15" s="1199"/>
      <c r="J15" s="1199"/>
      <c r="K15" s="1199"/>
      <c r="L15" s="1200"/>
      <c r="M15" s="1200"/>
      <c r="N15" s="1200"/>
      <c r="O15" s="1199"/>
      <c r="P15" s="1190"/>
      <c r="Q15" s="1190"/>
      <c r="R15" s="1190"/>
      <c r="S15" s="1190"/>
      <c r="T15" s="1190"/>
      <c r="U15" s="1190"/>
      <c r="V15" s="1190"/>
      <c r="W15" s="1190"/>
      <c r="X15" s="1190"/>
      <c r="Y15" s="1190"/>
      <c r="Z15" s="1198"/>
      <c r="AA15" s="1190"/>
      <c r="AB15" s="1191"/>
      <c r="AQ15" s="1357"/>
      <c r="AS15" s="999"/>
    </row>
    <row r="16" spans="1:49" s="990" customFormat="1" x14ac:dyDescent="0.2">
      <c r="A16" s="1195"/>
      <c r="B16" s="1190"/>
      <c r="C16" s="1190"/>
      <c r="D16" s="1190"/>
      <c r="E16" s="1190" t="s">
        <v>789</v>
      </c>
      <c r="F16" s="1199"/>
      <c r="G16" s="1190"/>
      <c r="H16" s="1199"/>
      <c r="I16" s="1190"/>
      <c r="J16" s="1199"/>
      <c r="K16" s="1199"/>
      <c r="L16" s="2372" t="str">
        <f>'Part 1'!L16</f>
        <v>ZZZZ</v>
      </c>
      <c r="M16" s="2373"/>
      <c r="N16" s="2373"/>
      <c r="O16" s="2373"/>
      <c r="P16" s="2374"/>
      <c r="Q16" s="1190"/>
      <c r="R16" s="1201" t="str">
        <f>+IF(L16="ZZZZ","Please select your authority from the list above","")</f>
        <v>Please select your authority from the list above</v>
      </c>
      <c r="S16" s="1190"/>
      <c r="T16" s="1190"/>
      <c r="U16" s="1190"/>
      <c r="V16" s="1190"/>
      <c r="W16" s="1190"/>
      <c r="X16" s="1190"/>
      <c r="Y16" s="1190"/>
      <c r="Z16" s="1198"/>
      <c r="AA16" s="1190"/>
      <c r="AB16" s="1191"/>
      <c r="AQ16" s="1357"/>
    </row>
    <row r="17" spans="1:45" s="990" customFormat="1" x14ac:dyDescent="0.2">
      <c r="A17" s="1195"/>
      <c r="B17" s="1190"/>
      <c r="C17" s="1190"/>
      <c r="D17" s="1190"/>
      <c r="E17" s="1190" t="s">
        <v>790</v>
      </c>
      <c r="F17" s="1199"/>
      <c r="G17" s="1190"/>
      <c r="H17" s="1199"/>
      <c r="I17" s="1190"/>
      <c r="J17" s="1199"/>
      <c r="K17" s="1199"/>
      <c r="L17" s="2372" t="str">
        <f>'Part 1'!L17</f>
        <v>EZZZZ</v>
      </c>
      <c r="M17" s="2373"/>
      <c r="N17" s="2373"/>
      <c r="O17" s="2373"/>
      <c r="P17" s="2374"/>
      <c r="Q17" s="1190"/>
      <c r="R17" s="1201" t="str">
        <f>+IF(L17="EZZZZ","Please select your authority from the list above","")</f>
        <v>Please select your authority from the list above</v>
      </c>
      <c r="S17" s="1190"/>
      <c r="T17" s="1190"/>
      <c r="U17" s="1190"/>
      <c r="V17" s="1190"/>
      <c r="W17" s="1190"/>
      <c r="X17" s="1190"/>
      <c r="Y17" s="1190"/>
      <c r="Z17" s="1198"/>
      <c r="AA17" s="1190"/>
      <c r="AB17" s="1191"/>
      <c r="AQ17" s="1357"/>
      <c r="AS17" s="995"/>
    </row>
    <row r="18" spans="1:45" s="990" customFormat="1" x14ac:dyDescent="0.2">
      <c r="A18" s="1195"/>
      <c r="B18" s="1190"/>
      <c r="C18" s="1190"/>
      <c r="D18" s="1190"/>
      <c r="E18" s="1190" t="s">
        <v>791</v>
      </c>
      <c r="F18" s="1199"/>
      <c r="G18" s="1190"/>
      <c r="H18" s="1199"/>
      <c r="I18" s="1190"/>
      <c r="J18" s="1199"/>
      <c r="K18" s="1199"/>
      <c r="L18" s="2372"/>
      <c r="M18" s="2373"/>
      <c r="N18" s="2373"/>
      <c r="O18" s="2373"/>
      <c r="P18" s="2374"/>
      <c r="Q18" s="1190"/>
      <c r="R18" s="1201" t="str">
        <f>+IF(L18="","Please enter the name of your authority contact","")</f>
        <v>Please enter the name of your authority contact</v>
      </c>
      <c r="S18" s="1190"/>
      <c r="T18" s="1190"/>
      <c r="U18" s="1190"/>
      <c r="V18" s="1190"/>
      <c r="W18" s="1190"/>
      <c r="X18" s="1190"/>
      <c r="Y18" s="1190"/>
      <c r="Z18" s="1198"/>
      <c r="AA18" s="1190"/>
      <c r="AB18" s="1191"/>
      <c r="AQ18" s="1357"/>
      <c r="AS18" s="995"/>
    </row>
    <row r="19" spans="1:45" s="990" customFormat="1" x14ac:dyDescent="0.2">
      <c r="A19" s="1195"/>
      <c r="B19" s="1190"/>
      <c r="C19" s="1190"/>
      <c r="D19" s="1190"/>
      <c r="E19" s="1190" t="s">
        <v>792</v>
      </c>
      <c r="F19" s="1202"/>
      <c r="G19" s="1190"/>
      <c r="H19" s="1199"/>
      <c r="I19" s="1190"/>
      <c r="J19" s="1199"/>
      <c r="K19" s="1199"/>
      <c r="L19" s="2372"/>
      <c r="M19" s="2373"/>
      <c r="N19" s="2373"/>
      <c r="O19" s="2373"/>
      <c r="P19" s="2374"/>
      <c r="Q19" s="1190"/>
      <c r="R19" s="1201" t="str">
        <f>+IF(L19="","Please enter your authority contact's phone number","")</f>
        <v>Please enter your authority contact's phone number</v>
      </c>
      <c r="S19" s="1190"/>
      <c r="T19" s="1190"/>
      <c r="U19" s="1190"/>
      <c r="V19" s="1190"/>
      <c r="W19" s="1190"/>
      <c r="X19" s="1190"/>
      <c r="Y19" s="1190"/>
      <c r="Z19" s="1198"/>
      <c r="AA19" s="1190"/>
      <c r="AB19" s="1191"/>
      <c r="AQ19" s="1357"/>
    </row>
    <row r="20" spans="1:45" s="990" customFormat="1" x14ac:dyDescent="0.2">
      <c r="A20" s="1195"/>
      <c r="B20" s="1190"/>
      <c r="C20" s="1190"/>
      <c r="D20" s="1190"/>
      <c r="E20" s="1190" t="s">
        <v>793</v>
      </c>
      <c r="F20" s="1202"/>
      <c r="G20" s="1190"/>
      <c r="H20" s="1199"/>
      <c r="I20" s="1190"/>
      <c r="J20" s="1199"/>
      <c r="K20" s="1199"/>
      <c r="L20" s="2372"/>
      <c r="M20" s="2373"/>
      <c r="N20" s="2373"/>
      <c r="O20" s="2373"/>
      <c r="P20" s="2374"/>
      <c r="Q20" s="1190"/>
      <c r="R20" s="1201" t="str">
        <f>+IF(L20="","Please enter your authority contact's email address","")</f>
        <v>Please enter your authority contact's email address</v>
      </c>
      <c r="S20" s="1190"/>
      <c r="T20" s="1190"/>
      <c r="U20" s="1190"/>
      <c r="V20" s="1190"/>
      <c r="W20" s="1190"/>
      <c r="X20" s="1190"/>
      <c r="Y20" s="1190"/>
      <c r="Z20" s="1198"/>
      <c r="AA20" s="1190"/>
      <c r="AB20" s="1191"/>
      <c r="AQ20" s="1357"/>
    </row>
    <row r="21" spans="1:45" s="990" customFormat="1" ht="15.75" thickBot="1" x14ac:dyDescent="0.25">
      <c r="A21" s="1203"/>
      <c r="B21" s="1204"/>
      <c r="C21" s="1204"/>
      <c r="D21" s="1204"/>
      <c r="E21" s="1204"/>
      <c r="F21" s="1204"/>
      <c r="G21" s="1204"/>
      <c r="H21" s="1204"/>
      <c r="I21" s="1204"/>
      <c r="J21" s="1204"/>
      <c r="K21" s="1204"/>
      <c r="L21" s="1204"/>
      <c r="M21" s="1204"/>
      <c r="N21" s="1204"/>
      <c r="O21" s="1204"/>
      <c r="P21" s="1204"/>
      <c r="Q21" s="1204"/>
      <c r="R21" s="1204"/>
      <c r="S21" s="1204"/>
      <c r="T21" s="1204"/>
      <c r="U21" s="1204"/>
      <c r="V21" s="1204"/>
      <c r="W21" s="1205" t="s">
        <v>1195</v>
      </c>
      <c r="X21" s="1206">
        <v>1</v>
      </c>
      <c r="Y21" s="1204"/>
      <c r="Z21" s="1207"/>
      <c r="AA21" s="1190"/>
      <c r="AB21" s="1191"/>
      <c r="AQ21" s="1357"/>
    </row>
    <row r="22" spans="1:45" x14ac:dyDescent="0.2">
      <c r="A22" s="1208"/>
      <c r="B22" s="1192"/>
      <c r="C22" s="1192"/>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209"/>
    </row>
    <row r="23" spans="1:45" ht="15.75" x14ac:dyDescent="0.25">
      <c r="A23" s="1208"/>
      <c r="B23" s="1192"/>
      <c r="C23" s="2401" t="s">
        <v>37</v>
      </c>
      <c r="D23" s="2401"/>
      <c r="E23" s="2401"/>
      <c r="F23" s="2401"/>
      <c r="G23" s="2401"/>
      <c r="H23" s="1192"/>
      <c r="I23" s="1192"/>
      <c r="J23" s="1192"/>
      <c r="K23" s="1192"/>
      <c r="L23" s="1192"/>
      <c r="M23" s="1192"/>
      <c r="N23" s="1192"/>
      <c r="O23" s="1192"/>
      <c r="P23" s="1192"/>
      <c r="Q23" s="1192"/>
      <c r="R23" s="1192"/>
      <c r="S23" s="1192"/>
      <c r="T23" s="1192"/>
      <c r="U23" s="1192"/>
      <c r="V23" s="1192"/>
      <c r="W23" s="1192"/>
      <c r="X23" s="1192"/>
      <c r="Y23" s="1192"/>
      <c r="Z23" s="1209"/>
    </row>
    <row r="24" spans="1:45" ht="16.5" thickBot="1" x14ac:dyDescent="0.3">
      <c r="A24" s="1208"/>
      <c r="B24" s="1192"/>
      <c r="C24" s="1791" t="s">
        <v>826</v>
      </c>
      <c r="D24" s="1210"/>
      <c r="E24" s="1210"/>
      <c r="F24" s="1210"/>
      <c r="G24" s="1210"/>
      <c r="H24" s="1210"/>
      <c r="I24" s="1210"/>
      <c r="J24" s="1192"/>
      <c r="K24" s="2402" t="s">
        <v>786</v>
      </c>
      <c r="L24" s="2402"/>
      <c r="M24" s="1192"/>
      <c r="N24" s="1192"/>
      <c r="O24" s="1192"/>
      <c r="P24" s="1192"/>
      <c r="Q24" s="1192"/>
      <c r="R24" s="1793"/>
      <c r="S24" s="1192"/>
      <c r="T24" s="1192"/>
      <c r="U24" s="1192"/>
      <c r="V24" s="1192"/>
      <c r="W24" s="1192"/>
      <c r="X24" s="1192"/>
      <c r="Y24" s="1192"/>
      <c r="Z24" s="1209"/>
    </row>
    <row r="25" spans="1:45" ht="16.5" customHeight="1" thickBot="1" x14ac:dyDescent="0.25">
      <c r="A25" s="1208"/>
      <c r="B25" s="1192"/>
      <c r="C25" s="2388" t="s">
        <v>834</v>
      </c>
      <c r="D25" s="2388"/>
      <c r="E25" s="2388"/>
      <c r="F25" s="2388"/>
      <c r="G25" s="2388"/>
      <c r="H25" s="2388"/>
      <c r="I25" s="2388"/>
      <c r="J25" s="1192"/>
      <c r="K25" s="2385">
        <f>+'Part 3'!O31</f>
        <v>0</v>
      </c>
      <c r="L25" s="2386"/>
      <c r="M25" s="1211"/>
      <c r="N25" s="1192"/>
      <c r="O25" s="1212"/>
      <c r="P25" s="1213"/>
      <c r="Q25" s="1213"/>
      <c r="R25" s="1214"/>
      <c r="S25" s="1211"/>
      <c r="T25" s="1211"/>
      <c r="U25" s="1211"/>
      <c r="V25" s="1211"/>
      <c r="W25" s="1211"/>
      <c r="X25" s="1211"/>
      <c r="Y25" s="1215"/>
      <c r="Z25" s="1216"/>
      <c r="AQ25" s="1358">
        <f>IF(K25='Part 1'!K25,0,1)</f>
        <v>0</v>
      </c>
    </row>
    <row r="26" spans="1:45" ht="15.75" x14ac:dyDescent="0.2">
      <c r="A26" s="1208"/>
      <c r="B26" s="1192"/>
      <c r="C26" s="2388"/>
      <c r="D26" s="2388"/>
      <c r="E26" s="2388"/>
      <c r="F26" s="2388"/>
      <c r="G26" s="2388"/>
      <c r="H26" s="2388"/>
      <c r="I26" s="2388"/>
      <c r="J26" s="1211"/>
      <c r="K26" s="1211"/>
      <c r="L26" s="1211"/>
      <c r="M26" s="1211"/>
      <c r="N26" s="1192"/>
      <c r="O26" s="1212"/>
      <c r="P26" s="1213"/>
      <c r="Q26" s="1213"/>
      <c r="R26" s="1214"/>
      <c r="S26" s="1211"/>
      <c r="T26" s="1211"/>
      <c r="U26" s="1211"/>
      <c r="V26" s="1211"/>
      <c r="W26" s="1211"/>
      <c r="X26" s="1211"/>
      <c r="Y26" s="1192"/>
      <c r="Z26" s="1209"/>
    </row>
    <row r="27" spans="1:45" x14ac:dyDescent="0.2">
      <c r="A27" s="1208"/>
      <c r="B27" s="1192"/>
      <c r="C27" s="2388"/>
      <c r="D27" s="2388"/>
      <c r="E27" s="2388"/>
      <c r="F27" s="2388"/>
      <c r="G27" s="2388"/>
      <c r="H27" s="2388"/>
      <c r="I27" s="2388"/>
      <c r="J27" s="1192"/>
      <c r="K27" s="1211"/>
      <c r="L27" s="1211"/>
      <c r="M27" s="1211"/>
      <c r="N27" s="1211"/>
      <c r="O27" s="1212"/>
      <c r="P27" s="1213"/>
      <c r="Q27" s="1213"/>
      <c r="R27" s="1213"/>
      <c r="S27" s="1211"/>
      <c r="T27" s="1211"/>
      <c r="U27" s="1211"/>
      <c r="V27" s="1211"/>
      <c r="W27" s="1211"/>
      <c r="X27" s="1211"/>
      <c r="Y27" s="1192"/>
      <c r="Z27" s="1209"/>
    </row>
    <row r="28" spans="1:45" x14ac:dyDescent="0.2">
      <c r="A28" s="1208"/>
      <c r="B28" s="1192"/>
      <c r="C28" s="2388"/>
      <c r="D28" s="2388"/>
      <c r="E28" s="2388"/>
      <c r="F28" s="2388"/>
      <c r="G28" s="2388"/>
      <c r="H28" s="2388"/>
      <c r="I28" s="2388"/>
      <c r="J28" s="1192"/>
      <c r="K28" s="1211"/>
      <c r="L28" s="1211"/>
      <c r="M28" s="1211"/>
      <c r="N28" s="1211"/>
      <c r="O28" s="1212"/>
      <c r="P28" s="1213"/>
      <c r="Q28" s="1213"/>
      <c r="R28" s="1213"/>
      <c r="S28" s="1211"/>
      <c r="T28" s="1211"/>
      <c r="U28" s="1211"/>
      <c r="V28" s="1211"/>
      <c r="W28" s="1211"/>
      <c r="X28" s="1211"/>
      <c r="Y28" s="1192"/>
      <c r="Z28" s="1209"/>
    </row>
    <row r="29" spans="1:45" x14ac:dyDescent="0.2">
      <c r="A29" s="1208"/>
      <c r="B29" s="1192"/>
      <c r="C29" s="1210"/>
      <c r="D29" s="1210"/>
      <c r="E29" s="1210"/>
      <c r="F29" s="1210"/>
      <c r="G29" s="1210"/>
      <c r="H29" s="1210"/>
      <c r="I29" s="1210"/>
      <c r="J29" s="1217"/>
      <c r="K29" s="1211"/>
      <c r="L29" s="1211"/>
      <c r="M29" s="1211"/>
      <c r="N29" s="1211"/>
      <c r="O29" s="1212"/>
      <c r="P29" s="1213"/>
      <c r="Q29" s="1213"/>
      <c r="R29" s="1213"/>
      <c r="S29" s="1211"/>
      <c r="T29" s="1211"/>
      <c r="U29" s="1211"/>
      <c r="V29" s="1211"/>
      <c r="W29" s="1211"/>
      <c r="X29" s="1211"/>
      <c r="Y29" s="1192"/>
      <c r="Z29" s="1209"/>
    </row>
    <row r="30" spans="1:45" ht="16.5" thickBot="1" x14ac:dyDescent="0.25">
      <c r="A30" s="1208"/>
      <c r="B30" s="1192"/>
      <c r="C30" s="2398" t="s">
        <v>827</v>
      </c>
      <c r="D30" s="2398"/>
      <c r="E30" s="2398"/>
      <c r="F30" s="2398"/>
      <c r="G30" s="2398"/>
      <c r="H30" s="2398"/>
      <c r="I30" s="2398"/>
      <c r="J30" s="1192"/>
      <c r="K30" s="1211"/>
      <c r="L30" s="1211"/>
      <c r="M30" s="1211"/>
      <c r="N30" s="1211"/>
      <c r="O30" s="1212"/>
      <c r="P30" s="1213"/>
      <c r="Q30" s="1213"/>
      <c r="R30" s="1213"/>
      <c r="S30" s="1211"/>
      <c r="T30" s="1211"/>
      <c r="U30" s="1211"/>
      <c r="V30" s="1211"/>
      <c r="W30" s="1211"/>
      <c r="X30" s="1211"/>
      <c r="Y30" s="1192"/>
      <c r="Z30" s="1209"/>
    </row>
    <row r="31" spans="1:45" ht="16.5" thickBot="1" x14ac:dyDescent="0.25">
      <c r="A31" s="1208"/>
      <c r="B31" s="1192"/>
      <c r="C31" s="1210" t="s">
        <v>787</v>
      </c>
      <c r="D31" s="1210"/>
      <c r="E31" s="1210"/>
      <c r="F31" s="1210"/>
      <c r="G31" s="1210"/>
      <c r="H31" s="1210"/>
      <c r="I31" s="1210"/>
      <c r="J31" s="1192"/>
      <c r="K31" s="2385">
        <f>IF(+'Part 2'!R50&gt;0,+'Part 2'!R50,0)</f>
        <v>0</v>
      </c>
      <c r="L31" s="2386"/>
      <c r="M31" s="1211"/>
      <c r="N31" s="1211"/>
      <c r="O31" s="1212"/>
      <c r="P31" s="1213"/>
      <c r="Q31" s="1213"/>
      <c r="R31" s="1213"/>
      <c r="S31" s="1211"/>
      <c r="T31" s="1211"/>
      <c r="U31" s="1211"/>
      <c r="V31" s="1211"/>
      <c r="W31" s="1211"/>
      <c r="X31" s="1211"/>
      <c r="Y31" s="1215"/>
      <c r="Z31" s="1216"/>
      <c r="AQ31" s="1358">
        <f>IF(K31='Part 1'!K31,0,1)</f>
        <v>0</v>
      </c>
    </row>
    <row r="32" spans="1:45" ht="15.75" thickBot="1" x14ac:dyDescent="0.25">
      <c r="A32" s="1208"/>
      <c r="B32" s="1192"/>
      <c r="C32" s="1210"/>
      <c r="D32" s="1210"/>
      <c r="E32" s="1210"/>
      <c r="F32" s="1210"/>
      <c r="G32" s="1210"/>
      <c r="H32" s="1210"/>
      <c r="I32" s="1210"/>
      <c r="J32" s="1192"/>
      <c r="K32" s="1211"/>
      <c r="L32" s="1211"/>
      <c r="M32" s="1211"/>
      <c r="N32" s="1211"/>
      <c r="O32" s="1212"/>
      <c r="P32" s="1213"/>
      <c r="Q32" s="1213"/>
      <c r="R32" s="1213"/>
      <c r="S32" s="1211"/>
      <c r="T32" s="1211"/>
      <c r="U32" s="1211"/>
      <c r="V32" s="1211"/>
      <c r="W32" s="1211"/>
      <c r="X32" s="1211"/>
      <c r="Y32" s="1192"/>
      <c r="Z32" s="1209"/>
    </row>
    <row r="33" spans="1:44" ht="16.5" thickBot="1" x14ac:dyDescent="0.25">
      <c r="A33" s="1208"/>
      <c r="B33" s="1192"/>
      <c r="C33" s="1210" t="s">
        <v>788</v>
      </c>
      <c r="D33" s="1210"/>
      <c r="E33" s="1210"/>
      <c r="F33" s="1210"/>
      <c r="G33" s="1210"/>
      <c r="H33" s="1210"/>
      <c r="I33" s="1210"/>
      <c r="J33" s="1192"/>
      <c r="K33" s="2385">
        <f>IF(+'Part 2'!R50&lt;0,+'Part 2'!R50*-1,0)</f>
        <v>0</v>
      </c>
      <c r="L33" s="2386"/>
      <c r="M33" s="1211"/>
      <c r="N33" s="1211"/>
      <c r="O33" s="1212"/>
      <c r="P33" s="1213"/>
      <c r="Q33" s="1213"/>
      <c r="R33" s="1213"/>
      <c r="S33" s="1211"/>
      <c r="T33" s="1211"/>
      <c r="U33" s="1211"/>
      <c r="V33" s="1211"/>
      <c r="W33" s="1211"/>
      <c r="X33" s="1211"/>
      <c r="Y33" s="1215"/>
      <c r="Z33" s="1216"/>
      <c r="AQ33" s="1358">
        <f>IF(K33='Part 1'!K33,0,1)</f>
        <v>0</v>
      </c>
    </row>
    <row r="34" spans="1:44" x14ac:dyDescent="0.2">
      <c r="A34" s="1208"/>
      <c r="B34" s="1192"/>
      <c r="C34" s="1210"/>
      <c r="D34" s="1210"/>
      <c r="E34" s="1210"/>
      <c r="F34" s="1210"/>
      <c r="G34" s="1210"/>
      <c r="H34" s="1210"/>
      <c r="I34" s="1210"/>
      <c r="J34" s="1192"/>
      <c r="K34" s="1211"/>
      <c r="L34" s="1211"/>
      <c r="M34" s="1211"/>
      <c r="N34" s="1211"/>
      <c r="O34" s="1212"/>
      <c r="P34" s="1213"/>
      <c r="Q34" s="1213"/>
      <c r="R34" s="1213"/>
      <c r="S34" s="1211"/>
      <c r="T34" s="1211"/>
      <c r="U34" s="1211"/>
      <c r="V34" s="1211"/>
      <c r="W34" s="1211"/>
      <c r="X34" s="1211"/>
      <c r="Y34" s="1192"/>
      <c r="Z34" s="1209"/>
    </row>
    <row r="35" spans="1:44" ht="16.5" customHeight="1" thickBot="1" x14ac:dyDescent="0.3">
      <c r="A35" s="1208"/>
      <c r="B35" s="1192"/>
      <c r="C35" s="1791" t="s">
        <v>38</v>
      </c>
      <c r="D35" s="1791"/>
      <c r="E35" s="1791"/>
      <c r="F35" s="1791"/>
      <c r="G35" s="1210"/>
      <c r="H35" s="1210"/>
      <c r="I35" s="1210"/>
      <c r="J35" s="1192"/>
      <c r="K35" s="1211"/>
      <c r="L35" s="1211"/>
      <c r="M35" s="1211"/>
      <c r="N35" s="1211"/>
      <c r="O35" s="1212"/>
      <c r="P35" s="1213"/>
      <c r="Q35" s="1213"/>
      <c r="R35" s="1213"/>
      <c r="S35" s="1211"/>
      <c r="T35" s="1211"/>
      <c r="U35" s="1211"/>
      <c r="V35" s="1211"/>
      <c r="W35" s="1211"/>
      <c r="X35" s="1211"/>
      <c r="Y35" s="1192"/>
      <c r="Z35" s="1209"/>
      <c r="AB35" s="2399" t="s">
        <v>1090</v>
      </c>
      <c r="AR35" s="1365"/>
    </row>
    <row r="36" spans="1:44" ht="16.5" thickBot="1" x14ac:dyDescent="0.25">
      <c r="A36" s="1208"/>
      <c r="B36" s="1192"/>
      <c r="C36" s="1210" t="s">
        <v>812</v>
      </c>
      <c r="D36" s="1210"/>
      <c r="E36" s="1210"/>
      <c r="F36" s="1210"/>
      <c r="G36" s="1210"/>
      <c r="H36" s="1210"/>
      <c r="I36" s="1210"/>
      <c r="J36" s="1192"/>
      <c r="K36" s="2382" t="e">
        <f>VLOOKUP(F1,datar,4,FALSE)</f>
        <v>#N/A</v>
      </c>
      <c r="L36" s="2383"/>
      <c r="M36" s="1211"/>
      <c r="N36" s="1218"/>
      <c r="O36" s="1219"/>
      <c r="P36" s="1213"/>
      <c r="Q36" s="1213"/>
      <c r="R36" s="1213"/>
      <c r="S36" s="1211"/>
      <c r="T36" s="1211"/>
      <c r="U36" s="1211"/>
      <c r="V36" s="1211"/>
      <c r="W36" s="1211"/>
      <c r="X36" s="1211"/>
      <c r="Y36" s="1215"/>
      <c r="Z36" s="1216"/>
      <c r="AB36" s="2400"/>
      <c r="AQ36" s="1358" t="e">
        <f>IF(K36='Part 1'!K36,0,1)</f>
        <v>#N/A</v>
      </c>
    </row>
    <row r="37" spans="1:44" ht="16.5" thickBot="1" x14ac:dyDescent="0.25">
      <c r="A37" s="1208"/>
      <c r="B37" s="1192"/>
      <c r="C37" s="1210"/>
      <c r="D37" s="1210"/>
      <c r="E37" s="1210"/>
      <c r="F37" s="1210"/>
      <c r="G37" s="1210"/>
      <c r="H37" s="1210"/>
      <c r="I37" s="1210"/>
      <c r="J37" s="1192"/>
      <c r="K37" s="1220"/>
      <c r="L37" s="1211"/>
      <c r="M37" s="1211"/>
      <c r="N37" s="1211"/>
      <c r="O37" s="1212"/>
      <c r="P37" s="1213"/>
      <c r="Q37" s="1213"/>
      <c r="R37" s="1213"/>
      <c r="S37" s="1211"/>
      <c r="T37" s="1211"/>
      <c r="U37" s="1211"/>
      <c r="V37" s="1211"/>
      <c r="W37" s="1211"/>
      <c r="X37" s="1211"/>
      <c r="Y37" s="1192"/>
      <c r="Z37" s="1209"/>
    </row>
    <row r="38" spans="1:44" ht="16.5" thickBot="1" x14ac:dyDescent="0.25">
      <c r="A38" s="1208"/>
      <c r="B38" s="1192"/>
      <c r="C38" s="1210" t="s">
        <v>810</v>
      </c>
      <c r="D38" s="1210"/>
      <c r="E38" s="1210"/>
      <c r="F38" s="1210"/>
      <c r="G38" s="1210"/>
      <c r="H38" s="1210"/>
      <c r="I38" s="1210"/>
      <c r="J38" s="1192"/>
      <c r="K38" s="2375">
        <f>'Part 1'!K38</f>
        <v>0</v>
      </c>
      <c r="L38" s="2376"/>
      <c r="M38" s="1211"/>
      <c r="N38" s="1211"/>
      <c r="O38" s="1212"/>
      <c r="P38" s="1213"/>
      <c r="Q38" s="1213"/>
      <c r="R38" s="1213"/>
      <c r="S38" s="1211"/>
      <c r="T38" s="1211"/>
      <c r="U38" s="1211"/>
      <c r="V38" s="1211"/>
      <c r="W38" s="1211"/>
      <c r="X38" s="1211"/>
      <c r="Y38" s="1215"/>
      <c r="Z38" s="1216"/>
      <c r="AB38" s="1221" t="s">
        <v>70</v>
      </c>
      <c r="AQ38" s="1358">
        <f>IF(K38='Part 1'!K38,0,1)</f>
        <v>0</v>
      </c>
    </row>
    <row r="39" spans="1:44" ht="16.5" thickBot="1" x14ac:dyDescent="0.25">
      <c r="A39" s="1208"/>
      <c r="B39" s="1192"/>
      <c r="C39" s="1210"/>
      <c r="D39" s="1210"/>
      <c r="E39" s="1210"/>
      <c r="F39" s="1210"/>
      <c r="G39" s="1210"/>
      <c r="H39" s="1210"/>
      <c r="I39" s="1210"/>
      <c r="J39" s="1192"/>
      <c r="K39" s="1220"/>
      <c r="L39" s="1211"/>
      <c r="M39" s="1211"/>
      <c r="N39" s="1211"/>
      <c r="O39" s="1212"/>
      <c r="P39" s="1213"/>
      <c r="Q39" s="1213"/>
      <c r="R39" s="1213"/>
      <c r="S39" s="1211"/>
      <c r="T39" s="1211"/>
      <c r="U39" s="1211"/>
      <c r="V39" s="1211"/>
      <c r="W39" s="1211"/>
      <c r="X39" s="1211"/>
      <c r="Y39" s="1192"/>
      <c r="Z39" s="1209"/>
      <c r="AB39" s="1222" t="s">
        <v>71</v>
      </c>
    </row>
    <row r="40" spans="1:44" ht="16.5" thickBot="1" x14ac:dyDescent="0.25">
      <c r="A40" s="1208"/>
      <c r="B40" s="1192"/>
      <c r="C40" s="1210" t="s">
        <v>811</v>
      </c>
      <c r="D40" s="1210"/>
      <c r="E40" s="1210"/>
      <c r="F40" s="1210"/>
      <c r="G40" s="1210"/>
      <c r="H40" s="1210"/>
      <c r="I40" s="1210"/>
      <c r="J40" s="1192"/>
      <c r="K40" s="2363" t="e">
        <f>+K36+K38</f>
        <v>#N/A</v>
      </c>
      <c r="L40" s="2364"/>
      <c r="M40" s="1211"/>
      <c r="N40" s="1211"/>
      <c r="O40" s="1212"/>
      <c r="P40" s="1213"/>
      <c r="Q40" s="1213"/>
      <c r="R40" s="1213"/>
      <c r="S40" s="1211"/>
      <c r="T40" s="1211"/>
      <c r="U40" s="1211"/>
      <c r="V40" s="1211"/>
      <c r="W40" s="1211"/>
      <c r="X40" s="1211"/>
      <c r="Y40" s="1215"/>
      <c r="Z40" s="1216"/>
      <c r="AB40" s="1223"/>
      <c r="AQ40" s="1358" t="e">
        <f>IF(K40='Part 1'!K40,0,1)</f>
        <v>#N/A</v>
      </c>
    </row>
    <row r="41" spans="1:44" ht="15.75" x14ac:dyDescent="0.2">
      <c r="A41" s="1208"/>
      <c r="B41" s="1192"/>
      <c r="C41" s="1210"/>
      <c r="D41" s="1210"/>
      <c r="E41" s="1210"/>
      <c r="F41" s="1210"/>
      <c r="G41" s="1210"/>
      <c r="H41" s="1210"/>
      <c r="I41" s="1210"/>
      <c r="J41" s="1192"/>
      <c r="K41" s="1220"/>
      <c r="L41" s="1211"/>
      <c r="M41" s="1211"/>
      <c r="N41" s="1211"/>
      <c r="O41" s="1212"/>
      <c r="P41" s="1213"/>
      <c r="Q41" s="1213"/>
      <c r="R41" s="1213"/>
      <c r="S41" s="1211"/>
      <c r="T41" s="1211"/>
      <c r="U41" s="1211"/>
      <c r="V41" s="1211"/>
      <c r="W41" s="1211"/>
      <c r="X41" s="1211"/>
      <c r="Y41" s="1192"/>
      <c r="Z41" s="1209"/>
      <c r="AB41" s="1224">
        <f>+A61</f>
        <v>0</v>
      </c>
    </row>
    <row r="42" spans="1:44" ht="16.5" thickBot="1" x14ac:dyDescent="0.25">
      <c r="A42" s="1208"/>
      <c r="B42" s="1192"/>
      <c r="C42" s="1791" t="s">
        <v>813</v>
      </c>
      <c r="D42" s="1210"/>
      <c r="E42" s="1210"/>
      <c r="F42" s="1210"/>
      <c r="G42" s="1210"/>
      <c r="H42" s="1210"/>
      <c r="I42" s="1210"/>
      <c r="J42" s="1192"/>
      <c r="K42" s="1220"/>
      <c r="L42" s="1211"/>
      <c r="M42" s="1211"/>
      <c r="N42" s="1211"/>
      <c r="O42" s="1212"/>
      <c r="P42" s="1213"/>
      <c r="Q42" s="1213"/>
      <c r="R42" s="1213"/>
      <c r="S42" s="1211"/>
      <c r="T42" s="1211"/>
      <c r="U42" s="1211"/>
      <c r="V42" s="1211"/>
      <c r="W42" s="1211"/>
      <c r="X42" s="1211"/>
      <c r="Y42" s="1192"/>
      <c r="Z42" s="1209"/>
      <c r="AB42" s="1224"/>
    </row>
    <row r="43" spans="1:44" ht="16.5" thickBot="1" x14ac:dyDescent="0.25">
      <c r="A43" s="1208"/>
      <c r="B43" s="1192"/>
      <c r="C43" s="1225" t="str">
        <f>+IF($L$17="E5010","7. City of London Offset","7. City of London Offset : Not applicable for your authority")</f>
        <v>7. City of London Offset : Not applicable for your authority</v>
      </c>
      <c r="D43" s="1210"/>
      <c r="E43" s="1210"/>
      <c r="F43" s="1210"/>
      <c r="G43" s="1210"/>
      <c r="H43" s="1210"/>
      <c r="I43" s="1210"/>
      <c r="J43" s="1192"/>
      <c r="K43" s="2382">
        <f>+IF(L17="E5010",11267000,0)</f>
        <v>0</v>
      </c>
      <c r="L43" s="2383"/>
      <c r="M43" s="1211"/>
      <c r="N43" s="1218"/>
      <c r="O43" s="1212"/>
      <c r="P43" s="1213"/>
      <c r="Q43" s="1213"/>
      <c r="R43" s="1213"/>
      <c r="S43" s="1211"/>
      <c r="T43" s="1211"/>
      <c r="U43" s="1211"/>
      <c r="V43" s="1211"/>
      <c r="W43" s="1211"/>
      <c r="X43" s="1211"/>
      <c r="Y43" s="1192"/>
      <c r="Z43" s="1209"/>
      <c r="AB43" s="1224">
        <f>+A63</f>
        <v>0</v>
      </c>
      <c r="AQ43" s="1358">
        <f>IF(K43='Part 1'!K43,0,1)</f>
        <v>0</v>
      </c>
    </row>
    <row r="44" spans="1:44" ht="15.75" x14ac:dyDescent="0.2">
      <c r="A44" s="1208"/>
      <c r="B44" s="1192"/>
      <c r="C44" s="1210"/>
      <c r="D44" s="1210"/>
      <c r="E44" s="1210"/>
      <c r="F44" s="1210"/>
      <c r="G44" s="1210"/>
      <c r="H44" s="1210"/>
      <c r="I44" s="1210"/>
      <c r="J44" s="1192"/>
      <c r="K44" s="1220"/>
      <c r="L44" s="1211"/>
      <c r="M44" s="1211"/>
      <c r="N44" s="1211"/>
      <c r="O44" s="1212"/>
      <c r="P44" s="1213"/>
      <c r="Q44" s="1213"/>
      <c r="R44" s="1213"/>
      <c r="S44" s="1211"/>
      <c r="T44" s="1211"/>
      <c r="U44" s="1211"/>
      <c r="V44" s="1211"/>
      <c r="W44" s="1211"/>
      <c r="X44" s="1211"/>
      <c r="Y44" s="1192"/>
      <c r="Z44" s="1209"/>
      <c r="AB44" s="1224"/>
    </row>
    <row r="45" spans="1:44" ht="16.5" thickBot="1" x14ac:dyDescent="0.25">
      <c r="A45" s="1208"/>
      <c r="B45" s="1192"/>
      <c r="C45" s="1791" t="s">
        <v>829</v>
      </c>
      <c r="D45" s="1210"/>
      <c r="E45" s="1210"/>
      <c r="F45" s="1210"/>
      <c r="G45" s="1210"/>
      <c r="H45" s="1210"/>
      <c r="I45" s="1210"/>
      <c r="J45" s="1192"/>
      <c r="K45" s="1211"/>
      <c r="L45" s="1211"/>
      <c r="M45" s="1211"/>
      <c r="N45" s="1211"/>
      <c r="O45" s="1212"/>
      <c r="P45" s="1213"/>
      <c r="Q45" s="1213"/>
      <c r="R45" s="1213"/>
      <c r="S45" s="1211"/>
      <c r="T45" s="1211"/>
      <c r="U45" s="1211"/>
      <c r="V45" s="1211"/>
      <c r="W45" s="1211"/>
      <c r="X45" s="1211"/>
      <c r="Y45" s="1192"/>
      <c r="Z45" s="1209"/>
      <c r="AB45" s="1224" t="e">
        <f>+A65</f>
        <v>#N/A</v>
      </c>
    </row>
    <row r="46" spans="1:44" ht="16.5" customHeight="1" thickBot="1" x14ac:dyDescent="0.25">
      <c r="A46" s="1208"/>
      <c r="B46" s="1192"/>
      <c r="C46" s="2384" t="s">
        <v>2300</v>
      </c>
      <c r="D46" s="2384"/>
      <c r="E46" s="2384"/>
      <c r="F46" s="2384"/>
      <c r="G46" s="2384"/>
      <c r="H46" s="2384"/>
      <c r="I46" s="2384"/>
      <c r="J46" s="1192"/>
      <c r="K46" s="2385">
        <f>+'Part 3'!O44</f>
        <v>0</v>
      </c>
      <c r="L46" s="2386"/>
      <c r="M46" s="1211"/>
      <c r="N46" s="1211"/>
      <c r="O46" s="1212"/>
      <c r="P46" s="1213"/>
      <c r="Q46" s="1213"/>
      <c r="R46" s="1213"/>
      <c r="S46" s="1211"/>
      <c r="T46" s="1211"/>
      <c r="U46" s="1211"/>
      <c r="V46" s="1211"/>
      <c r="W46" s="1211"/>
      <c r="X46" s="1211"/>
      <c r="Y46" s="1215"/>
      <c r="Z46" s="1216"/>
      <c r="AB46" s="1224"/>
      <c r="AQ46" s="1358">
        <f>IF(K46='Part 1'!K46,0,1)</f>
        <v>0</v>
      </c>
    </row>
    <row r="47" spans="1:44" ht="15.75" thickBot="1" x14ac:dyDescent="0.25">
      <c r="A47" s="1208"/>
      <c r="B47" s="1192"/>
      <c r="C47" s="2384"/>
      <c r="D47" s="2384"/>
      <c r="E47" s="2384"/>
      <c r="F47" s="2384"/>
      <c r="G47" s="2384"/>
      <c r="H47" s="2384"/>
      <c r="I47" s="2384"/>
      <c r="J47" s="1192"/>
      <c r="K47" s="1211"/>
      <c r="L47" s="1211"/>
      <c r="M47" s="1211"/>
      <c r="N47" s="1211"/>
      <c r="O47" s="1212"/>
      <c r="P47" s="1213"/>
      <c r="Q47" s="2387"/>
      <c r="R47" s="2387"/>
      <c r="S47" s="2387"/>
      <c r="T47" s="2387"/>
      <c r="U47" s="2387"/>
      <c r="V47" s="2387"/>
      <c r="W47" s="2387"/>
      <c r="X47" s="1211"/>
      <c r="Y47" s="1192"/>
      <c r="Z47" s="1209"/>
      <c r="AB47" s="1224" t="e">
        <f>+A67</f>
        <v>#N/A</v>
      </c>
    </row>
    <row r="48" spans="1:44" ht="16.5" customHeight="1" thickBot="1" x14ac:dyDescent="0.25">
      <c r="A48" s="1208"/>
      <c r="B48" s="1192"/>
      <c r="C48" s="2388" t="s">
        <v>1033</v>
      </c>
      <c r="D48" s="2388"/>
      <c r="E48" s="2388"/>
      <c r="F48" s="2388"/>
      <c r="G48" s="2388"/>
      <c r="H48" s="2388"/>
      <c r="I48" s="2388"/>
      <c r="J48" s="1192"/>
      <c r="K48" s="2385">
        <f>+'Part 3'!O36</f>
        <v>0</v>
      </c>
      <c r="L48" s="2386"/>
      <c r="M48" s="1211"/>
      <c r="N48" s="1218"/>
      <c r="O48" s="1212"/>
      <c r="P48" s="1213"/>
      <c r="Q48" s="1213"/>
      <c r="R48" s="1213"/>
      <c r="S48" s="1211"/>
      <c r="T48" s="1211"/>
      <c r="U48" s="1211"/>
      <c r="V48" s="1211"/>
      <c r="W48" s="1211"/>
      <c r="X48" s="1211"/>
      <c r="Y48" s="1215"/>
      <c r="Z48" s="1216"/>
      <c r="AB48" s="1224"/>
      <c r="AQ48" s="1358">
        <f>IF(K48='Part 1'!K48,0,1)</f>
        <v>0</v>
      </c>
    </row>
    <row r="49" spans="1:49" x14ac:dyDescent="0.2">
      <c r="A49" s="1208"/>
      <c r="B49" s="1192"/>
      <c r="C49" s="2388"/>
      <c r="D49" s="2388"/>
      <c r="E49" s="2388"/>
      <c r="F49" s="2388"/>
      <c r="G49" s="2388"/>
      <c r="H49" s="2388"/>
      <c r="I49" s="2388"/>
      <c r="J49" s="1192"/>
      <c r="K49" s="1211"/>
      <c r="L49" s="1211"/>
      <c r="M49" s="1211"/>
      <c r="N49" s="1211"/>
      <c r="O49" s="1212"/>
      <c r="P49" s="1213"/>
      <c r="Q49" s="1213"/>
      <c r="R49" s="1213"/>
      <c r="S49" s="1211"/>
      <c r="T49" s="1211"/>
      <c r="U49" s="1211"/>
      <c r="V49" s="1211"/>
      <c r="W49" s="1211"/>
      <c r="X49" s="1211"/>
      <c r="Y49" s="1192"/>
      <c r="Z49" s="1209"/>
      <c r="AB49" s="1224">
        <f>+A69</f>
        <v>0</v>
      </c>
    </row>
    <row r="50" spans="1:49" ht="15.75" thickBot="1" x14ac:dyDescent="0.25">
      <c r="A50" s="1208"/>
      <c r="B50" s="1192"/>
      <c r="C50" s="1226" t="s">
        <v>42</v>
      </c>
      <c r="D50" s="1192"/>
      <c r="E50" s="1192"/>
      <c r="F50" s="1192"/>
      <c r="G50" s="1192"/>
      <c r="H50" s="1192"/>
      <c r="I50" s="1192"/>
      <c r="J50" s="1192"/>
      <c r="K50" s="1211"/>
      <c r="L50" s="1211"/>
      <c r="M50" s="1211"/>
      <c r="N50" s="1211"/>
      <c r="O50" s="1212"/>
      <c r="P50" s="1213"/>
      <c r="Q50" s="1213"/>
      <c r="R50" s="1213"/>
      <c r="S50" s="1211"/>
      <c r="T50" s="1211"/>
      <c r="U50" s="1211"/>
      <c r="V50" s="1211"/>
      <c r="W50" s="1211"/>
      <c r="X50" s="1211"/>
      <c r="Y50" s="1192"/>
      <c r="Z50" s="1209"/>
      <c r="AB50" s="1224"/>
    </row>
    <row r="51" spans="1:49" ht="16.5" thickBot="1" x14ac:dyDescent="0.25">
      <c r="A51" s="1208"/>
      <c r="B51" s="1192"/>
      <c r="C51" s="1225" t="s">
        <v>1002</v>
      </c>
      <c r="D51" s="1192"/>
      <c r="E51" s="1192"/>
      <c r="F51" s="1192"/>
      <c r="G51" s="1192"/>
      <c r="H51" s="1192"/>
      <c r="I51" s="1192"/>
      <c r="J51" s="1192"/>
      <c r="K51" s="2375">
        <f>'Part 1'!K51</f>
        <v>0</v>
      </c>
      <c r="L51" s="2376"/>
      <c r="M51" s="1211"/>
      <c r="N51" s="1218"/>
      <c r="O51" s="1212"/>
      <c r="P51" s="1213"/>
      <c r="Q51" s="1213"/>
      <c r="R51" s="1213"/>
      <c r="S51" s="1211"/>
      <c r="T51" s="1211"/>
      <c r="U51" s="1211"/>
      <c r="V51" s="1211"/>
      <c r="W51" s="1211"/>
      <c r="X51" s="1211"/>
      <c r="Y51" s="1192"/>
      <c r="Z51" s="1209"/>
      <c r="AB51" s="1224">
        <f>+A71</f>
        <v>0</v>
      </c>
      <c r="AQ51" s="1358">
        <f>IF(K51='Part 1'!K51,0,1)</f>
        <v>0</v>
      </c>
    </row>
    <row r="52" spans="1:49" ht="15.75" thickBot="1" x14ac:dyDescent="0.25">
      <c r="A52" s="1208"/>
      <c r="B52" s="1192"/>
      <c r="C52" s="1192"/>
      <c r="D52" s="1192"/>
      <c r="E52" s="1192"/>
      <c r="F52" s="1192"/>
      <c r="G52" s="1192"/>
      <c r="H52" s="1192"/>
      <c r="I52" s="1192"/>
      <c r="J52" s="1192"/>
      <c r="K52" s="1211"/>
      <c r="L52" s="1211"/>
      <c r="M52" s="1211"/>
      <c r="N52" s="1211"/>
      <c r="O52" s="1212"/>
      <c r="P52" s="1213"/>
      <c r="Q52" s="1213"/>
      <c r="R52" s="1213"/>
      <c r="S52" s="1211"/>
      <c r="T52" s="1211"/>
      <c r="U52" s="1211"/>
      <c r="V52" s="1211"/>
      <c r="W52" s="1211"/>
      <c r="X52" s="1211"/>
      <c r="Y52" s="1192"/>
      <c r="Z52" s="1209"/>
      <c r="AB52" s="1224"/>
    </row>
    <row r="53" spans="1:49" ht="16.5" thickBot="1" x14ac:dyDescent="0.25">
      <c r="A53" s="1208"/>
      <c r="B53" s="1192"/>
      <c r="C53" s="1225" t="s">
        <v>1003</v>
      </c>
      <c r="D53" s="1192"/>
      <c r="E53" s="1192"/>
      <c r="F53" s="1192"/>
      <c r="G53" s="1192"/>
      <c r="H53" s="1192"/>
      <c r="I53" s="1192"/>
      <c r="J53" s="1192"/>
      <c r="K53" s="2377">
        <f>K48-K51</f>
        <v>0</v>
      </c>
      <c r="L53" s="2378"/>
      <c r="M53" s="1211"/>
      <c r="N53" s="1218"/>
      <c r="O53" s="1212"/>
      <c r="P53" s="1213"/>
      <c r="Q53" s="1213"/>
      <c r="R53" s="1213"/>
      <c r="S53" s="1211"/>
      <c r="T53" s="1211"/>
      <c r="U53" s="1211"/>
      <c r="V53" s="1211"/>
      <c r="W53" s="1211"/>
      <c r="X53" s="1211"/>
      <c r="Y53" s="1192"/>
      <c r="Z53" s="1209"/>
      <c r="AB53" s="1224" t="e">
        <f>+A73</f>
        <v>#N/A</v>
      </c>
      <c r="AQ53" s="1358">
        <f>IF(K53='Part 1'!K53,0,1)</f>
        <v>0</v>
      </c>
    </row>
    <row r="54" spans="1:49" ht="15.75" x14ac:dyDescent="0.2">
      <c r="A54" s="1208"/>
      <c r="B54" s="1192"/>
      <c r="C54" s="1192"/>
      <c r="D54" s="1192"/>
      <c r="E54" s="1192"/>
      <c r="F54" s="1192"/>
      <c r="G54" s="1192"/>
      <c r="H54" s="1192"/>
      <c r="I54" s="1192"/>
      <c r="J54" s="1192"/>
      <c r="K54" s="2379" t="str">
        <f>IF(+K51+K53-K48=0,"","Lines 10 &amp; 11 should equal line 9, please check your figures")</f>
        <v/>
      </c>
      <c r="L54" s="2379"/>
      <c r="M54" s="2379"/>
      <c r="N54" s="2379"/>
      <c r="O54" s="2379"/>
      <c r="P54" s="2379"/>
      <c r="Q54" s="2379"/>
      <c r="R54" s="2379"/>
      <c r="S54" s="2379"/>
      <c r="T54" s="2379"/>
      <c r="U54" s="2379"/>
      <c r="V54" s="2379"/>
      <c r="W54" s="2379"/>
      <c r="X54" s="1211"/>
      <c r="Y54" s="1192"/>
      <c r="Z54" s="1209"/>
      <c r="AB54" s="1227"/>
    </row>
    <row r="55" spans="1:49" ht="16.5" thickBot="1" x14ac:dyDescent="0.3">
      <c r="A55" s="1208"/>
      <c r="B55" s="1192"/>
      <c r="C55" s="1228" t="s">
        <v>828</v>
      </c>
      <c r="D55" s="1228"/>
      <c r="E55" s="1228"/>
      <c r="F55" s="1228"/>
      <c r="G55" s="1228"/>
      <c r="H55" s="1192"/>
      <c r="I55" s="1192"/>
      <c r="J55" s="1192"/>
      <c r="K55" s="1211"/>
      <c r="L55" s="1211"/>
      <c r="M55" s="1211"/>
      <c r="N55" s="1211"/>
      <c r="O55" s="1212"/>
      <c r="P55" s="1213"/>
      <c r="Q55" s="1213"/>
      <c r="R55" s="1213"/>
      <c r="S55" s="1211"/>
      <c r="T55" s="1211"/>
      <c r="U55" s="1211"/>
      <c r="V55" s="1211"/>
      <c r="W55" s="1211"/>
      <c r="X55" s="1211"/>
      <c r="Y55" s="1192"/>
      <c r="Z55" s="1209"/>
      <c r="AB55" s="1789"/>
      <c r="AC55" s="168"/>
      <c r="AD55" s="168"/>
      <c r="AE55" s="168"/>
      <c r="AF55" s="168"/>
      <c r="AG55" s="168"/>
      <c r="AH55" s="168"/>
      <c r="AI55" s="168"/>
      <c r="AJ55" s="168"/>
      <c r="AK55" s="168"/>
      <c r="AL55" s="168"/>
      <c r="AM55" s="168"/>
      <c r="AN55" s="168"/>
      <c r="AO55" s="168"/>
      <c r="AP55" s="168"/>
      <c r="AR55" s="168"/>
      <c r="AS55" s="168"/>
      <c r="AT55" s="168"/>
      <c r="AU55" s="168"/>
      <c r="AV55" s="168"/>
      <c r="AW55" s="168"/>
    </row>
    <row r="56" spans="1:49" ht="16.5" thickBot="1" x14ac:dyDescent="0.25">
      <c r="A56" s="1208"/>
      <c r="B56" s="1192"/>
      <c r="C56" s="1225" t="s">
        <v>1004</v>
      </c>
      <c r="D56" s="1192"/>
      <c r="E56" s="1192"/>
      <c r="F56" s="1192"/>
      <c r="G56" s="1192"/>
      <c r="H56" s="1192"/>
      <c r="I56" s="1192"/>
      <c r="J56" s="1192"/>
      <c r="K56" s="2363" t="e">
        <f>ROUND(+K25+K31-K33-K40-K43-K46-K48,0)</f>
        <v>#N/A</v>
      </c>
      <c r="L56" s="2364"/>
      <c r="M56" s="1211"/>
      <c r="N56" s="2380"/>
      <c r="O56" s="2380"/>
      <c r="P56" s="2381"/>
      <c r="Q56" s="2381"/>
      <c r="R56" s="2381"/>
      <c r="S56" s="1219"/>
      <c r="T56" s="1229"/>
      <c r="U56" s="1229"/>
      <c r="V56" s="1229"/>
      <c r="W56" s="1229"/>
      <c r="X56" s="1211"/>
      <c r="Y56" s="1215"/>
      <c r="Z56" s="1216"/>
      <c r="AB56" s="1789"/>
      <c r="AC56" s="168"/>
      <c r="AD56" s="168"/>
      <c r="AE56" s="168"/>
      <c r="AF56" s="168"/>
      <c r="AG56" s="168"/>
      <c r="AH56" s="168"/>
      <c r="AI56" s="168"/>
      <c r="AJ56" s="168"/>
      <c r="AK56" s="168"/>
      <c r="AL56" s="168"/>
      <c r="AM56" s="168"/>
      <c r="AN56" s="168"/>
      <c r="AO56" s="168"/>
      <c r="AP56" s="168"/>
      <c r="AQ56" s="1358" t="e">
        <f>IF(K56='Part 1'!K56,0,1)</f>
        <v>#N/A</v>
      </c>
      <c r="AR56" s="168"/>
      <c r="AS56" s="168"/>
      <c r="AT56" s="168"/>
      <c r="AU56" s="168"/>
      <c r="AV56" s="168"/>
      <c r="AW56" s="168"/>
    </row>
    <row r="57" spans="1:49" x14ac:dyDescent="0.2">
      <c r="A57" s="1230"/>
      <c r="B57" s="1231"/>
      <c r="C57" s="1231"/>
      <c r="D57" s="1231"/>
      <c r="E57" s="1231"/>
      <c r="F57" s="1231"/>
      <c r="G57" s="1231"/>
      <c r="H57" s="1231"/>
      <c r="I57" s="1231"/>
      <c r="J57" s="1231"/>
      <c r="K57" s="1231"/>
      <c r="L57" s="1231"/>
      <c r="M57" s="1231"/>
      <c r="N57" s="1231"/>
      <c r="O57" s="1232"/>
      <c r="P57" s="1233"/>
      <c r="Q57" s="1233"/>
      <c r="R57" s="1233"/>
      <c r="S57" s="1234"/>
      <c r="T57" s="1235"/>
      <c r="U57" s="1235"/>
      <c r="V57" s="1235"/>
      <c r="W57" s="1235"/>
      <c r="X57" s="1236"/>
      <c r="Y57" s="1231"/>
      <c r="Z57" s="1237"/>
      <c r="AB57" s="1789"/>
      <c r="AC57" s="168"/>
      <c r="AD57" s="168"/>
      <c r="AE57" s="168"/>
      <c r="AF57" s="168"/>
      <c r="AG57" s="168"/>
      <c r="AH57" s="168"/>
      <c r="AI57" s="168"/>
      <c r="AJ57" s="168"/>
      <c r="AK57" s="168"/>
      <c r="AL57" s="168"/>
      <c r="AM57" s="168"/>
      <c r="AN57" s="168"/>
      <c r="AO57" s="168"/>
      <c r="AP57" s="168"/>
      <c r="AQ57" s="1360"/>
      <c r="AR57" s="168"/>
      <c r="AS57" s="168"/>
      <c r="AT57" s="168"/>
      <c r="AU57" s="168"/>
      <c r="AV57" s="168"/>
      <c r="AW57" s="168"/>
    </row>
    <row r="58" spans="1:49" x14ac:dyDescent="0.2">
      <c r="A58" s="1238"/>
      <c r="B58" s="1239"/>
      <c r="C58" s="1239"/>
      <c r="D58" s="1239"/>
      <c r="E58" s="1239"/>
      <c r="F58" s="1239"/>
      <c r="G58" s="1239"/>
      <c r="H58" s="1239"/>
      <c r="I58" s="1239"/>
      <c r="J58" s="1239"/>
      <c r="K58" s="1239"/>
      <c r="L58" s="1239"/>
      <c r="M58" s="1239"/>
      <c r="N58" s="1239"/>
      <c r="O58" s="1240"/>
      <c r="P58" s="1241"/>
      <c r="Q58" s="1241"/>
      <c r="R58" s="1241"/>
      <c r="S58" s="1242"/>
      <c r="T58" s="1243"/>
      <c r="U58" s="1243"/>
      <c r="V58" s="1243"/>
      <c r="W58" s="1243"/>
      <c r="X58" s="1244"/>
      <c r="Y58" s="1239"/>
      <c r="Z58" s="1245"/>
    </row>
    <row r="59" spans="1:49" ht="15.75" x14ac:dyDescent="0.25">
      <c r="A59" s="1246" t="e">
        <f>VLOOKUP(F1,datar,4,FALSE)</f>
        <v>#N/A</v>
      </c>
      <c r="B59" s="1247"/>
      <c r="C59" s="1248" t="e">
        <f>+IF(B74=0,"","Please investigate the error messages shown below and make the appropriate changes to the form.  Any comments should be added at the bottom of Part 4")</f>
        <v>#N/A</v>
      </c>
      <c r="D59" s="1248"/>
      <c r="E59" s="1248"/>
      <c r="F59" s="1248"/>
      <c r="G59" s="1248"/>
      <c r="H59" s="1248"/>
      <c r="I59" s="1248"/>
      <c r="J59" s="1248"/>
      <c r="K59" s="1248"/>
      <c r="L59" s="1249"/>
      <c r="M59" s="1249"/>
      <c r="N59" s="1249"/>
      <c r="O59" s="1249"/>
      <c r="P59" s="1249"/>
      <c r="Q59" s="1249"/>
      <c r="R59" s="1249"/>
      <c r="S59" s="1249"/>
      <c r="T59" s="1249"/>
      <c r="U59" s="1249"/>
      <c r="V59" s="1249"/>
      <c r="W59" s="1249"/>
      <c r="X59" s="1249"/>
      <c r="Y59" s="1250"/>
      <c r="Z59" s="1209"/>
    </row>
    <row r="60" spans="1:49" ht="15.75" x14ac:dyDescent="0.25">
      <c r="A60" s="1246"/>
      <c r="B60" s="1251"/>
      <c r="C60" s="1252"/>
      <c r="D60" s="1252"/>
      <c r="E60" s="1252"/>
      <c r="F60" s="1252"/>
      <c r="G60" s="1252"/>
      <c r="H60" s="1252"/>
      <c r="I60" s="1252"/>
      <c r="J60" s="1252"/>
      <c r="K60" s="1252"/>
      <c r="L60" s="1253"/>
      <c r="M60" s="1253"/>
      <c r="N60" s="1253"/>
      <c r="O60" s="1253"/>
      <c r="P60" s="1253"/>
      <c r="Q60" s="1253"/>
      <c r="R60" s="1253"/>
      <c r="S60" s="1253"/>
      <c r="T60" s="1253"/>
      <c r="U60" s="1253"/>
      <c r="V60" s="1253"/>
      <c r="W60" s="1253"/>
      <c r="X60" s="1253"/>
      <c r="Y60" s="1254"/>
      <c r="Z60" s="1209"/>
    </row>
    <row r="61" spans="1:49" ht="15.75" x14ac:dyDescent="0.25">
      <c r="A61" s="1255">
        <f>+IF(C61="",0,1)</f>
        <v>0</v>
      </c>
      <c r="B61" s="1251"/>
      <c r="C61" s="2405" t="str">
        <f>IF(K25=+'Part 3'!O31,"","Line 1 does not equal Part 3 Line 4 column 5. Please check why.")</f>
        <v/>
      </c>
      <c r="D61" s="2405"/>
      <c r="E61" s="2405"/>
      <c r="F61" s="2405"/>
      <c r="G61" s="2405"/>
      <c r="H61" s="2405"/>
      <c r="I61" s="2405"/>
      <c r="J61" s="2405"/>
      <c r="K61" s="2405"/>
      <c r="L61" s="1253"/>
      <c r="M61" s="1253"/>
      <c r="N61" s="1253"/>
      <c r="O61" s="1256"/>
      <c r="P61" s="1256"/>
      <c r="Q61" s="1256"/>
      <c r="R61" s="1256"/>
      <c r="S61" s="1257"/>
      <c r="T61" s="1258"/>
      <c r="U61" s="1258"/>
      <c r="V61" s="1258"/>
      <c r="W61" s="1258"/>
      <c r="X61" s="1259"/>
      <c r="Y61" s="1254"/>
      <c r="Z61" s="1209"/>
    </row>
    <row r="62" spans="1:49" ht="15.75" x14ac:dyDescent="0.25">
      <c r="A62" s="1255"/>
      <c r="B62" s="1251"/>
      <c r="C62" s="1795"/>
      <c r="D62" s="1252"/>
      <c r="E62" s="1252"/>
      <c r="F62" s="1252"/>
      <c r="G62" s="1252"/>
      <c r="H62" s="1252"/>
      <c r="I62" s="1252"/>
      <c r="J62" s="1252"/>
      <c r="K62" s="1252"/>
      <c r="L62" s="1253"/>
      <c r="M62" s="1253"/>
      <c r="N62" s="1253"/>
      <c r="O62" s="1256"/>
      <c r="P62" s="1256"/>
      <c r="Q62" s="1256"/>
      <c r="R62" s="1256"/>
      <c r="S62" s="1257"/>
      <c r="T62" s="1258"/>
      <c r="U62" s="1258"/>
      <c r="V62" s="1258"/>
      <c r="W62" s="1258"/>
      <c r="X62" s="1259"/>
      <c r="Y62" s="1254"/>
      <c r="Z62" s="1209"/>
    </row>
    <row r="63" spans="1:49" ht="15.75" x14ac:dyDescent="0.25">
      <c r="A63" s="1255">
        <f>+IF(C63="",0,1)</f>
        <v>0</v>
      </c>
      <c r="B63" s="1251"/>
      <c r="C63" s="2405" t="str">
        <f>IF(K31+ K33=ABS(+'Part 2'!$R$50),"","Lines 2 &amp; 3 do not equal Part 2 Line 11 column 3. Please check why.")</f>
        <v/>
      </c>
      <c r="D63" s="2405"/>
      <c r="E63" s="2405"/>
      <c r="F63" s="2405"/>
      <c r="G63" s="2405"/>
      <c r="H63" s="2405"/>
      <c r="I63" s="2405"/>
      <c r="J63" s="2405"/>
      <c r="K63" s="2405"/>
      <c r="L63" s="1253"/>
      <c r="M63" s="1253"/>
      <c r="N63" s="1253"/>
      <c r="O63" s="1256"/>
      <c r="P63" s="1256"/>
      <c r="Q63" s="1256"/>
      <c r="R63" s="1256"/>
      <c r="S63" s="1257"/>
      <c r="T63" s="1258"/>
      <c r="U63" s="1258"/>
      <c r="V63" s="1258"/>
      <c r="W63" s="1258"/>
      <c r="X63" s="1259"/>
      <c r="Y63" s="1254"/>
      <c r="Z63" s="1209"/>
    </row>
    <row r="64" spans="1:49" ht="15.75" x14ac:dyDescent="0.25">
      <c r="A64" s="1255"/>
      <c r="B64" s="1251"/>
      <c r="C64" s="1795"/>
      <c r="D64" s="1252"/>
      <c r="E64" s="1252"/>
      <c r="F64" s="1252"/>
      <c r="G64" s="1252"/>
      <c r="H64" s="1252"/>
      <c r="I64" s="1252"/>
      <c r="J64" s="1252"/>
      <c r="K64" s="1252"/>
      <c r="L64" s="1253"/>
      <c r="M64" s="1253"/>
      <c r="N64" s="1253"/>
      <c r="O64" s="1256"/>
      <c r="P64" s="1256"/>
      <c r="Q64" s="1256"/>
      <c r="R64" s="1256"/>
      <c r="S64" s="1257"/>
      <c r="T64" s="1258"/>
      <c r="U64" s="1258"/>
      <c r="V64" s="1258"/>
      <c r="W64" s="1258"/>
      <c r="X64" s="1259"/>
      <c r="Y64" s="1254"/>
      <c r="Z64" s="1209"/>
    </row>
    <row r="65" spans="1:127" ht="15.75" x14ac:dyDescent="0.25">
      <c r="A65" s="1255" t="e">
        <f t="shared" ref="A65:A73" si="0">+IF(C65="",0,1)</f>
        <v>#N/A</v>
      </c>
      <c r="B65" s="1251"/>
      <c r="C65" s="2405" t="e">
        <f>IF(K36=A59,"","Line 4 does not equal the calculated cost of collection provided by DCLG on the data sheet. Please amend.")</f>
        <v>#N/A</v>
      </c>
      <c r="D65" s="2405"/>
      <c r="E65" s="2405"/>
      <c r="F65" s="2405"/>
      <c r="G65" s="2405"/>
      <c r="H65" s="2405"/>
      <c r="I65" s="2405"/>
      <c r="J65" s="2405"/>
      <c r="K65" s="2405"/>
      <c r="L65" s="1253"/>
      <c r="M65" s="1253"/>
      <c r="N65" s="1253"/>
      <c r="O65" s="1256"/>
      <c r="P65" s="1256"/>
      <c r="Q65" s="1256"/>
      <c r="R65" s="1256"/>
      <c r="S65" s="1257"/>
      <c r="T65" s="1258"/>
      <c r="U65" s="1258"/>
      <c r="V65" s="1258"/>
      <c r="W65" s="1258"/>
      <c r="X65" s="1259"/>
      <c r="Y65" s="1254"/>
      <c r="Z65" s="1209"/>
    </row>
    <row r="66" spans="1:127" ht="15.75" x14ac:dyDescent="0.25">
      <c r="A66" s="1255"/>
      <c r="B66" s="1251"/>
      <c r="C66" s="1795"/>
      <c r="D66" s="1252"/>
      <c r="E66" s="1252"/>
      <c r="F66" s="1252"/>
      <c r="G66" s="1252"/>
      <c r="H66" s="1252"/>
      <c r="I66" s="1252"/>
      <c r="J66" s="1252"/>
      <c r="K66" s="1252"/>
      <c r="L66" s="1253"/>
      <c r="M66" s="1253"/>
      <c r="N66" s="1253"/>
      <c r="O66" s="1256"/>
      <c r="P66" s="1256"/>
      <c r="Q66" s="1256"/>
      <c r="R66" s="1256"/>
      <c r="S66" s="1257"/>
      <c r="T66" s="1258"/>
      <c r="U66" s="1258"/>
      <c r="V66" s="1258"/>
      <c r="W66" s="1258"/>
      <c r="X66" s="1259"/>
      <c r="Y66" s="1254"/>
      <c r="Z66" s="1209"/>
    </row>
    <row r="67" spans="1:127" ht="15.75" x14ac:dyDescent="0.25">
      <c r="A67" s="1255" t="e">
        <f t="shared" si="0"/>
        <v>#N/A</v>
      </c>
      <c r="B67" s="1251"/>
      <c r="C67" s="2405" t="e">
        <f>IF(K40=K36 + K38,"","Line 6 does not equal line 4 + line 5. Please check why.")</f>
        <v>#N/A</v>
      </c>
      <c r="D67" s="2405"/>
      <c r="E67" s="2405"/>
      <c r="F67" s="2405"/>
      <c r="G67" s="2405"/>
      <c r="H67" s="2405"/>
      <c r="I67" s="2405"/>
      <c r="J67" s="2405"/>
      <c r="K67" s="2405"/>
      <c r="L67" s="1253"/>
      <c r="M67" s="1253"/>
      <c r="N67" s="1253"/>
      <c r="O67" s="1256"/>
      <c r="P67" s="1256"/>
      <c r="Q67" s="1256"/>
      <c r="R67" s="1256"/>
      <c r="S67" s="1257"/>
      <c r="T67" s="1258"/>
      <c r="U67" s="1258"/>
      <c r="V67" s="1258"/>
      <c r="W67" s="1258"/>
      <c r="X67" s="1259"/>
      <c r="Y67" s="1254"/>
      <c r="Z67" s="1209"/>
    </row>
    <row r="68" spans="1:127" ht="15.75" x14ac:dyDescent="0.25">
      <c r="A68" s="1255"/>
      <c r="B68" s="1251"/>
      <c r="C68" s="1795"/>
      <c r="D68" s="1252"/>
      <c r="E68" s="1252"/>
      <c r="F68" s="1252"/>
      <c r="G68" s="1252"/>
      <c r="H68" s="1252"/>
      <c r="I68" s="1252"/>
      <c r="J68" s="1252"/>
      <c r="K68" s="1252"/>
      <c r="L68" s="1253"/>
      <c r="M68" s="1253"/>
      <c r="N68" s="1253"/>
      <c r="O68" s="1256"/>
      <c r="P68" s="1256"/>
      <c r="Q68" s="1256"/>
      <c r="R68" s="1256"/>
      <c r="S68" s="1257"/>
      <c r="T68" s="1258"/>
      <c r="U68" s="1258"/>
      <c r="V68" s="1258"/>
      <c r="W68" s="1258"/>
      <c r="X68" s="1259"/>
      <c r="Y68" s="1254"/>
      <c r="Z68" s="1209"/>
    </row>
    <row r="69" spans="1:127" ht="15.75" x14ac:dyDescent="0.25">
      <c r="A69" s="1255">
        <f t="shared" si="0"/>
        <v>0</v>
      </c>
      <c r="B69" s="1251"/>
      <c r="C69" s="2405" t="str">
        <f>IF(K46=+'Part 3'!O44,"","Line 8 does not equal Part 3 Line 8 column 5. Please check why.")</f>
        <v/>
      </c>
      <c r="D69" s="2405"/>
      <c r="E69" s="2405"/>
      <c r="F69" s="2405"/>
      <c r="G69" s="2405"/>
      <c r="H69" s="2405"/>
      <c r="I69" s="2405"/>
      <c r="J69" s="2405"/>
      <c r="K69" s="2405"/>
      <c r="L69" s="1253"/>
      <c r="M69" s="1253"/>
      <c r="N69" s="1253"/>
      <c r="O69" s="1256"/>
      <c r="P69" s="1256"/>
      <c r="Q69" s="1256"/>
      <c r="R69" s="1256"/>
      <c r="S69" s="1257"/>
      <c r="T69" s="1258"/>
      <c r="U69" s="1258"/>
      <c r="V69" s="1258"/>
      <c r="W69" s="1258"/>
      <c r="X69" s="1259"/>
      <c r="Y69" s="1254"/>
      <c r="Z69" s="1209"/>
    </row>
    <row r="70" spans="1:127" ht="15.75" x14ac:dyDescent="0.25">
      <c r="A70" s="1255"/>
      <c r="B70" s="1251"/>
      <c r="C70" s="1795"/>
      <c r="D70" s="1252"/>
      <c r="E70" s="1252"/>
      <c r="F70" s="1252"/>
      <c r="G70" s="1252"/>
      <c r="H70" s="1252"/>
      <c r="I70" s="1252"/>
      <c r="J70" s="1252"/>
      <c r="K70" s="1252"/>
      <c r="L70" s="1253"/>
      <c r="M70" s="1253"/>
      <c r="N70" s="1253"/>
      <c r="O70" s="1256"/>
      <c r="P70" s="1256"/>
      <c r="Q70" s="1256"/>
      <c r="R70" s="1256"/>
      <c r="S70" s="1257"/>
      <c r="T70" s="1258"/>
      <c r="U70" s="1258"/>
      <c r="V70" s="1258"/>
      <c r="W70" s="1258"/>
      <c r="X70" s="1259"/>
      <c r="Y70" s="1254"/>
      <c r="Z70" s="1209"/>
      <c r="AB70" s="1789"/>
    </row>
    <row r="71" spans="1:127" ht="15.75" x14ac:dyDescent="0.25">
      <c r="A71" s="1255">
        <f t="shared" si="0"/>
        <v>0</v>
      </c>
      <c r="B71" s="1251"/>
      <c r="C71" s="2405" t="str">
        <f>IF(K48=+'Part 3'!O36,"","Line 9 does not equal Part 3 Line 5 column 5. Please check why.")</f>
        <v/>
      </c>
      <c r="D71" s="2405"/>
      <c r="E71" s="2405"/>
      <c r="F71" s="2405"/>
      <c r="G71" s="2405"/>
      <c r="H71" s="2405"/>
      <c r="I71" s="2405"/>
      <c r="J71" s="2405"/>
      <c r="K71" s="2405"/>
      <c r="L71" s="1253"/>
      <c r="M71" s="1253"/>
      <c r="N71" s="1253"/>
      <c r="O71" s="1256"/>
      <c r="P71" s="1256"/>
      <c r="Q71" s="1256"/>
      <c r="R71" s="1256"/>
      <c r="S71" s="1257"/>
      <c r="T71" s="1258"/>
      <c r="U71" s="1258"/>
      <c r="V71" s="1258"/>
      <c r="W71" s="1258"/>
      <c r="X71" s="1259"/>
      <c r="Y71" s="1254"/>
      <c r="Z71" s="1209"/>
      <c r="AB71" s="1789"/>
    </row>
    <row r="72" spans="1:127" ht="15.75" x14ac:dyDescent="0.25">
      <c r="A72" s="1255"/>
      <c r="B72" s="1251"/>
      <c r="C72" s="1795"/>
      <c r="D72" s="1252"/>
      <c r="E72" s="1252"/>
      <c r="F72" s="1252"/>
      <c r="G72" s="1252"/>
      <c r="H72" s="1252"/>
      <c r="I72" s="1252"/>
      <c r="J72" s="1252"/>
      <c r="K72" s="1252"/>
      <c r="L72" s="1253"/>
      <c r="M72" s="1253"/>
      <c r="N72" s="1253"/>
      <c r="O72" s="1256"/>
      <c r="P72" s="1256"/>
      <c r="Q72" s="1256"/>
      <c r="R72" s="1256"/>
      <c r="S72" s="1257"/>
      <c r="T72" s="1258"/>
      <c r="U72" s="1258"/>
      <c r="V72" s="1258"/>
      <c r="W72" s="1258"/>
      <c r="X72" s="1259"/>
      <c r="Y72" s="1254"/>
      <c r="Z72" s="1209"/>
      <c r="AB72" s="1192"/>
      <c r="AQ72" s="1361"/>
      <c r="AR72" s="177"/>
      <c r="AS72" s="177"/>
      <c r="AT72" s="177"/>
      <c r="AU72" s="177"/>
      <c r="AV72" s="177"/>
      <c r="AW72" s="177"/>
    </row>
    <row r="73" spans="1:127" ht="15.75" x14ac:dyDescent="0.25">
      <c r="A73" s="1255" t="e">
        <f t="shared" si="0"/>
        <v>#N/A</v>
      </c>
      <c r="B73" s="1251"/>
      <c r="C73" s="1795" t="e">
        <f>IF(K25+K31-K33-K40-K43-K46-K48-K56=0,"","Line 12 does not equal line 1 plus line 2, minus lines 3 and 6 to 9. Please check why.")</f>
        <v>#N/A</v>
      </c>
      <c r="D73" s="1795"/>
      <c r="E73" s="1795"/>
      <c r="F73" s="1795"/>
      <c r="G73" s="1795"/>
      <c r="H73" s="1795"/>
      <c r="I73" s="1795"/>
      <c r="J73" s="1795"/>
      <c r="K73" s="1795"/>
      <c r="L73" s="1253"/>
      <c r="M73" s="1253"/>
      <c r="N73" s="1253"/>
      <c r="O73" s="1256"/>
      <c r="P73" s="1256"/>
      <c r="Q73" s="1256"/>
      <c r="R73" s="1256"/>
      <c r="S73" s="1257"/>
      <c r="T73" s="1258"/>
      <c r="U73" s="1258"/>
      <c r="V73" s="1258"/>
      <c r="W73" s="1258"/>
      <c r="X73" s="1259"/>
      <c r="Y73" s="1254"/>
      <c r="Z73" s="1209"/>
      <c r="AB73" s="1192"/>
      <c r="AQ73" s="1361"/>
      <c r="AR73" s="177"/>
      <c r="AS73" s="177"/>
      <c r="AT73" s="177"/>
      <c r="AU73" s="177"/>
      <c r="AV73" s="177"/>
      <c r="AW73" s="177"/>
    </row>
    <row r="74" spans="1:127" ht="15.75" x14ac:dyDescent="0.25">
      <c r="A74" s="1208"/>
      <c r="B74" s="2389" t="e">
        <f>SUM(A61:A73)</f>
        <v>#N/A</v>
      </c>
      <c r="C74" s="2390"/>
      <c r="D74" s="2390"/>
      <c r="E74" s="2390"/>
      <c r="F74" s="2390"/>
      <c r="G74" s="2390"/>
      <c r="H74" s="2390"/>
      <c r="I74" s="1260"/>
      <c r="J74" s="1260"/>
      <c r="K74" s="1260"/>
      <c r="L74" s="1261"/>
      <c r="M74" s="1261"/>
      <c r="N74" s="1261"/>
      <c r="O74" s="1261"/>
      <c r="P74" s="1261"/>
      <c r="Q74" s="1261"/>
      <c r="R74" s="1261"/>
      <c r="S74" s="1261"/>
      <c r="T74" s="1261"/>
      <c r="U74" s="1261"/>
      <c r="V74" s="1261"/>
      <c r="W74" s="1261"/>
      <c r="X74" s="1261"/>
      <c r="Y74" s="1262"/>
      <c r="Z74" s="1209"/>
      <c r="AB74" s="1192"/>
      <c r="AQ74" s="1361"/>
      <c r="AR74" s="177"/>
      <c r="AS74" s="177"/>
      <c r="AT74" s="177"/>
      <c r="AU74" s="177"/>
      <c r="AV74" s="177"/>
      <c r="AW74" s="177"/>
    </row>
    <row r="75" spans="1:127" ht="15.75" thickBot="1" x14ac:dyDescent="0.25">
      <c r="A75" s="1263"/>
      <c r="B75" s="1264"/>
      <c r="C75" s="1264"/>
      <c r="D75" s="1264"/>
      <c r="E75" s="1264"/>
      <c r="F75" s="1264"/>
      <c r="G75" s="1264"/>
      <c r="H75" s="1264"/>
      <c r="I75" s="1264"/>
      <c r="J75" s="1264"/>
      <c r="K75" s="1264"/>
      <c r="L75" s="1264"/>
      <c r="M75" s="1264"/>
      <c r="N75" s="1264"/>
      <c r="O75" s="1265"/>
      <c r="P75" s="1266"/>
      <c r="Q75" s="1266"/>
      <c r="R75" s="1266"/>
      <c r="S75" s="1267"/>
      <c r="T75" s="1266"/>
      <c r="U75" s="1266"/>
      <c r="V75" s="1266"/>
      <c r="W75" s="1266"/>
      <c r="X75" s="1266"/>
      <c r="Y75" s="1264"/>
      <c r="Z75" s="1268"/>
      <c r="AB75" s="1192"/>
      <c r="AQ75" s="1361"/>
      <c r="AR75" s="177"/>
      <c r="AS75" s="177"/>
      <c r="AT75" s="177"/>
      <c r="AU75" s="177"/>
      <c r="AV75" s="177"/>
      <c r="AW75" s="177"/>
    </row>
    <row r="76" spans="1:127" s="169" customFormat="1" ht="15.75" thickBot="1" x14ac:dyDescent="0.25">
      <c r="A76" s="1208"/>
      <c r="B76" s="1192"/>
      <c r="C76" s="1192"/>
      <c r="D76" s="1192"/>
      <c r="E76" s="1192"/>
      <c r="F76" s="1192"/>
      <c r="G76" s="1192"/>
      <c r="H76" s="1192"/>
      <c r="I76" s="1192"/>
      <c r="J76" s="1192"/>
      <c r="K76" s="1192"/>
      <c r="L76" s="1192"/>
      <c r="M76" s="1192"/>
      <c r="N76" s="1192"/>
      <c r="O76" s="1229"/>
      <c r="P76" s="1211"/>
      <c r="Q76" s="1211"/>
      <c r="R76" s="1211"/>
      <c r="S76" s="1219"/>
      <c r="T76" s="1211"/>
      <c r="U76" s="1211"/>
      <c r="V76" s="1211"/>
      <c r="W76" s="1211"/>
      <c r="X76" s="1211"/>
      <c r="Y76" s="1192"/>
      <c r="Z76" s="1209"/>
      <c r="AA76" s="1192"/>
      <c r="AB76" s="1192"/>
      <c r="AC76" s="9"/>
      <c r="AD76" s="9"/>
      <c r="AE76" s="9"/>
      <c r="AF76" s="9"/>
      <c r="AG76" s="9"/>
      <c r="AH76" s="9"/>
      <c r="AI76" s="9"/>
      <c r="AJ76" s="9"/>
      <c r="AK76" s="9"/>
      <c r="AL76" s="9"/>
      <c r="AM76" s="9"/>
      <c r="AN76" s="9"/>
      <c r="AO76" s="9"/>
      <c r="AP76" s="9"/>
      <c r="AQ76" s="1361"/>
      <c r="AR76" s="177"/>
      <c r="AS76" s="177"/>
      <c r="AT76" s="177"/>
      <c r="AU76" s="177"/>
      <c r="AV76" s="177"/>
      <c r="AW76" s="177"/>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row>
    <row r="77" spans="1:127" s="170" customFormat="1" ht="15.75" x14ac:dyDescent="0.25">
      <c r="A77" s="1208"/>
      <c r="B77" s="1192"/>
      <c r="C77" s="2403" t="str">
        <f>+CONCATENATE("Local Authority : ",+'Part 1'!$L$16)</f>
        <v>Local Authority : ZZZZ</v>
      </c>
      <c r="D77" s="2403"/>
      <c r="E77" s="2403"/>
      <c r="F77" s="2403"/>
      <c r="G77" s="2403"/>
      <c r="H77" s="1192"/>
      <c r="I77" s="1192"/>
      <c r="J77" s="1192"/>
      <c r="K77" s="1192"/>
      <c r="L77" s="1192"/>
      <c r="M77" s="1192"/>
      <c r="N77" s="1192"/>
      <c r="O77" s="1229"/>
      <c r="P77" s="1211"/>
      <c r="Q77" s="1211"/>
      <c r="R77" s="1211"/>
      <c r="S77" s="1219"/>
      <c r="T77" s="1211"/>
      <c r="U77" s="1211"/>
      <c r="V77" s="1211"/>
      <c r="W77" s="1269" t="str">
        <f>+W21</f>
        <v>Ver</v>
      </c>
      <c r="X77" s="1270">
        <f>+X21</f>
        <v>1</v>
      </c>
      <c r="Y77" s="1192"/>
      <c r="Z77" s="1209"/>
      <c r="AA77" s="1192"/>
      <c r="AB77" s="1192"/>
      <c r="AC77" s="9"/>
      <c r="AD77" s="9"/>
      <c r="AE77" s="9"/>
      <c r="AF77" s="9"/>
      <c r="AG77" s="9"/>
      <c r="AH77" s="9"/>
      <c r="AI77" s="9"/>
      <c r="AJ77" s="9"/>
      <c r="AK77" s="9"/>
      <c r="AL77" s="9"/>
      <c r="AM77" s="9"/>
      <c r="AN77" s="9"/>
      <c r="AO77" s="9"/>
      <c r="AP77" s="9"/>
      <c r="AQ77" s="1361"/>
      <c r="AR77" s="177"/>
      <c r="AS77" s="177"/>
      <c r="AT77" s="177"/>
      <c r="AU77" s="177"/>
      <c r="AV77" s="177"/>
      <c r="AW77" s="177"/>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row>
    <row r="78" spans="1:127" ht="15.75" x14ac:dyDescent="0.25">
      <c r="A78" s="1208"/>
      <c r="B78" s="1192"/>
      <c r="C78" s="1792"/>
      <c r="D78" s="1192"/>
      <c r="E78" s="1192"/>
      <c r="F78" s="1192"/>
      <c r="G78" s="1192"/>
      <c r="H78" s="1192"/>
      <c r="I78" s="1192"/>
      <c r="J78" s="1192"/>
      <c r="K78" s="1211"/>
      <c r="L78" s="1211"/>
      <c r="M78" s="1211"/>
      <c r="N78" s="1211"/>
      <c r="O78" s="1229"/>
      <c r="P78" s="1211"/>
      <c r="Q78" s="1211"/>
      <c r="R78" s="1211"/>
      <c r="S78" s="1219"/>
      <c r="T78" s="1211"/>
      <c r="U78" s="1211"/>
      <c r="V78" s="1211"/>
      <c r="W78" s="1211"/>
      <c r="X78" s="1211"/>
      <c r="Y78" s="1192"/>
      <c r="Z78" s="1209"/>
      <c r="AB78" s="1192"/>
      <c r="AQ78" s="1361"/>
      <c r="AR78" s="177"/>
      <c r="AS78" s="177"/>
      <c r="AT78" s="177"/>
      <c r="AU78" s="177"/>
      <c r="AV78" s="177"/>
      <c r="AW78" s="177"/>
    </row>
    <row r="79" spans="1:127" ht="15.75" x14ac:dyDescent="0.25">
      <c r="A79" s="1208"/>
      <c r="B79" s="1192"/>
      <c r="C79" s="1271" t="s">
        <v>281</v>
      </c>
      <c r="D79" s="1271"/>
      <c r="E79" s="1271"/>
      <c r="F79" s="1271"/>
      <c r="G79" s="1192"/>
      <c r="H79" s="1192"/>
      <c r="I79" s="1192"/>
      <c r="J79" s="1192"/>
      <c r="K79" s="1211"/>
      <c r="L79" s="1211"/>
      <c r="M79" s="1211"/>
      <c r="N79" s="1211"/>
      <c r="O79" s="1211"/>
      <c r="P79" s="1211"/>
      <c r="Q79" s="1211"/>
      <c r="R79" s="1211"/>
      <c r="S79" s="1211"/>
      <c r="T79" s="1211"/>
      <c r="U79" s="1211"/>
      <c r="V79" s="1211"/>
      <c r="W79" s="1211"/>
      <c r="X79" s="1211"/>
      <c r="Y79" s="1192"/>
      <c r="Z79" s="1209"/>
      <c r="AB79" s="1192"/>
      <c r="AQ79" s="1361"/>
      <c r="AR79" s="177"/>
      <c r="AS79" s="177"/>
      <c r="AT79" s="177"/>
      <c r="AU79" s="177"/>
      <c r="AV79" s="177"/>
      <c r="AW79" s="177"/>
    </row>
    <row r="80" spans="1:127" ht="15.75" x14ac:dyDescent="0.25">
      <c r="A80" s="1208"/>
      <c r="B80" s="1192"/>
      <c r="C80" s="1272" t="s">
        <v>1031</v>
      </c>
      <c r="D80" s="1192"/>
      <c r="E80" s="1192"/>
      <c r="F80" s="1192"/>
      <c r="G80" s="1192"/>
      <c r="H80" s="1192"/>
      <c r="I80" s="1192"/>
      <c r="J80" s="1192"/>
      <c r="K80" s="1211"/>
      <c r="L80" s="1211"/>
      <c r="M80" s="1211"/>
      <c r="N80" s="1211"/>
      <c r="O80" s="1211"/>
      <c r="P80" s="1211"/>
      <c r="Q80" s="1211"/>
      <c r="R80" s="1211"/>
      <c r="S80" s="1211"/>
      <c r="T80" s="1211"/>
      <c r="U80" s="1211"/>
      <c r="V80" s="1211"/>
      <c r="W80" s="1211"/>
      <c r="X80" s="1211"/>
      <c r="Y80" s="1192"/>
      <c r="Z80" s="1209"/>
      <c r="AB80" s="1192"/>
      <c r="AQ80" s="1361"/>
      <c r="AR80" s="177"/>
      <c r="AS80" s="177"/>
      <c r="AT80" s="177"/>
      <c r="AU80" s="177"/>
      <c r="AV80" s="177"/>
      <c r="AW80" s="177"/>
    </row>
    <row r="81" spans="1:49" ht="15.75" x14ac:dyDescent="0.25">
      <c r="A81" s="1208"/>
      <c r="B81" s="1192"/>
      <c r="C81" s="1192" t="s">
        <v>2113</v>
      </c>
      <c r="D81" s="1192"/>
      <c r="E81" s="1192"/>
      <c r="F81" s="1192"/>
      <c r="G81" s="1192"/>
      <c r="H81" s="1192"/>
      <c r="I81" s="1192"/>
      <c r="J81" s="1192"/>
      <c r="K81" s="1211"/>
      <c r="L81" s="1211"/>
      <c r="M81" s="1211"/>
      <c r="N81" s="1211"/>
      <c r="O81" s="1211"/>
      <c r="P81" s="1211"/>
      <c r="Q81" s="1211"/>
      <c r="R81" s="1211"/>
      <c r="S81" s="1211"/>
      <c r="T81" s="1211"/>
      <c r="U81" s="1211"/>
      <c r="V81" s="1211"/>
      <c r="W81" s="1211"/>
      <c r="X81" s="1211"/>
      <c r="Y81" s="1192"/>
      <c r="Z81" s="1209"/>
      <c r="AB81" s="1192"/>
      <c r="AQ81" s="1361"/>
      <c r="AR81" s="177"/>
      <c r="AS81" s="177"/>
      <c r="AT81" s="177"/>
      <c r="AU81" s="177"/>
      <c r="AV81" s="177"/>
      <c r="AW81" s="177"/>
    </row>
    <row r="82" spans="1:49" x14ac:dyDescent="0.2">
      <c r="A82" s="1208"/>
      <c r="B82" s="1192"/>
      <c r="C82" s="1192"/>
      <c r="D82" s="1192" t="s">
        <v>802</v>
      </c>
      <c r="E82" s="1192"/>
      <c r="F82" s="1192"/>
      <c r="G82" s="1192"/>
      <c r="H82" s="1192"/>
      <c r="I82" s="1192"/>
      <c r="J82" s="1192"/>
      <c r="K82" s="1211"/>
      <c r="L82" s="1211"/>
      <c r="M82" s="1211"/>
      <c r="N82" s="1211"/>
      <c r="O82" s="1211"/>
      <c r="P82" s="1211"/>
      <c r="Q82" s="1211"/>
      <c r="R82" s="1211"/>
      <c r="S82" s="1211"/>
      <c r="T82" s="1211"/>
      <c r="U82" s="1211"/>
      <c r="V82" s="1211"/>
      <c r="W82" s="1211"/>
      <c r="X82" s="1211"/>
      <c r="Y82" s="1192"/>
      <c r="Z82" s="1209"/>
      <c r="AB82" s="1192"/>
      <c r="AQ82" s="1361"/>
      <c r="AR82" s="177"/>
      <c r="AS82" s="177"/>
      <c r="AT82" s="177"/>
      <c r="AU82" s="177"/>
      <c r="AV82" s="177"/>
      <c r="AW82" s="177"/>
    </row>
    <row r="83" spans="1:49" x14ac:dyDescent="0.2">
      <c r="A83" s="1208"/>
      <c r="B83" s="1192"/>
      <c r="C83" s="1192"/>
      <c r="D83" s="1192" t="s">
        <v>803</v>
      </c>
      <c r="E83" s="1192"/>
      <c r="F83" s="1192"/>
      <c r="G83" s="1192"/>
      <c r="H83" s="1192"/>
      <c r="I83" s="1192"/>
      <c r="J83" s="1192"/>
      <c r="K83" s="1211"/>
      <c r="L83" s="1211"/>
      <c r="M83" s="1211"/>
      <c r="N83" s="1211"/>
      <c r="O83" s="1211"/>
      <c r="P83" s="1211"/>
      <c r="Q83" s="1211"/>
      <c r="R83" s="1211"/>
      <c r="S83" s="1211"/>
      <c r="T83" s="1211"/>
      <c r="U83" s="1211"/>
      <c r="V83" s="1211"/>
      <c r="W83" s="1211"/>
      <c r="X83" s="1211"/>
      <c r="Y83" s="1192"/>
      <c r="Z83" s="1209"/>
      <c r="AB83" s="1192"/>
      <c r="AQ83" s="1361"/>
      <c r="AR83" s="177"/>
      <c r="AS83" s="177"/>
      <c r="AT83" s="177"/>
      <c r="AU83" s="177"/>
      <c r="AV83" s="177"/>
      <c r="AW83" s="177"/>
    </row>
    <row r="84" spans="1:49" x14ac:dyDescent="0.2">
      <c r="A84" s="1208"/>
      <c r="B84" s="1192"/>
      <c r="C84" s="1192"/>
      <c r="D84" s="1192" t="s">
        <v>804</v>
      </c>
      <c r="E84" s="1192"/>
      <c r="F84" s="1192"/>
      <c r="G84" s="1192"/>
      <c r="H84" s="1192"/>
      <c r="I84" s="1192"/>
      <c r="J84" s="1192"/>
      <c r="K84" s="1211"/>
      <c r="L84" s="1211"/>
      <c r="M84" s="1211"/>
      <c r="N84" s="1211"/>
      <c r="O84" s="1211"/>
      <c r="P84" s="1211"/>
      <c r="Q84" s="1211"/>
      <c r="R84" s="1211"/>
      <c r="S84" s="1211"/>
      <c r="T84" s="1211"/>
      <c r="U84" s="1211"/>
      <c r="V84" s="1211"/>
      <c r="W84" s="1211"/>
      <c r="X84" s="1211"/>
      <c r="Y84" s="1192"/>
      <c r="Z84" s="1209"/>
      <c r="AB84" s="1192"/>
      <c r="AQ84" s="1361"/>
      <c r="AR84" s="177"/>
      <c r="AS84" s="177"/>
      <c r="AT84" s="177"/>
      <c r="AU84" s="177"/>
      <c r="AV84" s="177"/>
      <c r="AW84" s="177"/>
    </row>
    <row r="85" spans="1:49" x14ac:dyDescent="0.2">
      <c r="A85" s="1208"/>
      <c r="B85" s="1192"/>
      <c r="C85" s="1192" t="s">
        <v>805</v>
      </c>
      <c r="D85" s="1192"/>
      <c r="E85" s="1192"/>
      <c r="F85" s="1192"/>
      <c r="G85" s="1192"/>
      <c r="H85" s="1192"/>
      <c r="I85" s="1192"/>
      <c r="J85" s="1192"/>
      <c r="K85" s="1211"/>
      <c r="L85" s="1211"/>
      <c r="M85" s="1211"/>
      <c r="N85" s="1211"/>
      <c r="O85" s="1211"/>
      <c r="P85" s="1211"/>
      <c r="Q85" s="1211"/>
      <c r="R85" s="1211"/>
      <c r="S85" s="1211"/>
      <c r="T85" s="1211"/>
      <c r="U85" s="1211"/>
      <c r="V85" s="1211"/>
      <c r="W85" s="1211"/>
      <c r="X85" s="1211"/>
      <c r="Y85" s="1192"/>
      <c r="Z85" s="1209"/>
      <c r="AB85" s="1192"/>
      <c r="AQ85" s="1361"/>
      <c r="AR85" s="177"/>
      <c r="AS85" s="177"/>
      <c r="AT85" s="177"/>
      <c r="AU85" s="177"/>
      <c r="AV85" s="177"/>
      <c r="AW85" s="177"/>
    </row>
    <row r="86" spans="1:49" x14ac:dyDescent="0.2">
      <c r="A86" s="1208"/>
      <c r="B86" s="1192"/>
      <c r="C86" s="1192"/>
      <c r="D86" s="1192"/>
      <c r="E86" s="1192"/>
      <c r="F86" s="1192"/>
      <c r="G86" s="1192"/>
      <c r="H86" s="1192"/>
      <c r="I86" s="1192"/>
      <c r="J86" s="1192"/>
      <c r="K86" s="1211"/>
      <c r="L86" s="1211"/>
      <c r="M86" s="1211"/>
      <c r="N86" s="1211"/>
      <c r="O86" s="1211"/>
      <c r="P86" s="1211"/>
      <c r="Q86" s="1211"/>
      <c r="R86" s="1211"/>
      <c r="S86" s="1211"/>
      <c r="T86" s="1211"/>
      <c r="U86" s="1211"/>
      <c r="V86" s="1211"/>
      <c r="W86" s="1211"/>
      <c r="X86" s="1211"/>
      <c r="Y86" s="1192"/>
      <c r="Z86" s="1209"/>
      <c r="AB86" s="1192"/>
      <c r="AQ86" s="1361"/>
      <c r="AR86" s="177"/>
      <c r="AS86" s="177"/>
      <c r="AT86" s="177"/>
      <c r="AU86" s="177"/>
      <c r="AV86" s="177"/>
      <c r="AW86" s="177"/>
    </row>
    <row r="87" spans="1:49" x14ac:dyDescent="0.2">
      <c r="A87" s="1208"/>
      <c r="B87" s="1192"/>
      <c r="C87" s="1192"/>
      <c r="D87" s="1192"/>
      <c r="E87" s="1192"/>
      <c r="F87" s="1192"/>
      <c r="G87" s="1192"/>
      <c r="H87" s="1192"/>
      <c r="I87" s="1192"/>
      <c r="J87" s="1192"/>
      <c r="K87" s="2404" t="s">
        <v>794</v>
      </c>
      <c r="L87" s="2404"/>
      <c r="M87" s="1211"/>
      <c r="N87" s="2404" t="s">
        <v>795</v>
      </c>
      <c r="O87" s="2404"/>
      <c r="P87" s="1794"/>
      <c r="Q87" s="2404" t="s">
        <v>796</v>
      </c>
      <c r="R87" s="2404"/>
      <c r="S87" s="1794"/>
      <c r="T87" s="2404" t="s">
        <v>797</v>
      </c>
      <c r="U87" s="2404"/>
      <c r="V87" s="1794"/>
      <c r="W87" s="2404" t="s">
        <v>814</v>
      </c>
      <c r="X87" s="2404"/>
      <c r="Y87" s="1192"/>
      <c r="Z87" s="1209"/>
      <c r="AB87" s="1192"/>
      <c r="AQ87" s="1361"/>
      <c r="AR87" s="177"/>
      <c r="AS87" s="177"/>
      <c r="AT87" s="177"/>
      <c r="AU87" s="177"/>
      <c r="AV87" s="177"/>
      <c r="AW87" s="177"/>
    </row>
    <row r="88" spans="1:49" ht="15.75" customHeight="1" x14ac:dyDescent="0.2">
      <c r="A88" s="1208"/>
      <c r="B88" s="1192"/>
      <c r="C88" s="1192"/>
      <c r="D88" s="1192"/>
      <c r="E88" s="1192"/>
      <c r="F88" s="1192"/>
      <c r="G88" s="1192"/>
      <c r="H88" s="1192"/>
      <c r="I88" s="1192"/>
      <c r="J88" s="1192"/>
      <c r="K88" s="2407" t="s">
        <v>40</v>
      </c>
      <c r="L88" s="2407"/>
      <c r="M88" s="1797"/>
      <c r="N88" s="2407" t="str">
        <f>+L16</f>
        <v>ZZZZ</v>
      </c>
      <c r="O88" s="2407"/>
      <c r="P88" s="1273"/>
      <c r="Q88" s="2407" t="str">
        <f>+IF(E233="UA","",IF(E233="MD","",IF(E233="Greater London Authority",E233,IF(E233="West of England CA",E233,(CONCATENATE(E233," County Council"))))))</f>
        <v>0 County Council</v>
      </c>
      <c r="R88" s="2407"/>
      <c r="S88" s="1273"/>
      <c r="T88" s="2407">
        <f>+IF(K233="County","",IF(K233="NA","",K233))</f>
        <v>0</v>
      </c>
      <c r="U88" s="2407"/>
      <c r="V88" s="1797"/>
      <c r="W88" s="2407" t="s">
        <v>806</v>
      </c>
      <c r="X88" s="2407"/>
      <c r="Y88" s="1192"/>
      <c r="Z88" s="1209"/>
      <c r="AB88" s="1192"/>
      <c r="AQ88" s="1361"/>
      <c r="AR88" s="177"/>
      <c r="AS88" s="177"/>
      <c r="AT88" s="177"/>
      <c r="AU88" s="177"/>
      <c r="AV88" s="177"/>
      <c r="AW88" s="177"/>
    </row>
    <row r="89" spans="1:49" ht="15.75" customHeight="1" x14ac:dyDescent="0.2">
      <c r="A89" s="1208"/>
      <c r="B89" s="1192"/>
      <c r="C89" s="1192"/>
      <c r="D89" s="1192"/>
      <c r="E89" s="1192"/>
      <c r="F89" s="1192"/>
      <c r="G89" s="1192"/>
      <c r="H89" s="1192"/>
      <c r="I89" s="1192"/>
      <c r="J89" s="1192"/>
      <c r="K89" s="2407"/>
      <c r="L89" s="2407"/>
      <c r="M89" s="1797"/>
      <c r="N89" s="2407"/>
      <c r="O89" s="2407"/>
      <c r="P89" s="1273"/>
      <c r="Q89" s="2407"/>
      <c r="R89" s="2407"/>
      <c r="S89" s="1273"/>
      <c r="T89" s="2407"/>
      <c r="U89" s="2407"/>
      <c r="V89" s="1797"/>
      <c r="W89" s="1797"/>
      <c r="X89" s="1797"/>
      <c r="Y89" s="1192"/>
      <c r="Z89" s="1209"/>
      <c r="AB89" s="2399" t="s">
        <v>1090</v>
      </c>
      <c r="AQ89" s="1361"/>
      <c r="AR89" s="177"/>
      <c r="AS89" s="177"/>
      <c r="AT89" s="177"/>
      <c r="AU89" s="177"/>
      <c r="AV89" s="177"/>
      <c r="AW89" s="177"/>
    </row>
    <row r="90" spans="1:49" ht="15.75" x14ac:dyDescent="0.2">
      <c r="A90" s="1208"/>
      <c r="B90" s="1192"/>
      <c r="C90" s="1192"/>
      <c r="D90" s="1192"/>
      <c r="E90" s="1192"/>
      <c r="F90" s="1192"/>
      <c r="G90" s="1192"/>
      <c r="H90" s="1192"/>
      <c r="I90" s="1192"/>
      <c r="J90" s="1192"/>
      <c r="K90" s="2407"/>
      <c r="L90" s="2407"/>
      <c r="M90" s="1797"/>
      <c r="N90" s="2407"/>
      <c r="O90" s="2407"/>
      <c r="P90" s="1273"/>
      <c r="Q90" s="2407"/>
      <c r="R90" s="2407"/>
      <c r="S90" s="1273"/>
      <c r="T90" s="2407"/>
      <c r="U90" s="2407"/>
      <c r="V90" s="1273"/>
      <c r="W90" s="1273"/>
      <c r="X90" s="1273"/>
      <c r="Y90" s="1192"/>
      <c r="Z90" s="1209"/>
      <c r="AB90" s="2400"/>
      <c r="AQ90" s="1361"/>
      <c r="AR90" s="177"/>
      <c r="AS90" s="177"/>
      <c r="AT90" s="177"/>
      <c r="AU90" s="177"/>
      <c r="AV90" s="177"/>
      <c r="AW90" s="177"/>
    </row>
    <row r="91" spans="1:49" ht="16.5" thickBot="1" x14ac:dyDescent="0.3">
      <c r="A91" s="1208"/>
      <c r="B91" s="1192"/>
      <c r="C91" s="1274" t="s">
        <v>44</v>
      </c>
      <c r="D91" s="1192"/>
      <c r="E91" s="1192"/>
      <c r="F91" s="1192"/>
      <c r="G91" s="1192"/>
      <c r="H91" s="1192"/>
      <c r="I91" s="1192"/>
      <c r="J91" s="1192"/>
      <c r="K91" s="2406" t="s">
        <v>786</v>
      </c>
      <c r="L91" s="2406"/>
      <c r="M91" s="1800"/>
      <c r="N91" s="2406" t="s">
        <v>786</v>
      </c>
      <c r="O91" s="2406"/>
      <c r="P91" s="1211"/>
      <c r="Q91" s="2406" t="s">
        <v>786</v>
      </c>
      <c r="R91" s="2406"/>
      <c r="S91" s="1211"/>
      <c r="T91" s="2406" t="s">
        <v>786</v>
      </c>
      <c r="U91" s="2406"/>
      <c r="V91" s="1800"/>
      <c r="W91" s="2406" t="s">
        <v>786</v>
      </c>
      <c r="X91" s="2406"/>
      <c r="Y91" s="1192"/>
      <c r="Z91" s="1209"/>
      <c r="AB91" s="1275"/>
      <c r="AQ91" s="1361"/>
      <c r="AR91" s="177"/>
      <c r="AS91" s="177"/>
      <c r="AT91" s="177"/>
      <c r="AU91" s="177"/>
      <c r="AV91" s="177"/>
      <c r="AW91" s="177"/>
    </row>
    <row r="92" spans="1:49" ht="16.5" customHeight="1" thickBot="1" x14ac:dyDescent="0.25">
      <c r="A92" s="1208"/>
      <c r="B92" s="1192"/>
      <c r="C92" s="1192"/>
      <c r="D92" s="2408" t="s">
        <v>2260</v>
      </c>
      <c r="E92" s="2408"/>
      <c r="F92" s="2408"/>
      <c r="G92" s="2408"/>
      <c r="H92" s="2408"/>
      <c r="I92" s="2408"/>
      <c r="J92" s="1192"/>
      <c r="K92" s="2411">
        <f>W92-T92-Q92-N92</f>
        <v>1</v>
      </c>
      <c r="L92" s="2412"/>
      <c r="M92" s="1220"/>
      <c r="N92" s="2411">
        <f>VLOOKUP($L$17,TierSplit!$A$6:$AG$332,3,FALSE)</f>
        <v>0</v>
      </c>
      <c r="O92" s="2412"/>
      <c r="P92" s="1220"/>
      <c r="Q92" s="2413">
        <f>VLOOKUP($L$17,TierSplit!$A$6:$AG$332,6,FALSE)</f>
        <v>0</v>
      </c>
      <c r="R92" s="2414"/>
      <c r="S92" s="1220"/>
      <c r="T92" s="2413">
        <f>VLOOKUP($L$17,TierSplit!$A$6:$AG$332,9,FALSE)</f>
        <v>0</v>
      </c>
      <c r="U92" s="2414"/>
      <c r="V92" s="1211"/>
      <c r="W92" s="2413">
        <f>1</f>
        <v>1</v>
      </c>
      <c r="X92" s="2414"/>
      <c r="Y92" s="1192"/>
      <c r="Z92" s="1209"/>
      <c r="AB92" s="1275"/>
      <c r="AD92" s="9">
        <f>IF(K92='Part 1'!K92,0,1)</f>
        <v>0</v>
      </c>
      <c r="AE92" s="9">
        <f>IF(L92='Part 1'!L92,0,1)</f>
        <v>0</v>
      </c>
      <c r="AF92" s="9">
        <f>IF(M92='Part 1'!M92,0,1)</f>
        <v>0</v>
      </c>
      <c r="AG92" s="9">
        <f>IF(N92='Part 1'!N92,0,1)</f>
        <v>0</v>
      </c>
      <c r="AH92" s="9">
        <f>IF(O92='Part 1'!O92,0,1)</f>
        <v>0</v>
      </c>
      <c r="AI92" s="9">
        <f>IF(P92='Part 1'!P92,0,1)</f>
        <v>0</v>
      </c>
      <c r="AJ92" s="9">
        <f>IF(Q92='Part 1'!Q92,0,1)</f>
        <v>0</v>
      </c>
      <c r="AK92" s="9">
        <f>IF(R92='Part 1'!R92,0,1)</f>
        <v>0</v>
      </c>
      <c r="AL92" s="9">
        <f>IF(S92='Part 1'!S92,0,1)</f>
        <v>0</v>
      </c>
      <c r="AM92" s="9">
        <f>IF(T92='Part 1'!T92,0,1)</f>
        <v>0</v>
      </c>
      <c r="AN92" s="9">
        <f>IF(U92='Part 1'!U92,0,1)</f>
        <v>0</v>
      </c>
      <c r="AO92" s="9">
        <f>IF(V92='Part 1'!V92,0,1)</f>
        <v>0</v>
      </c>
      <c r="AP92" s="9">
        <f>IF(W92='Part 1'!W92,0,1)</f>
        <v>0</v>
      </c>
      <c r="AQ92" s="1361">
        <f>IF(SUM(AD92:AP92)&gt;1,1,0)</f>
        <v>0</v>
      </c>
      <c r="AR92" s="177"/>
      <c r="AS92" s="177"/>
      <c r="AT92" s="177"/>
      <c r="AU92" s="177"/>
      <c r="AV92" s="177"/>
      <c r="AW92" s="177"/>
    </row>
    <row r="93" spans="1:49" ht="15.75" x14ac:dyDescent="0.2">
      <c r="A93" s="1208"/>
      <c r="B93" s="1192"/>
      <c r="C93" s="1192"/>
      <c r="D93" s="2408"/>
      <c r="E93" s="2408"/>
      <c r="F93" s="2408"/>
      <c r="G93" s="2408"/>
      <c r="H93" s="2408"/>
      <c r="I93" s="2408"/>
      <c r="J93" s="1192"/>
      <c r="K93" s="1796"/>
      <c r="L93" s="1796"/>
      <c r="M93" s="1800"/>
      <c r="N93" s="1796"/>
      <c r="O93" s="1796"/>
      <c r="P93" s="1211"/>
      <c r="Q93" s="1796"/>
      <c r="R93" s="1796"/>
      <c r="S93" s="1211"/>
      <c r="T93" s="1796"/>
      <c r="U93" s="1796"/>
      <c r="V93" s="1800"/>
      <c r="W93" s="1796"/>
      <c r="X93" s="1796"/>
      <c r="Y93" s="1192"/>
      <c r="Z93" s="1209"/>
      <c r="AB93" s="1277" t="s">
        <v>70</v>
      </c>
      <c r="AQ93" s="1361"/>
      <c r="AR93" s="177"/>
      <c r="AS93" s="177"/>
      <c r="AT93" s="177"/>
      <c r="AU93" s="177"/>
      <c r="AV93" s="177"/>
      <c r="AW93" s="177"/>
    </row>
    <row r="94" spans="1:49" ht="15.75" x14ac:dyDescent="0.2">
      <c r="A94" s="1208"/>
      <c r="B94" s="1192"/>
      <c r="C94" s="1192"/>
      <c r="D94" s="1192"/>
      <c r="E94" s="1192"/>
      <c r="F94" s="1192"/>
      <c r="G94" s="1192"/>
      <c r="H94" s="1192"/>
      <c r="I94" s="1192"/>
      <c r="J94" s="1192"/>
      <c r="K94" s="1796"/>
      <c r="L94" s="1796"/>
      <c r="M94" s="1800"/>
      <c r="N94" s="1796"/>
      <c r="O94" s="1796"/>
      <c r="P94" s="1211"/>
      <c r="Q94" s="1796"/>
      <c r="R94" s="1796"/>
      <c r="S94" s="1211"/>
      <c r="T94" s="1796"/>
      <c r="U94" s="1796"/>
      <c r="V94" s="1800"/>
      <c r="W94" s="1796"/>
      <c r="X94" s="1796"/>
      <c r="Y94" s="1192"/>
      <c r="Z94" s="1209"/>
      <c r="AB94" s="1227" t="s">
        <v>71</v>
      </c>
      <c r="AQ94" s="1361"/>
      <c r="AR94" s="177"/>
      <c r="AS94" s="177"/>
      <c r="AT94" s="177"/>
      <c r="AU94" s="177"/>
      <c r="AV94" s="177"/>
      <c r="AW94" s="177"/>
    </row>
    <row r="95" spans="1:49" ht="16.5" thickBot="1" x14ac:dyDescent="0.3">
      <c r="A95" s="1208"/>
      <c r="B95" s="1192"/>
      <c r="C95" s="1271" t="s">
        <v>2145</v>
      </c>
      <c r="D95" s="1192"/>
      <c r="E95" s="1192"/>
      <c r="F95" s="1192"/>
      <c r="G95" s="1192"/>
      <c r="H95" s="1192"/>
      <c r="I95" s="1192"/>
      <c r="J95" s="1192"/>
      <c r="K95" s="1211"/>
      <c r="L95" s="1211"/>
      <c r="M95" s="1211"/>
      <c r="N95" s="1211"/>
      <c r="O95" s="1211"/>
      <c r="P95" s="1211"/>
      <c r="Q95" s="1211"/>
      <c r="R95" s="1211"/>
      <c r="S95" s="1211"/>
      <c r="T95" s="1211"/>
      <c r="U95" s="1211"/>
      <c r="V95" s="1211"/>
      <c r="W95" s="1211"/>
      <c r="X95" s="1211"/>
      <c r="Y95" s="1192"/>
      <c r="Z95" s="1209"/>
      <c r="AB95" s="1224"/>
      <c r="AQ95" s="1361"/>
      <c r="AR95" s="177"/>
      <c r="AS95" s="177"/>
      <c r="AT95" s="177"/>
      <c r="AU95" s="177"/>
      <c r="AV95" s="177"/>
      <c r="AW95" s="177"/>
    </row>
    <row r="96" spans="1:49" ht="16.5" customHeight="1" thickBot="1" x14ac:dyDescent="0.25">
      <c r="A96" s="1208"/>
      <c r="B96" s="1192"/>
      <c r="C96" s="1192"/>
      <c r="D96" s="2408" t="s">
        <v>2270</v>
      </c>
      <c r="E96" s="2408"/>
      <c r="F96" s="2408"/>
      <c r="G96" s="2408"/>
      <c r="H96" s="2408"/>
      <c r="I96" s="2408"/>
      <c r="J96" s="1192"/>
      <c r="K96" s="2409" t="e">
        <f>IF(K92=0,0,+K56-N96-Q96-T96)</f>
        <v>#N/A</v>
      </c>
      <c r="L96" s="2410"/>
      <c r="M96" s="1278"/>
      <c r="N96" s="2409" t="e">
        <f>ROUND(+K56*$N$92,0)</f>
        <v>#N/A</v>
      </c>
      <c r="O96" s="2410"/>
      <c r="P96" s="1278"/>
      <c r="Q96" s="2409" t="e">
        <f>ROUND(+K56*$Q$92,0)</f>
        <v>#N/A</v>
      </c>
      <c r="R96" s="2410"/>
      <c r="S96" s="1278"/>
      <c r="T96" s="2409" t="e">
        <f>ROUND(+K56*$T$92,0)</f>
        <v>#N/A</v>
      </c>
      <c r="U96" s="2410"/>
      <c r="V96" s="1278"/>
      <c r="W96" s="2409" t="e">
        <f>+K56</f>
        <v>#N/A</v>
      </c>
      <c r="X96" s="2410"/>
      <c r="Y96" s="1192"/>
      <c r="Z96" s="1216"/>
      <c r="AB96" s="1224" t="e">
        <f>+W96-K56</f>
        <v>#N/A</v>
      </c>
      <c r="AD96" s="9" t="e">
        <f>IF(K96='Part 1'!K96,0,1)</f>
        <v>#N/A</v>
      </c>
      <c r="AE96" s="9">
        <f>IF(L96='Part 1'!L96,0,1)</f>
        <v>0</v>
      </c>
      <c r="AF96" s="9">
        <f>IF(M96='Part 1'!M96,0,1)</f>
        <v>0</v>
      </c>
      <c r="AG96" s="9" t="e">
        <f>IF(N96='Part 1'!N96,0,1)</f>
        <v>#N/A</v>
      </c>
      <c r="AH96" s="9">
        <f>IF(O96='Part 1'!O96,0,1)</f>
        <v>0</v>
      </c>
      <c r="AI96" s="9">
        <f>IF(P96='Part 1'!P96,0,1)</f>
        <v>0</v>
      </c>
      <c r="AJ96" s="9" t="e">
        <f>IF(Q96='Part 1'!Q96,0,1)</f>
        <v>#N/A</v>
      </c>
      <c r="AK96" s="9">
        <f>IF(R96='Part 1'!R96,0,1)</f>
        <v>0</v>
      </c>
      <c r="AL96" s="9">
        <f>IF(S96='Part 1'!S96,0,1)</f>
        <v>0</v>
      </c>
      <c r="AM96" s="9" t="e">
        <f>IF(T96='Part 1'!T96,0,1)</f>
        <v>#N/A</v>
      </c>
      <c r="AN96" s="9">
        <f>IF(U96='Part 1'!U96,0,1)</f>
        <v>0</v>
      </c>
      <c r="AO96" s="9">
        <f>IF(V96='Part 1'!V96,0,1)</f>
        <v>0</v>
      </c>
      <c r="AP96" s="9" t="e">
        <f>IF(W96='Part 1'!W96,0,1)</f>
        <v>#N/A</v>
      </c>
      <c r="AQ96" s="1361" t="e">
        <f t="shared" ref="AQ96:AQ126" si="1">IF(SUM(AD96:AP96)&gt;1,1,0)</f>
        <v>#N/A</v>
      </c>
      <c r="AR96" s="177"/>
      <c r="AS96" s="177"/>
      <c r="AT96" s="177"/>
      <c r="AU96" s="177"/>
      <c r="AV96" s="177"/>
      <c r="AW96" s="177"/>
    </row>
    <row r="97" spans="1:49" x14ac:dyDescent="0.2">
      <c r="A97" s="1208"/>
      <c r="B97" s="1192"/>
      <c r="C97" s="1192"/>
      <c r="D97" s="2408"/>
      <c r="E97" s="2408"/>
      <c r="F97" s="2408"/>
      <c r="G97" s="2408"/>
      <c r="H97" s="2408"/>
      <c r="I97" s="2408"/>
      <c r="J97" s="1192"/>
      <c r="K97" s="1278"/>
      <c r="L97" s="1278"/>
      <c r="M97" s="1278"/>
      <c r="N97" s="1278"/>
      <c r="O97" s="1278"/>
      <c r="P97" s="1278"/>
      <c r="Q97" s="1278"/>
      <c r="R97" s="1278"/>
      <c r="S97" s="1278"/>
      <c r="T97" s="1278"/>
      <c r="U97" s="1278"/>
      <c r="V97" s="1278"/>
      <c r="W97" s="1278"/>
      <c r="X97" s="1278"/>
      <c r="Y97" s="1192"/>
      <c r="Z97" s="1209"/>
      <c r="AB97" s="1224"/>
      <c r="AQ97" s="1361"/>
      <c r="AR97" s="177"/>
      <c r="AS97" s="177"/>
      <c r="AT97" s="177"/>
      <c r="AU97" s="177"/>
      <c r="AV97" s="177"/>
      <c r="AW97" s="177"/>
    </row>
    <row r="98" spans="1:49" ht="15.75" thickBot="1" x14ac:dyDescent="0.25">
      <c r="A98" s="1208"/>
      <c r="B98" s="1192"/>
      <c r="C98" s="1192"/>
      <c r="D98" s="1192"/>
      <c r="E98" s="1192"/>
      <c r="F98" s="1192"/>
      <c r="G98" s="1192"/>
      <c r="H98" s="1192"/>
      <c r="I98" s="1192"/>
      <c r="J98" s="1192"/>
      <c r="K98" s="1278"/>
      <c r="L98" s="1278"/>
      <c r="M98" s="1278"/>
      <c r="N98" s="1278"/>
      <c r="O98" s="1278"/>
      <c r="P98" s="1278"/>
      <c r="Q98" s="1278"/>
      <c r="R98" s="1278"/>
      <c r="S98" s="1278"/>
      <c r="T98" s="1278"/>
      <c r="U98" s="1278"/>
      <c r="V98" s="1278"/>
      <c r="W98" s="1278"/>
      <c r="X98" s="1278"/>
      <c r="Y98" s="1192"/>
      <c r="Z98" s="1209"/>
      <c r="AB98" s="1224" t="e">
        <f>IF(AND(K92=0,K56-N96-Q96-T96&lt;&gt;0),0,+IF(ABS(K96+N96+Q96+T96-W96)&lt;0.5,0,1))</f>
        <v>#N/A</v>
      </c>
      <c r="AQ98" s="1361"/>
      <c r="AR98" s="177"/>
      <c r="AS98" s="177"/>
      <c r="AT98" s="177"/>
      <c r="AU98" s="177"/>
      <c r="AV98" s="177"/>
      <c r="AW98" s="177"/>
    </row>
    <row r="99" spans="1:49" ht="16.5" thickBot="1" x14ac:dyDescent="0.25">
      <c r="A99" s="1208"/>
      <c r="B99" s="1192"/>
      <c r="C99" s="1192"/>
      <c r="D99" s="1192" t="s">
        <v>2271</v>
      </c>
      <c r="E99" s="1192"/>
      <c r="F99" s="1192"/>
      <c r="G99" s="1192"/>
      <c r="H99" s="1192"/>
      <c r="I99" s="1192"/>
      <c r="J99" s="1192"/>
      <c r="K99" s="2409">
        <f>+'Part 3'!O70</f>
        <v>0</v>
      </c>
      <c r="L99" s="2410"/>
      <c r="M99" s="1278"/>
      <c r="N99" s="2409">
        <v>0</v>
      </c>
      <c r="O99" s="2410"/>
      <c r="P99" s="1278"/>
      <c r="Q99" s="2409">
        <v>0</v>
      </c>
      <c r="R99" s="2410"/>
      <c r="S99" s="1278"/>
      <c r="T99" s="2409">
        <v>0</v>
      </c>
      <c r="U99" s="2410"/>
      <c r="V99" s="1278"/>
      <c r="W99" s="2409">
        <f>+K99</f>
        <v>0</v>
      </c>
      <c r="X99" s="2410"/>
      <c r="Y99" s="1192"/>
      <c r="Z99" s="1209"/>
      <c r="AB99" s="1224"/>
      <c r="AD99" s="9">
        <f>IF(K99='Part 1'!K99,0,1)</f>
        <v>0</v>
      </c>
      <c r="AE99" s="9">
        <f>IF(L99='Part 1'!L99,0,1)</f>
        <v>0</v>
      </c>
      <c r="AF99" s="9">
        <f>IF(M99='Part 1'!M99,0,1)</f>
        <v>0</v>
      </c>
      <c r="AG99" s="9">
        <f>IF(N99='Part 1'!N99,0,1)</f>
        <v>0</v>
      </c>
      <c r="AH99" s="9">
        <f>IF(O99='Part 1'!O99,0,1)</f>
        <v>0</v>
      </c>
      <c r="AI99" s="9">
        <f>IF(P99='Part 1'!P99,0,1)</f>
        <v>0</v>
      </c>
      <c r="AJ99" s="9">
        <f>IF(Q99='Part 1'!Q99,0,1)</f>
        <v>0</v>
      </c>
      <c r="AK99" s="9">
        <f>IF(R99='Part 1'!R99,0,1)</f>
        <v>0</v>
      </c>
      <c r="AL99" s="9">
        <f>IF(S99='Part 1'!S99,0,1)</f>
        <v>0</v>
      </c>
      <c r="AM99" s="9">
        <f>IF(T99='Part 1'!T99,0,1)</f>
        <v>0</v>
      </c>
      <c r="AN99" s="9">
        <f>IF(U99='Part 1'!U99,0,1)</f>
        <v>0</v>
      </c>
      <c r="AO99" s="9">
        <f>IF(V99='Part 1'!V99,0,1)</f>
        <v>0</v>
      </c>
      <c r="AP99" s="9">
        <f>IF(W99='Part 1'!W99,0,1)</f>
        <v>0</v>
      </c>
      <c r="AQ99" s="1361">
        <f t="shared" si="1"/>
        <v>0</v>
      </c>
      <c r="AR99" s="177"/>
      <c r="AS99" s="177"/>
      <c r="AT99" s="177"/>
      <c r="AU99" s="177"/>
      <c r="AV99" s="177"/>
      <c r="AW99" s="177"/>
    </row>
    <row r="100" spans="1:49" ht="16.5" thickBot="1" x14ac:dyDescent="0.25">
      <c r="A100" s="1208"/>
      <c r="B100" s="1192"/>
      <c r="C100" s="1192"/>
      <c r="D100" s="1225"/>
      <c r="E100" s="1192"/>
      <c r="F100" s="1192"/>
      <c r="G100" s="1192"/>
      <c r="H100" s="1192"/>
      <c r="I100" s="1192"/>
      <c r="J100" s="1192"/>
      <c r="K100" s="1798"/>
      <c r="L100" s="1798"/>
      <c r="M100" s="1278"/>
      <c r="N100" s="1798"/>
      <c r="O100" s="1798"/>
      <c r="P100" s="1278"/>
      <c r="Q100" s="1798"/>
      <c r="R100" s="1798"/>
      <c r="S100" s="1278"/>
      <c r="T100" s="1798"/>
      <c r="U100" s="1798"/>
      <c r="V100" s="1278"/>
      <c r="W100" s="1798"/>
      <c r="X100" s="1798"/>
      <c r="Y100" s="1192"/>
      <c r="Z100" s="1209"/>
      <c r="AB100" s="1224"/>
      <c r="AQ100" s="1361"/>
      <c r="AR100" s="177"/>
      <c r="AS100" s="177"/>
      <c r="AT100" s="177"/>
      <c r="AU100" s="177"/>
      <c r="AV100" s="177"/>
      <c r="AW100" s="177"/>
    </row>
    <row r="101" spans="1:49" ht="16.5" thickBot="1" x14ac:dyDescent="0.3">
      <c r="A101" s="1208"/>
      <c r="B101" s="1192"/>
      <c r="C101" s="1192"/>
      <c r="D101" s="1217">
        <v>16</v>
      </c>
      <c r="E101" s="1192"/>
      <c r="F101" s="1192"/>
      <c r="G101" s="1192"/>
      <c r="H101" s="1192"/>
      <c r="I101" s="1279" t="s">
        <v>837</v>
      </c>
      <c r="J101" s="1280"/>
      <c r="K101" s="2409" t="e">
        <f>ROUND(+K96-K99,0)</f>
        <v>#N/A</v>
      </c>
      <c r="L101" s="2410"/>
      <c r="M101" s="1278"/>
      <c r="N101" s="2409" t="e">
        <f>ROUND(+N96-N99,0)</f>
        <v>#N/A</v>
      </c>
      <c r="O101" s="2410"/>
      <c r="P101" s="1281"/>
      <c r="Q101" s="2409" t="e">
        <f>ROUND(+Q96-Q99,0)</f>
        <v>#N/A</v>
      </c>
      <c r="R101" s="2410"/>
      <c r="S101" s="1281"/>
      <c r="T101" s="2409" t="e">
        <f>ROUND(+T96-T99,0)</f>
        <v>#N/A</v>
      </c>
      <c r="U101" s="2410"/>
      <c r="V101" s="1278"/>
      <c r="W101" s="2409" t="e">
        <f>ROUND(+W96-W99,0)</f>
        <v>#N/A</v>
      </c>
      <c r="X101" s="2410"/>
      <c r="Y101" s="1192"/>
      <c r="Z101" s="1209"/>
      <c r="AB101" s="1224"/>
      <c r="AD101" s="9" t="e">
        <f>IF(K101='Part 1'!K101,0,1)</f>
        <v>#N/A</v>
      </c>
      <c r="AE101" s="9">
        <f>IF(L101='Part 1'!L101,0,1)</f>
        <v>0</v>
      </c>
      <c r="AF101" s="9">
        <f>IF(M101='Part 1'!M101,0,1)</f>
        <v>0</v>
      </c>
      <c r="AG101" s="9" t="e">
        <f>IF(N101='Part 1'!N101,0,1)</f>
        <v>#N/A</v>
      </c>
      <c r="AH101" s="9">
        <f>IF(O101='Part 1'!O101,0,1)</f>
        <v>0</v>
      </c>
      <c r="AI101" s="9">
        <f>IF(P101='Part 1'!P101,0,1)</f>
        <v>0</v>
      </c>
      <c r="AJ101" s="9" t="e">
        <f>IF(Q101='Part 1'!Q101,0,1)</f>
        <v>#N/A</v>
      </c>
      <c r="AK101" s="9">
        <f>IF(R101='Part 1'!R101,0,1)</f>
        <v>0</v>
      </c>
      <c r="AL101" s="9">
        <f>IF(S101='Part 1'!S101,0,1)</f>
        <v>0</v>
      </c>
      <c r="AM101" s="9" t="e">
        <f>IF(T101='Part 1'!T101,0,1)</f>
        <v>#N/A</v>
      </c>
      <c r="AN101" s="9">
        <f>IF(U101='Part 1'!U101,0,1)</f>
        <v>0</v>
      </c>
      <c r="AO101" s="9">
        <f>IF(V101='Part 1'!V101,0,1)</f>
        <v>0</v>
      </c>
      <c r="AP101" s="9" t="e">
        <f>IF(W101='Part 1'!W101,0,1)</f>
        <v>#N/A</v>
      </c>
      <c r="AQ101" s="1361" t="e">
        <f t="shared" si="1"/>
        <v>#N/A</v>
      </c>
      <c r="AR101" s="176"/>
      <c r="AS101" s="176"/>
      <c r="AT101" s="176"/>
      <c r="AU101" s="176"/>
      <c r="AV101" s="176"/>
      <c r="AW101" s="176"/>
    </row>
    <row r="102" spans="1:49" x14ac:dyDescent="0.2">
      <c r="A102" s="1208"/>
      <c r="B102" s="1192"/>
      <c r="C102" s="1192"/>
      <c r="D102" s="1192"/>
      <c r="E102" s="1192"/>
      <c r="F102" s="1192"/>
      <c r="G102" s="1192"/>
      <c r="H102" s="1192"/>
      <c r="I102" s="1192"/>
      <c r="J102" s="1192"/>
      <c r="K102" s="1278"/>
      <c r="L102" s="1278"/>
      <c r="M102" s="1278"/>
      <c r="N102" s="1278"/>
      <c r="O102" s="1278"/>
      <c r="P102" s="1278"/>
      <c r="Q102" s="1278"/>
      <c r="R102" s="1278"/>
      <c r="S102" s="1278"/>
      <c r="T102" s="1278"/>
      <c r="U102" s="1278"/>
      <c r="V102" s="1278"/>
      <c r="W102" s="1278"/>
      <c r="X102" s="1278"/>
      <c r="Y102" s="1192"/>
      <c r="Z102" s="1209"/>
      <c r="AB102" s="1224" t="e">
        <f>+IF(K96-K99-K101=0,0,1)</f>
        <v>#N/A</v>
      </c>
      <c r="AQ102" s="1361"/>
      <c r="AR102" s="176"/>
      <c r="AS102" s="176"/>
      <c r="AT102" s="176"/>
      <c r="AU102" s="176"/>
      <c r="AV102" s="176"/>
      <c r="AW102" s="176"/>
    </row>
    <row r="103" spans="1:49" ht="16.5" thickBot="1" x14ac:dyDescent="0.3">
      <c r="A103" s="1208"/>
      <c r="B103" s="1192"/>
      <c r="C103" s="1271" t="s">
        <v>2146</v>
      </c>
      <c r="D103" s="1192"/>
      <c r="E103" s="1192"/>
      <c r="F103" s="1192"/>
      <c r="G103" s="1192"/>
      <c r="H103" s="1192"/>
      <c r="I103" s="1192"/>
      <c r="J103" s="1192"/>
      <c r="K103" s="1278"/>
      <c r="L103" s="1278"/>
      <c r="M103" s="1278"/>
      <c r="N103" s="1278"/>
      <c r="O103" s="1278"/>
      <c r="P103" s="1278"/>
      <c r="Q103" s="1278"/>
      <c r="R103" s="1278"/>
      <c r="S103" s="1278"/>
      <c r="T103" s="1278"/>
      <c r="U103" s="1278"/>
      <c r="V103" s="1278"/>
      <c r="W103" s="1278"/>
      <c r="X103" s="1278"/>
      <c r="Y103" s="1192"/>
      <c r="Z103" s="1209"/>
      <c r="AB103" s="1224"/>
      <c r="AQ103" s="1361"/>
      <c r="AR103" s="176"/>
      <c r="AS103" s="176"/>
      <c r="AT103" s="176"/>
      <c r="AU103" s="176"/>
      <c r="AV103" s="176"/>
      <c r="AW103" s="176"/>
    </row>
    <row r="104" spans="1:49" ht="16.5" thickBot="1" x14ac:dyDescent="0.25">
      <c r="A104" s="1208"/>
      <c r="B104" s="1192"/>
      <c r="C104" s="1192"/>
      <c r="D104" s="1192" t="s">
        <v>2272</v>
      </c>
      <c r="E104" s="1192"/>
      <c r="F104" s="1192"/>
      <c r="G104" s="1192"/>
      <c r="H104" s="1192"/>
      <c r="I104" s="1192"/>
      <c r="J104" s="1192"/>
      <c r="K104" s="1278"/>
      <c r="L104" s="1278"/>
      <c r="M104" s="1278"/>
      <c r="N104" s="2409" t="e">
        <f>+W104</f>
        <v>#N/A</v>
      </c>
      <c r="O104" s="2410"/>
      <c r="P104" s="1278"/>
      <c r="Q104" s="1278"/>
      <c r="R104" s="1278"/>
      <c r="S104" s="1278"/>
      <c r="T104" s="1278"/>
      <c r="U104" s="1278"/>
      <c r="V104" s="1278"/>
      <c r="W104" s="2409" t="e">
        <f>+K40</f>
        <v>#N/A</v>
      </c>
      <c r="X104" s="2410"/>
      <c r="Y104" s="1192"/>
      <c r="Z104" s="1216"/>
      <c r="AB104" s="1224" t="e">
        <f>+IF(N104-W104=0,0,1)</f>
        <v>#N/A</v>
      </c>
      <c r="AD104" s="9">
        <f>IF(K104='Part 1'!K104,0,1)</f>
        <v>0</v>
      </c>
      <c r="AE104" s="9">
        <f>IF(L104='Part 1'!L104,0,1)</f>
        <v>0</v>
      </c>
      <c r="AF104" s="9">
        <f>IF(M104='Part 1'!M104,0,1)</f>
        <v>0</v>
      </c>
      <c r="AG104" s="9" t="e">
        <f>IF(N104='Part 1'!N104,0,1)</f>
        <v>#N/A</v>
      </c>
      <c r="AH104" s="9">
        <f>IF(O104='Part 1'!O104,0,1)</f>
        <v>0</v>
      </c>
      <c r="AI104" s="9">
        <f>IF(P104='Part 1'!P104,0,1)</f>
        <v>0</v>
      </c>
      <c r="AJ104" s="9">
        <f>IF(Q104='Part 1'!Q104,0,1)</f>
        <v>0</v>
      </c>
      <c r="AK104" s="9">
        <f>IF(R104='Part 1'!R104,0,1)</f>
        <v>0</v>
      </c>
      <c r="AL104" s="9">
        <f>IF(S104='Part 1'!S104,0,1)</f>
        <v>0</v>
      </c>
      <c r="AM104" s="9">
        <f>IF(T104='Part 1'!T104,0,1)</f>
        <v>0</v>
      </c>
      <c r="AN104" s="9">
        <f>IF(U104='Part 1'!U104,0,1)</f>
        <v>0</v>
      </c>
      <c r="AO104" s="9">
        <f>IF(V104='Part 1'!V104,0,1)</f>
        <v>0</v>
      </c>
      <c r="AP104" s="9" t="e">
        <f>IF(W104='Part 1'!W104,0,1)</f>
        <v>#N/A</v>
      </c>
      <c r="AQ104" s="1361" t="e">
        <f t="shared" si="1"/>
        <v>#N/A</v>
      </c>
      <c r="AR104" s="176"/>
      <c r="AS104" s="176"/>
      <c r="AT104" s="176"/>
      <c r="AU104" s="176"/>
      <c r="AV104" s="176"/>
      <c r="AW104" s="176"/>
    </row>
    <row r="105" spans="1:49" ht="15.75" thickBot="1" x14ac:dyDescent="0.25">
      <c r="A105" s="1208"/>
      <c r="B105" s="1192"/>
      <c r="C105" s="1192"/>
      <c r="D105" s="1192"/>
      <c r="E105" s="1192"/>
      <c r="F105" s="1192"/>
      <c r="G105" s="1192"/>
      <c r="H105" s="1192"/>
      <c r="I105" s="1192"/>
      <c r="J105" s="1192"/>
      <c r="K105" s="1278"/>
      <c r="L105" s="1278"/>
      <c r="M105" s="1278"/>
      <c r="N105" s="1278"/>
      <c r="O105" s="1278"/>
      <c r="P105" s="1278"/>
      <c r="Q105" s="1278"/>
      <c r="R105" s="1278"/>
      <c r="S105" s="1278"/>
      <c r="T105" s="1278"/>
      <c r="U105" s="1278"/>
      <c r="V105" s="1278"/>
      <c r="W105" s="1278"/>
      <c r="X105" s="1278"/>
      <c r="Y105" s="1192"/>
      <c r="Z105" s="1209"/>
      <c r="AB105" s="1224"/>
      <c r="AQ105" s="1361"/>
      <c r="AR105" s="176"/>
      <c r="AS105" s="176"/>
      <c r="AT105" s="176"/>
      <c r="AU105" s="176"/>
      <c r="AV105" s="176"/>
      <c r="AW105" s="176"/>
    </row>
    <row r="106" spans="1:49" ht="16.5" thickBot="1" x14ac:dyDescent="0.25">
      <c r="A106" s="1208"/>
      <c r="B106" s="1192"/>
      <c r="C106" s="1192"/>
      <c r="D106" s="1192" t="s">
        <v>2273</v>
      </c>
      <c r="E106" s="1192"/>
      <c r="F106" s="1192"/>
      <c r="G106" s="1192"/>
      <c r="H106" s="1192"/>
      <c r="I106" s="1192"/>
      <c r="J106" s="1192"/>
      <c r="K106" s="1278"/>
      <c r="L106" s="1278"/>
      <c r="M106" s="1278"/>
      <c r="N106" s="2409">
        <f>+W106</f>
        <v>0</v>
      </c>
      <c r="O106" s="2410"/>
      <c r="P106" s="1278"/>
      <c r="Q106" s="1278"/>
      <c r="R106" s="1278"/>
      <c r="S106" s="1278"/>
      <c r="T106" s="1278"/>
      <c r="U106" s="1278"/>
      <c r="V106" s="1278"/>
      <c r="W106" s="2409">
        <f>+K46</f>
        <v>0</v>
      </c>
      <c r="X106" s="2410"/>
      <c r="Y106" s="1192"/>
      <c r="Z106" s="1216"/>
      <c r="AB106" s="1224">
        <f>+IF(N106-W106=0,0,1)</f>
        <v>0</v>
      </c>
      <c r="AD106" s="9">
        <f>IF(K106='Part 1'!K106,0,1)</f>
        <v>0</v>
      </c>
      <c r="AE106" s="9">
        <f>IF(L106='Part 1'!L106,0,1)</f>
        <v>0</v>
      </c>
      <c r="AF106" s="9">
        <f>IF(M106='Part 1'!M106,0,1)</f>
        <v>0</v>
      </c>
      <c r="AG106" s="9">
        <f>IF(N106='Part 1'!N106,0,1)</f>
        <v>0</v>
      </c>
      <c r="AH106" s="9">
        <f>IF(O106='Part 1'!O106,0,1)</f>
        <v>0</v>
      </c>
      <c r="AI106" s="9">
        <f>IF(P106='Part 1'!P106,0,1)</f>
        <v>0</v>
      </c>
      <c r="AJ106" s="9">
        <f>IF(Q106='Part 1'!Q106,0,1)</f>
        <v>0</v>
      </c>
      <c r="AK106" s="9">
        <f>IF(R106='Part 1'!R106,0,1)</f>
        <v>0</v>
      </c>
      <c r="AL106" s="9">
        <f>IF(S106='Part 1'!S106,0,1)</f>
        <v>0</v>
      </c>
      <c r="AM106" s="9">
        <f>IF(T106='Part 1'!T106,0,1)</f>
        <v>0</v>
      </c>
      <c r="AN106" s="9">
        <f>IF(U106='Part 1'!U106,0,1)</f>
        <v>0</v>
      </c>
      <c r="AO106" s="9">
        <f>IF(V106='Part 1'!V106,0,1)</f>
        <v>0</v>
      </c>
      <c r="AP106" s="9">
        <f>IF(W106='Part 1'!W106,0,1)</f>
        <v>0</v>
      </c>
      <c r="AQ106" s="1361">
        <f t="shared" si="1"/>
        <v>0</v>
      </c>
      <c r="AR106" s="176"/>
      <c r="AS106" s="176"/>
      <c r="AT106" s="176"/>
      <c r="AU106" s="176"/>
      <c r="AV106" s="176"/>
      <c r="AW106" s="176"/>
    </row>
    <row r="107" spans="1:49" ht="15.75" thickBot="1" x14ac:dyDescent="0.25">
      <c r="A107" s="1208"/>
      <c r="B107" s="1192"/>
      <c r="C107" s="1192"/>
      <c r="D107" s="1192"/>
      <c r="E107" s="1192"/>
      <c r="F107" s="1192"/>
      <c r="G107" s="1192"/>
      <c r="H107" s="1192"/>
      <c r="I107" s="1192"/>
      <c r="J107" s="1192"/>
      <c r="K107" s="1278"/>
      <c r="L107" s="1278"/>
      <c r="M107" s="1278"/>
      <c r="N107" s="1278"/>
      <c r="O107" s="1278"/>
      <c r="P107" s="1278"/>
      <c r="Q107" s="1278"/>
      <c r="R107" s="1278"/>
      <c r="S107" s="1278"/>
      <c r="T107" s="1278"/>
      <c r="U107" s="1278"/>
      <c r="V107" s="1278"/>
      <c r="W107" s="1278"/>
      <c r="X107" s="1278"/>
      <c r="Y107" s="1192"/>
      <c r="Z107" s="1209"/>
      <c r="AB107" s="1224"/>
      <c r="AQ107" s="1361"/>
      <c r="AR107" s="176"/>
      <c r="AS107" s="176"/>
      <c r="AT107" s="176"/>
      <c r="AU107" s="176"/>
      <c r="AV107" s="176"/>
      <c r="AW107" s="176"/>
    </row>
    <row r="108" spans="1:49" ht="16.5" thickBot="1" x14ac:dyDescent="0.25">
      <c r="A108" s="1208"/>
      <c r="B108" s="1192"/>
      <c r="C108" s="1192"/>
      <c r="D108" s="1192" t="s">
        <v>2274</v>
      </c>
      <c r="E108" s="1192"/>
      <c r="F108" s="1192"/>
      <c r="G108" s="1192"/>
      <c r="H108" s="1192"/>
      <c r="I108" s="1192"/>
      <c r="J108" s="1192"/>
      <c r="K108" s="1278"/>
      <c r="L108" s="1278"/>
      <c r="M108" s="1278"/>
      <c r="N108" s="2409">
        <f>+K51</f>
        <v>0</v>
      </c>
      <c r="O108" s="2410"/>
      <c r="P108" s="1278"/>
      <c r="Q108" s="2409">
        <f>+K53</f>
        <v>0</v>
      </c>
      <c r="R108" s="2410"/>
      <c r="S108" s="1278"/>
      <c r="T108" s="1278"/>
      <c r="U108" s="1278"/>
      <c r="V108" s="1278"/>
      <c r="W108" s="2409">
        <f>+K48</f>
        <v>0</v>
      </c>
      <c r="X108" s="2410"/>
      <c r="Y108" s="1192"/>
      <c r="Z108" s="1216"/>
      <c r="AB108" s="1224">
        <f>+IF(N108+Q108-W108=0,0,1)</f>
        <v>0</v>
      </c>
      <c r="AD108" s="9">
        <f>IF(K108='Part 1'!K108,0,1)</f>
        <v>0</v>
      </c>
      <c r="AE108" s="9">
        <f>IF(L108='Part 1'!L108,0,1)</f>
        <v>0</v>
      </c>
      <c r="AF108" s="9">
        <f>IF(M108='Part 1'!M108,0,1)</f>
        <v>0</v>
      </c>
      <c r="AG108" s="9">
        <f>IF(N108='Part 1'!N108,0,1)</f>
        <v>0</v>
      </c>
      <c r="AH108" s="9">
        <f>IF(O108='Part 1'!O108,0,1)</f>
        <v>0</v>
      </c>
      <c r="AI108" s="9">
        <f>IF(P108='Part 1'!P108,0,1)</f>
        <v>0</v>
      </c>
      <c r="AJ108" s="9">
        <f>IF(Q108='Part 1'!Q108,0,1)</f>
        <v>0</v>
      </c>
      <c r="AK108" s="9">
        <f>IF(R108='Part 1'!R108,0,1)</f>
        <v>0</v>
      </c>
      <c r="AL108" s="9">
        <f>IF(S108='Part 1'!S108,0,1)</f>
        <v>0</v>
      </c>
      <c r="AM108" s="9">
        <f>IF(T108='Part 1'!T108,0,1)</f>
        <v>0</v>
      </c>
      <c r="AN108" s="9">
        <f>IF(U108='Part 1'!U108,0,1)</f>
        <v>0</v>
      </c>
      <c r="AO108" s="9">
        <f>IF(V108='Part 1'!V108,0,1)</f>
        <v>0</v>
      </c>
      <c r="AP108" s="9">
        <f>IF(W108='Part 1'!W108,0,1)</f>
        <v>0</v>
      </c>
      <c r="AQ108" s="1361">
        <f t="shared" si="1"/>
        <v>0</v>
      </c>
      <c r="AR108" s="176"/>
      <c r="AS108" s="176"/>
      <c r="AT108" s="176"/>
      <c r="AU108" s="176"/>
      <c r="AV108" s="176"/>
      <c r="AW108" s="176"/>
    </row>
    <row r="109" spans="1:49" ht="15.75" thickBot="1" x14ac:dyDescent="0.25">
      <c r="A109" s="1208"/>
      <c r="B109" s="1192"/>
      <c r="C109" s="1192"/>
      <c r="D109" s="1192"/>
      <c r="E109" s="1192"/>
      <c r="F109" s="1192"/>
      <c r="G109" s="1192"/>
      <c r="H109" s="1192"/>
      <c r="I109" s="1192"/>
      <c r="J109" s="1192"/>
      <c r="K109" s="1278"/>
      <c r="L109" s="1278"/>
      <c r="M109" s="1278"/>
      <c r="N109" s="1278"/>
      <c r="O109" s="1278"/>
      <c r="P109" s="1278"/>
      <c r="Q109" s="1278"/>
      <c r="R109" s="1278"/>
      <c r="S109" s="1278"/>
      <c r="T109" s="1278"/>
      <c r="U109" s="1278"/>
      <c r="V109" s="1278"/>
      <c r="W109" s="1278"/>
      <c r="X109" s="1278"/>
      <c r="Y109" s="1192"/>
      <c r="Z109" s="1209"/>
      <c r="AB109" s="1224"/>
      <c r="AQ109" s="1361"/>
      <c r="AR109" s="176"/>
      <c r="AS109" s="176"/>
      <c r="AT109" s="176"/>
      <c r="AU109" s="176"/>
      <c r="AV109" s="176"/>
      <c r="AW109" s="176"/>
    </row>
    <row r="110" spans="1:49" ht="16.5" thickBot="1" x14ac:dyDescent="0.25">
      <c r="A110" s="1208"/>
      <c r="B110" s="1192"/>
      <c r="C110" s="1192"/>
      <c r="D110" s="1192" t="s">
        <v>2275</v>
      </c>
      <c r="E110" s="1192"/>
      <c r="F110" s="1192"/>
      <c r="G110" s="1192"/>
      <c r="H110" s="1192"/>
      <c r="I110" s="1192"/>
      <c r="J110" s="1192"/>
      <c r="K110" s="1278"/>
      <c r="L110" s="1278"/>
      <c r="M110" s="1278"/>
      <c r="N110" s="2409">
        <f>+W110-Q110-T110</f>
        <v>0</v>
      </c>
      <c r="O110" s="2410"/>
      <c r="P110" s="1278"/>
      <c r="Q110" s="2409">
        <f>IF(VLOOKUP('Part 1'!$L17,TierSplit!$A$6:$AG$332,10,FALSE)=1,0,ROUND(+'Part 2'!J132*Q92,0)*-1)</f>
        <v>0</v>
      </c>
      <c r="R110" s="2410"/>
      <c r="S110" s="1278"/>
      <c r="T110" s="2409">
        <f>IF(VLOOKUP('Part 1'!$L17,TierSplit!$A$6:$AG$332,10,FALSE)=1,0,ROUND(+'Part 2'!J132*T92,0)*-1)</f>
        <v>0</v>
      </c>
      <c r="U110" s="2410"/>
      <c r="V110" s="1278"/>
      <c r="W110" s="2409">
        <f>+'Part 3'!O54</f>
        <v>0</v>
      </c>
      <c r="X110" s="2410"/>
      <c r="Y110" s="1192"/>
      <c r="Z110" s="1216"/>
      <c r="AB110" s="1224">
        <f>+IF(N110+Q110+T110-W110=0,0,1)</f>
        <v>0</v>
      </c>
      <c r="AD110" s="9">
        <f>IF(K110='Part 1'!K110,0,1)</f>
        <v>0</v>
      </c>
      <c r="AE110" s="9">
        <f>IF(L110='Part 1'!L110,0,1)</f>
        <v>0</v>
      </c>
      <c r="AF110" s="9">
        <f>IF(M110='Part 1'!M110,0,1)</f>
        <v>0</v>
      </c>
      <c r="AG110" s="9">
        <f>IF(N110='Part 1'!N110,0,1)</f>
        <v>0</v>
      </c>
      <c r="AH110" s="9">
        <f>IF(O110='Part 1'!O110,0,1)</f>
        <v>0</v>
      </c>
      <c r="AI110" s="9">
        <f>IF(P110='Part 1'!P110,0,1)</f>
        <v>0</v>
      </c>
      <c r="AJ110" s="9">
        <f>IF(Q110='Part 1'!Q110,0,1)</f>
        <v>0</v>
      </c>
      <c r="AK110" s="9">
        <f>IF(R110='Part 1'!R110,0,1)</f>
        <v>0</v>
      </c>
      <c r="AL110" s="9">
        <f>IF(S110='Part 1'!S110,0,1)</f>
        <v>0</v>
      </c>
      <c r="AM110" s="9">
        <f>IF(T110='Part 1'!T110,0,1)</f>
        <v>0</v>
      </c>
      <c r="AN110" s="9">
        <f>IF(U110='Part 1'!U110,0,1)</f>
        <v>0</v>
      </c>
      <c r="AO110" s="9">
        <f>IF(V110='Part 1'!V110,0,1)</f>
        <v>0</v>
      </c>
      <c r="AP110" s="9">
        <f>IF(W110='Part 1'!W110,0,1)</f>
        <v>0</v>
      </c>
      <c r="AQ110" s="1361">
        <f t="shared" si="1"/>
        <v>0</v>
      </c>
      <c r="AR110" s="176"/>
      <c r="AS110" s="176"/>
      <c r="AT110" s="176"/>
      <c r="AU110" s="176"/>
      <c r="AV110" s="176"/>
      <c r="AW110" s="176"/>
    </row>
    <row r="111" spans="1:49" ht="16.5" thickBot="1" x14ac:dyDescent="0.25">
      <c r="A111" s="1208"/>
      <c r="B111" s="1192"/>
      <c r="C111" s="1192"/>
      <c r="D111" s="1192"/>
      <c r="E111" s="1192"/>
      <c r="F111" s="1192"/>
      <c r="G111" s="1192"/>
      <c r="H111" s="1192"/>
      <c r="I111" s="1192"/>
      <c r="J111" s="1192"/>
      <c r="K111" s="1211"/>
      <c r="L111" s="1211"/>
      <c r="M111" s="1211"/>
      <c r="N111" s="1220"/>
      <c r="O111" s="1211"/>
      <c r="P111" s="1211"/>
      <c r="Q111" s="1220"/>
      <c r="R111" s="1211"/>
      <c r="S111" s="1211"/>
      <c r="T111" s="1220"/>
      <c r="U111" s="1211"/>
      <c r="V111" s="1211"/>
      <c r="W111" s="1211"/>
      <c r="X111" s="1211"/>
      <c r="Y111" s="1192"/>
      <c r="Z111" s="1209"/>
      <c r="AB111" s="1224"/>
      <c r="AQ111" s="1361"/>
      <c r="AR111" s="176"/>
      <c r="AS111" s="176"/>
      <c r="AT111" s="176"/>
      <c r="AU111" s="176"/>
      <c r="AV111" s="176"/>
      <c r="AW111" s="176"/>
    </row>
    <row r="112" spans="1:49" ht="16.5" thickBot="1" x14ac:dyDescent="0.25">
      <c r="A112" s="1208"/>
      <c r="B112" s="1192"/>
      <c r="C112" s="1192"/>
      <c r="D112" s="1192" t="s">
        <v>2276</v>
      </c>
      <c r="E112" s="1192"/>
      <c r="F112" s="1192"/>
      <c r="G112" s="1192"/>
      <c r="H112" s="1192"/>
      <c r="I112" s="1192"/>
      <c r="J112" s="1192"/>
      <c r="K112" s="1211"/>
      <c r="L112" s="1211"/>
      <c r="M112" s="1211"/>
      <c r="N112" s="2418">
        <f>+K43</f>
        <v>0</v>
      </c>
      <c r="O112" s="2419"/>
      <c r="P112" s="1278"/>
      <c r="Q112" s="1278"/>
      <c r="R112" s="1278"/>
      <c r="S112" s="1278"/>
      <c r="T112" s="1278"/>
      <c r="U112" s="1278"/>
      <c r="V112" s="1278"/>
      <c r="W112" s="2418">
        <f>+N112</f>
        <v>0</v>
      </c>
      <c r="X112" s="2419"/>
      <c r="Y112" s="1192"/>
      <c r="Z112" s="1216"/>
      <c r="AB112" s="1224">
        <f>+IF(N112-W112=0,0,1)</f>
        <v>0</v>
      </c>
      <c r="AD112" s="9">
        <f>IF(K112='Part 1'!K112,0,1)</f>
        <v>0</v>
      </c>
      <c r="AE112" s="9">
        <f>IF(L112='Part 1'!L112,0,1)</f>
        <v>0</v>
      </c>
      <c r="AF112" s="9">
        <f>IF(M112='Part 1'!M112,0,1)</f>
        <v>0</v>
      </c>
      <c r="AG112" s="9">
        <f>IF(N112='Part 1'!N112,0,1)</f>
        <v>0</v>
      </c>
      <c r="AH112" s="9">
        <f>IF(O112='Part 1'!O112,0,1)</f>
        <v>0</v>
      </c>
      <c r="AI112" s="9">
        <f>IF(P112='Part 1'!P112,0,1)</f>
        <v>0</v>
      </c>
      <c r="AJ112" s="9">
        <f>IF(Q112='Part 1'!Q112,0,1)</f>
        <v>0</v>
      </c>
      <c r="AK112" s="9">
        <f>IF(R112='Part 1'!R112,0,1)</f>
        <v>0</v>
      </c>
      <c r="AL112" s="9">
        <f>IF(S112='Part 1'!S112,0,1)</f>
        <v>0</v>
      </c>
      <c r="AM112" s="9">
        <f>IF(T112='Part 1'!T112,0,1)</f>
        <v>0</v>
      </c>
      <c r="AN112" s="9">
        <f>IF(U112='Part 1'!U112,0,1)</f>
        <v>0</v>
      </c>
      <c r="AO112" s="9">
        <f>IF(V112='Part 1'!V112,0,1)</f>
        <v>0</v>
      </c>
      <c r="AP112" s="9">
        <f>IF(W112='Part 1'!W112,0,1)</f>
        <v>0</v>
      </c>
      <c r="AQ112" s="1361">
        <f t="shared" si="1"/>
        <v>0</v>
      </c>
      <c r="AR112" s="176"/>
      <c r="AS112" s="176"/>
      <c r="AT112" s="176"/>
      <c r="AU112" s="176"/>
      <c r="AV112" s="176"/>
      <c r="AW112" s="176"/>
    </row>
    <row r="113" spans="1:49" ht="15.75" thickBot="1" x14ac:dyDescent="0.25">
      <c r="A113" s="1208"/>
      <c r="B113" s="1192"/>
      <c r="C113" s="1192"/>
      <c r="D113" s="1225"/>
      <c r="E113" s="1192"/>
      <c r="F113" s="1192"/>
      <c r="G113" s="1192"/>
      <c r="H113" s="1192"/>
      <c r="I113" s="1192"/>
      <c r="J113" s="1192"/>
      <c r="K113" s="1211"/>
      <c r="L113" s="1211"/>
      <c r="M113" s="1211"/>
      <c r="N113" s="1211"/>
      <c r="O113" s="1211"/>
      <c r="P113" s="1211"/>
      <c r="Q113" s="1211"/>
      <c r="R113" s="1211"/>
      <c r="S113" s="1211"/>
      <c r="T113" s="1211"/>
      <c r="U113" s="1211"/>
      <c r="V113" s="1211"/>
      <c r="W113" s="1211"/>
      <c r="X113" s="1211"/>
      <c r="Y113" s="1192"/>
      <c r="Z113" s="1209"/>
      <c r="AB113" s="1224"/>
      <c r="AQ113" s="1361"/>
      <c r="AR113" s="176"/>
      <c r="AS113" s="176"/>
      <c r="AT113" s="176"/>
      <c r="AU113" s="176"/>
      <c r="AV113" s="176"/>
      <c r="AW113" s="176"/>
    </row>
    <row r="114" spans="1:49" ht="16.5" thickBot="1" x14ac:dyDescent="0.25">
      <c r="A114" s="1208"/>
      <c r="B114" s="1192"/>
      <c r="C114" s="1192"/>
      <c r="D114" s="1192" t="s">
        <v>2277</v>
      </c>
      <c r="E114" s="1192"/>
      <c r="F114" s="1192"/>
      <c r="G114" s="1192"/>
      <c r="H114" s="1192"/>
      <c r="I114" s="1192"/>
      <c r="J114" s="1192"/>
      <c r="M114" s="1211"/>
      <c r="N114" s="2415">
        <f>ROUND(+W114*N92*2,0)</f>
        <v>0</v>
      </c>
      <c r="O114" s="2416"/>
      <c r="P114" s="1278"/>
      <c r="Q114" s="2415">
        <f>ROUND(+W114*Q92*2,0)</f>
        <v>0</v>
      </c>
      <c r="R114" s="2416"/>
      <c r="S114" s="1278"/>
      <c r="T114" s="2415">
        <f>ROUND(+W114*T92*2,0)</f>
        <v>0</v>
      </c>
      <c r="U114" s="2416"/>
      <c r="V114" s="1278"/>
      <c r="W114" s="2415">
        <f>+'Part 3'!O62</f>
        <v>0</v>
      </c>
      <c r="X114" s="2416"/>
      <c r="Y114" s="1192"/>
      <c r="Z114" s="1209"/>
      <c r="AB114" s="1224">
        <f>+IF(N114+Q114+T114-W114=0,0,1)</f>
        <v>0</v>
      </c>
      <c r="AD114" s="9">
        <f>IF(K114='Part 1'!K114,0,1)</f>
        <v>0</v>
      </c>
      <c r="AE114" s="9">
        <f>IF(L114='Part 1'!L114,0,1)</f>
        <v>0</v>
      </c>
      <c r="AF114" s="9">
        <f>IF(M114='Part 1'!M114,0,1)</f>
        <v>0</v>
      </c>
      <c r="AG114" s="9">
        <f>IF(N114='Part 1'!N114,0,1)</f>
        <v>0</v>
      </c>
      <c r="AH114" s="9">
        <f>IF(O114='Part 1'!O114,0,1)</f>
        <v>0</v>
      </c>
      <c r="AI114" s="9">
        <f>IF(P114='Part 1'!P114,0,1)</f>
        <v>0</v>
      </c>
      <c r="AJ114" s="9">
        <f>IF(Q114='Part 1'!Q114,0,1)</f>
        <v>0</v>
      </c>
      <c r="AK114" s="9">
        <f>IF(R114='Part 1'!R114,0,1)</f>
        <v>0</v>
      </c>
      <c r="AL114" s="9">
        <f>IF(S114='Part 1'!S114,0,1)</f>
        <v>0</v>
      </c>
      <c r="AM114" s="9">
        <f>IF(T114='Part 1'!T114,0,1)</f>
        <v>0</v>
      </c>
      <c r="AN114" s="9">
        <f>IF(U114='Part 1'!U114,0,1)</f>
        <v>0</v>
      </c>
      <c r="AO114" s="9">
        <f>IF(V114='Part 1'!V114,0,1)</f>
        <v>0</v>
      </c>
      <c r="AP114" s="9">
        <f>IF(W114='Part 1'!W114,0,1)</f>
        <v>0</v>
      </c>
      <c r="AQ114" s="1361">
        <f t="shared" si="1"/>
        <v>0</v>
      </c>
      <c r="AR114" s="176"/>
      <c r="AS114" s="176"/>
      <c r="AT114" s="176"/>
      <c r="AU114" s="176"/>
      <c r="AV114" s="176"/>
      <c r="AW114" s="176"/>
    </row>
    <row r="115" spans="1:49" ht="16.5" thickBot="1" x14ac:dyDescent="0.25">
      <c r="A115" s="1208"/>
      <c r="B115" s="1192"/>
      <c r="C115" s="1192"/>
      <c r="D115" s="1192"/>
      <c r="E115" s="1192"/>
      <c r="F115" s="1192"/>
      <c r="G115" s="1192"/>
      <c r="H115" s="1192"/>
      <c r="I115" s="1192"/>
      <c r="J115" s="1192"/>
      <c r="K115" s="1211"/>
      <c r="L115" s="1211"/>
      <c r="M115" s="1211"/>
      <c r="N115" s="1220"/>
      <c r="O115" s="1211"/>
      <c r="P115" s="1211"/>
      <c r="Q115" s="1220"/>
      <c r="R115" s="1211"/>
      <c r="S115" s="1211"/>
      <c r="T115" s="1220"/>
      <c r="U115" s="1211"/>
      <c r="V115" s="1211"/>
      <c r="W115" s="1220"/>
      <c r="X115" s="1211"/>
      <c r="Y115" s="1192"/>
      <c r="Z115" s="1209"/>
      <c r="AB115" s="1224"/>
      <c r="AQ115" s="1361"/>
      <c r="AR115" s="176"/>
      <c r="AS115" s="176"/>
      <c r="AT115" s="176"/>
      <c r="AU115" s="176"/>
      <c r="AV115" s="176"/>
      <c r="AW115" s="176"/>
    </row>
    <row r="116" spans="1:49" ht="16.5" thickBot="1" x14ac:dyDescent="0.25">
      <c r="A116" s="1208"/>
      <c r="B116" s="1192"/>
      <c r="C116" s="1192"/>
      <c r="D116" s="1192" t="s">
        <v>2278</v>
      </c>
      <c r="E116" s="1192"/>
      <c r="F116" s="1192"/>
      <c r="G116" s="1192"/>
      <c r="H116" s="1192"/>
      <c r="I116" s="1192"/>
      <c r="J116" s="1192"/>
      <c r="K116" s="1211"/>
      <c r="L116" s="1211"/>
      <c r="M116" s="1211"/>
      <c r="N116" s="2415">
        <f>+W116</f>
        <v>0</v>
      </c>
      <c r="O116" s="2416"/>
      <c r="P116" s="1278"/>
      <c r="Q116" s="2417"/>
      <c r="R116" s="2417"/>
      <c r="S116" s="1278"/>
      <c r="T116" s="2417"/>
      <c r="U116" s="2417"/>
      <c r="V116" s="1278"/>
      <c r="W116" s="2415">
        <f>'Part 3'!O66</f>
        <v>0</v>
      </c>
      <c r="X116" s="2416"/>
      <c r="Y116" s="1192"/>
      <c r="Z116" s="1209"/>
      <c r="AB116" s="1224">
        <f>+IF(N116-W116=0,0,1)</f>
        <v>0</v>
      </c>
      <c r="AD116" s="9">
        <f>IF(K116='Part 1'!K116,0,1)</f>
        <v>0</v>
      </c>
      <c r="AE116" s="9">
        <f>IF(L116='Part 1'!L116,0,1)</f>
        <v>0</v>
      </c>
      <c r="AF116" s="9">
        <f>IF(M116='Part 1'!M116,0,1)</f>
        <v>0</v>
      </c>
      <c r="AG116" s="9">
        <f>IF(N116='Part 1'!N116,0,1)</f>
        <v>0</v>
      </c>
      <c r="AH116" s="9">
        <f>IF(O116='Part 1'!O116,0,1)</f>
        <v>0</v>
      </c>
      <c r="AI116" s="9">
        <f>IF(P116='Part 1'!P116,0,1)</f>
        <v>0</v>
      </c>
      <c r="AJ116" s="9">
        <f>IF(Q116='Part 1'!Q116,0,1)</f>
        <v>0</v>
      </c>
      <c r="AK116" s="9">
        <f>IF(R116='Part 1'!R116,0,1)</f>
        <v>0</v>
      </c>
      <c r="AL116" s="9">
        <f>IF(S116='Part 1'!S116,0,1)</f>
        <v>0</v>
      </c>
      <c r="AM116" s="9">
        <f>IF(T116='Part 1'!T116,0,1)</f>
        <v>0</v>
      </c>
      <c r="AN116" s="9">
        <f>IF(U116='Part 1'!U116,0,1)</f>
        <v>0</v>
      </c>
      <c r="AO116" s="9">
        <f>IF(V116='Part 1'!V116,0,1)</f>
        <v>0</v>
      </c>
      <c r="AP116" s="9">
        <f>IF(W116='Part 1'!W116,0,1)</f>
        <v>0</v>
      </c>
      <c r="AQ116" s="1361">
        <f t="shared" si="1"/>
        <v>0</v>
      </c>
      <c r="AR116" s="176"/>
      <c r="AS116" s="176"/>
      <c r="AT116" s="176"/>
      <c r="AU116" s="176"/>
      <c r="AV116" s="176"/>
      <c r="AW116" s="176"/>
    </row>
    <row r="117" spans="1:49" ht="15.75" x14ac:dyDescent="0.2">
      <c r="A117" s="1208"/>
      <c r="B117" s="1192"/>
      <c r="C117" s="1192"/>
      <c r="D117" s="1192"/>
      <c r="E117" s="1192"/>
      <c r="F117" s="1192"/>
      <c r="G117" s="1192"/>
      <c r="H117" s="1192"/>
      <c r="I117" s="1192"/>
      <c r="J117" s="1192"/>
      <c r="K117" s="1211"/>
      <c r="L117" s="1211"/>
      <c r="M117" s="1211"/>
      <c r="N117" s="1220"/>
      <c r="O117" s="1211"/>
      <c r="P117" s="1211"/>
      <c r="Q117" s="1220"/>
      <c r="R117" s="1211"/>
      <c r="S117" s="1211"/>
      <c r="T117" s="1220"/>
      <c r="U117" s="1211"/>
      <c r="V117" s="1211"/>
      <c r="W117" s="1220"/>
      <c r="X117" s="1211"/>
      <c r="Y117" s="1192"/>
      <c r="Z117" s="1209"/>
      <c r="AB117" s="1224"/>
      <c r="AQ117" s="1361"/>
      <c r="AR117" s="176"/>
      <c r="AS117" s="176"/>
      <c r="AT117" s="176"/>
      <c r="AU117" s="176"/>
      <c r="AV117" s="176"/>
      <c r="AW117" s="176"/>
    </row>
    <row r="118" spans="1:49" ht="16.5" thickBot="1" x14ac:dyDescent="0.3">
      <c r="A118" s="1208"/>
      <c r="B118" s="1192"/>
      <c r="C118" s="1271" t="s">
        <v>41</v>
      </c>
      <c r="D118" s="1192"/>
      <c r="E118" s="1192"/>
      <c r="F118" s="1192"/>
      <c r="G118" s="1192"/>
      <c r="H118" s="1192"/>
      <c r="I118" s="1192"/>
      <c r="J118" s="1192"/>
      <c r="K118" s="2406" t="s">
        <v>786</v>
      </c>
      <c r="L118" s="2406"/>
      <c r="M118" s="1800"/>
      <c r="N118" s="2406" t="s">
        <v>786</v>
      </c>
      <c r="O118" s="2406"/>
      <c r="P118" s="1211"/>
      <c r="Q118" s="2406" t="s">
        <v>786</v>
      </c>
      <c r="R118" s="2406"/>
      <c r="S118" s="1211"/>
      <c r="T118" s="2406" t="s">
        <v>786</v>
      </c>
      <c r="U118" s="2406"/>
      <c r="V118" s="1800"/>
      <c r="W118" s="2406" t="s">
        <v>786</v>
      </c>
      <c r="X118" s="2406"/>
      <c r="Y118" s="1192"/>
      <c r="Z118" s="1209"/>
      <c r="AB118" s="1224"/>
      <c r="AQ118" s="1361"/>
      <c r="AR118" s="176"/>
      <c r="AS118" s="176"/>
      <c r="AT118" s="176"/>
      <c r="AU118" s="176"/>
      <c r="AV118" s="176"/>
      <c r="AW118" s="176"/>
    </row>
    <row r="119" spans="1:49" ht="16.5" customHeight="1" thickBot="1" x14ac:dyDescent="0.25">
      <c r="A119" s="1208"/>
      <c r="B119" s="1192"/>
      <c r="C119" s="1192"/>
      <c r="D119" s="2408" t="s">
        <v>2279</v>
      </c>
      <c r="E119" s="2408"/>
      <c r="F119" s="2408"/>
      <c r="G119" s="2408"/>
      <c r="H119" s="2408"/>
      <c r="I119" s="2408"/>
      <c r="J119" s="1192"/>
      <c r="K119" s="2411">
        <f>W119-T119-Q119-N119</f>
        <v>1</v>
      </c>
      <c r="L119" s="2412"/>
      <c r="M119" s="1220"/>
      <c r="N119" s="2411">
        <f>VLOOKUP($L$17,TierSplit!$A$6:$AG$332,12,FALSE)</f>
        <v>0</v>
      </c>
      <c r="O119" s="2412"/>
      <c r="P119" s="1220"/>
      <c r="Q119" s="2413">
        <f>VLOOKUP($L$17,TierSplit!$A$6:$AG$332,15,FALSE)</f>
        <v>0</v>
      </c>
      <c r="R119" s="2414"/>
      <c r="S119" s="1220"/>
      <c r="T119" s="2413">
        <f>VLOOKUP($L$17,TierSplit!$A$6:$AG$332,18,FALSE)</f>
        <v>0</v>
      </c>
      <c r="U119" s="2414"/>
      <c r="V119" s="1211"/>
      <c r="W119" s="2413">
        <f>1</f>
        <v>1</v>
      </c>
      <c r="X119" s="2414"/>
      <c r="Y119" s="1192"/>
      <c r="Z119" s="1209"/>
      <c r="AB119" s="1224"/>
      <c r="AD119" s="9">
        <f>IF(K119='Part 1'!K119,0,1)</f>
        <v>0</v>
      </c>
      <c r="AE119" s="9">
        <f>IF(L119='Part 1'!L119,0,1)</f>
        <v>0</v>
      </c>
      <c r="AF119" s="9">
        <f>IF(M119='Part 1'!M119,0,1)</f>
        <v>0</v>
      </c>
      <c r="AG119" s="9">
        <f>IF(N119='Part 1'!N119,0,1)</f>
        <v>0</v>
      </c>
      <c r="AH119" s="9">
        <f>IF(O119='Part 1'!O119,0,1)</f>
        <v>0</v>
      </c>
      <c r="AI119" s="9">
        <f>IF(P119='Part 1'!P119,0,1)</f>
        <v>0</v>
      </c>
      <c r="AJ119" s="9">
        <f>IF(Q119='Part 1'!Q119,0,1)</f>
        <v>0</v>
      </c>
      <c r="AK119" s="9">
        <f>IF(R119='Part 1'!R119,0,1)</f>
        <v>0</v>
      </c>
      <c r="AL119" s="9">
        <f>IF(S119='Part 1'!S119,0,1)</f>
        <v>0</v>
      </c>
      <c r="AM119" s="9">
        <f>IF(T119='Part 1'!T119,0,1)</f>
        <v>0</v>
      </c>
      <c r="AN119" s="9">
        <f>IF(U119='Part 1'!U119,0,1)</f>
        <v>0</v>
      </c>
      <c r="AO119" s="9">
        <f>IF(V119='Part 1'!V119,0,1)</f>
        <v>0</v>
      </c>
      <c r="AP119" s="9">
        <f>IF(W119='Part 1'!W119,0,1)</f>
        <v>0</v>
      </c>
      <c r="AQ119" s="1361">
        <f t="shared" si="1"/>
        <v>0</v>
      </c>
      <c r="AR119" s="177"/>
      <c r="AS119" s="177"/>
      <c r="AT119" s="177"/>
      <c r="AU119" s="177"/>
      <c r="AV119" s="177"/>
      <c r="AW119" s="177"/>
    </row>
    <row r="120" spans="1:49" ht="15.75" x14ac:dyDescent="0.2">
      <c r="A120" s="1208"/>
      <c r="B120" s="1192"/>
      <c r="C120" s="1192"/>
      <c r="D120" s="2408"/>
      <c r="E120" s="2408"/>
      <c r="F120" s="2408"/>
      <c r="G120" s="2408"/>
      <c r="H120" s="2408"/>
      <c r="I120" s="2408"/>
      <c r="J120" s="1192"/>
      <c r="K120" s="1796"/>
      <c r="L120" s="1796"/>
      <c r="M120" s="1800"/>
      <c r="N120" s="1796"/>
      <c r="O120" s="1796"/>
      <c r="P120" s="1211"/>
      <c r="Q120" s="1796"/>
      <c r="R120" s="1796"/>
      <c r="S120" s="1211"/>
      <c r="T120" s="1796"/>
      <c r="U120" s="1796"/>
      <c r="V120" s="1800"/>
      <c r="W120" s="1796"/>
      <c r="X120" s="1796"/>
      <c r="Y120" s="1192"/>
      <c r="Z120" s="1209"/>
      <c r="AB120" s="1224"/>
      <c r="AQ120" s="1361"/>
      <c r="AR120" s="177"/>
      <c r="AS120" s="177"/>
      <c r="AT120" s="177"/>
      <c r="AU120" s="177"/>
      <c r="AV120" s="177"/>
      <c r="AW120" s="177"/>
    </row>
    <row r="121" spans="1:49" ht="16.5" thickBot="1" x14ac:dyDescent="0.25">
      <c r="A121" s="1208"/>
      <c r="B121" s="1192"/>
      <c r="C121" s="1192"/>
      <c r="D121" s="1192"/>
      <c r="E121" s="1192"/>
      <c r="F121" s="1192"/>
      <c r="G121" s="1192"/>
      <c r="H121" s="1192"/>
      <c r="I121" s="1192"/>
      <c r="J121" s="1192"/>
      <c r="K121" s="1796"/>
      <c r="L121" s="1796"/>
      <c r="M121" s="1800"/>
      <c r="N121" s="1796"/>
      <c r="O121" s="1796"/>
      <c r="P121" s="1211"/>
      <c r="Q121" s="1796"/>
      <c r="R121" s="1796"/>
      <c r="S121" s="1211"/>
      <c r="T121" s="1796"/>
      <c r="U121" s="1796"/>
      <c r="V121" s="1800"/>
      <c r="W121" s="1796"/>
      <c r="X121" s="1796"/>
      <c r="Y121" s="1192"/>
      <c r="Z121" s="1209"/>
      <c r="AB121" s="1224"/>
      <c r="AQ121" s="1361"/>
      <c r="AR121" s="177"/>
      <c r="AS121" s="177"/>
      <c r="AT121" s="177"/>
      <c r="AU121" s="177"/>
      <c r="AV121" s="177"/>
      <c r="AW121" s="177"/>
    </row>
    <row r="122" spans="1:49" ht="16.5" thickBot="1" x14ac:dyDescent="0.25">
      <c r="A122" s="1208"/>
      <c r="B122" s="1192"/>
      <c r="C122" s="1192"/>
      <c r="D122" s="1192" t="s">
        <v>2261</v>
      </c>
      <c r="E122" s="1192"/>
      <c r="F122" s="1192"/>
      <c r="G122" s="1192"/>
      <c r="H122" s="1192"/>
      <c r="I122" s="1192"/>
      <c r="J122" s="1192"/>
      <c r="K122" s="2409">
        <f>ROUND(+W122-T122-Q122-N122,0)</f>
        <v>0</v>
      </c>
      <c r="L122" s="2410"/>
      <c r="M122" s="1278"/>
      <c r="N122" s="2409">
        <f>ROUND(+W122*N119,0)</f>
        <v>0</v>
      </c>
      <c r="O122" s="2410"/>
      <c r="P122" s="1278"/>
      <c r="Q122" s="2409">
        <f>ROUND(+W122*Q119,0)</f>
        <v>0</v>
      </c>
      <c r="R122" s="2410"/>
      <c r="S122" s="1278"/>
      <c r="T122" s="2409">
        <f>ROUND(+W122*T119,0)</f>
        <v>0</v>
      </c>
      <c r="U122" s="2410"/>
      <c r="V122" s="1278"/>
      <c r="W122" s="2409">
        <f>+'Part 4'!L63</f>
        <v>0</v>
      </c>
      <c r="X122" s="2410"/>
      <c r="Y122" s="1192"/>
      <c r="Z122" s="1216"/>
      <c r="AB122" s="1224">
        <f>+IF(K122+N122+Q122+T122-W122=0,0,1)</f>
        <v>0</v>
      </c>
      <c r="AD122" s="9">
        <f>IF(K122='Part 1'!K122,0,1)</f>
        <v>0</v>
      </c>
      <c r="AE122" s="9">
        <f>IF(L122='Part 1'!L122,0,1)</f>
        <v>0</v>
      </c>
      <c r="AF122" s="9">
        <f>IF(M122='Part 1'!M122,0,1)</f>
        <v>0</v>
      </c>
      <c r="AG122" s="9">
        <f>IF(N122='Part 1'!N122,0,1)</f>
        <v>0</v>
      </c>
      <c r="AH122" s="9">
        <f>IF(O122='Part 1'!O122,0,1)</f>
        <v>0</v>
      </c>
      <c r="AI122" s="9">
        <f>IF(P122='Part 1'!P122,0,1)</f>
        <v>0</v>
      </c>
      <c r="AJ122" s="9">
        <f>IF(Q122='Part 1'!Q122,0,1)</f>
        <v>0</v>
      </c>
      <c r="AK122" s="9">
        <f>IF(R122='Part 1'!R122,0,1)</f>
        <v>0</v>
      </c>
      <c r="AL122" s="9">
        <f>IF(S122='Part 1'!S122,0,1)</f>
        <v>0</v>
      </c>
      <c r="AM122" s="9">
        <f>IF(T122='Part 1'!T122,0,1)</f>
        <v>0</v>
      </c>
      <c r="AN122" s="9">
        <f>IF(U122='Part 1'!U122,0,1)</f>
        <v>0</v>
      </c>
      <c r="AO122" s="9">
        <f>IF(V122='Part 1'!V122,0,1)</f>
        <v>0</v>
      </c>
      <c r="AP122" s="9">
        <f>IF(W122='Part 1'!W122,0,1)</f>
        <v>0</v>
      </c>
      <c r="AQ122" s="1361">
        <f t="shared" si="1"/>
        <v>0</v>
      </c>
      <c r="AR122" s="176"/>
      <c r="AS122" s="176"/>
      <c r="AT122" s="176"/>
      <c r="AU122" s="176"/>
      <c r="AV122" s="176"/>
      <c r="AW122" s="176"/>
    </row>
    <row r="123" spans="1:49" ht="15.75" thickBot="1" x14ac:dyDescent="0.25">
      <c r="A123" s="1208"/>
      <c r="B123" s="1192"/>
      <c r="C123" s="1192"/>
      <c r="D123" s="1192"/>
      <c r="E123" s="1192"/>
      <c r="F123" s="1192"/>
      <c r="G123" s="1192"/>
      <c r="H123" s="1192"/>
      <c r="I123" s="1192"/>
      <c r="J123" s="1192"/>
      <c r="K123" s="1278"/>
      <c r="L123" s="1278"/>
      <c r="M123" s="1278"/>
      <c r="N123" s="1278"/>
      <c r="O123" s="1278"/>
      <c r="P123" s="1278"/>
      <c r="Q123" s="1278"/>
      <c r="R123" s="1278"/>
      <c r="S123" s="1278"/>
      <c r="T123" s="1278"/>
      <c r="U123" s="1278"/>
      <c r="V123" s="1278"/>
      <c r="W123" s="1278"/>
      <c r="X123" s="1278"/>
      <c r="Y123" s="1192"/>
      <c r="Z123" s="1209"/>
      <c r="AB123" s="1224"/>
      <c r="AQ123" s="1361"/>
      <c r="AR123" s="176"/>
      <c r="AS123" s="176"/>
      <c r="AT123" s="176"/>
      <c r="AU123" s="176"/>
      <c r="AV123" s="176"/>
      <c r="AW123" s="176"/>
    </row>
    <row r="124" spans="1:49" x14ac:dyDescent="0.2">
      <c r="A124" s="1208"/>
      <c r="B124" s="1282"/>
      <c r="C124" s="1283"/>
      <c r="D124" s="1283"/>
      <c r="E124" s="1283"/>
      <c r="F124" s="1283"/>
      <c r="G124" s="1283"/>
      <c r="H124" s="1283"/>
      <c r="I124" s="1283"/>
      <c r="J124" s="1283"/>
      <c r="K124" s="1284"/>
      <c r="L124" s="1284"/>
      <c r="M124" s="1284"/>
      <c r="N124" s="1284"/>
      <c r="O124" s="1284"/>
      <c r="P124" s="1284"/>
      <c r="Q124" s="1284"/>
      <c r="R124" s="1284"/>
      <c r="S124" s="1284"/>
      <c r="T124" s="1284"/>
      <c r="U124" s="1284"/>
      <c r="V124" s="1284"/>
      <c r="W124" s="1284"/>
      <c r="X124" s="1284"/>
      <c r="Y124" s="1285"/>
      <c r="Z124" s="1209"/>
      <c r="AB124" s="1224"/>
      <c r="AQ124" s="1361"/>
      <c r="AR124" s="176"/>
      <c r="AS124" s="176"/>
      <c r="AT124" s="176"/>
      <c r="AU124" s="176"/>
      <c r="AV124" s="176"/>
      <c r="AW124" s="176"/>
    </row>
    <row r="125" spans="1:49" ht="16.5" thickBot="1" x14ac:dyDescent="0.3">
      <c r="A125" s="1208"/>
      <c r="B125" s="1286"/>
      <c r="C125" s="1271" t="s">
        <v>808</v>
      </c>
      <c r="D125" s="1192"/>
      <c r="E125" s="1192"/>
      <c r="F125" s="1192"/>
      <c r="G125" s="1192"/>
      <c r="H125" s="1192"/>
      <c r="I125" s="1192"/>
      <c r="J125" s="1192"/>
      <c r="K125" s="2420" t="s">
        <v>786</v>
      </c>
      <c r="L125" s="2420"/>
      <c r="M125" s="1278"/>
      <c r="N125" s="2420" t="s">
        <v>786</v>
      </c>
      <c r="O125" s="2420"/>
      <c r="P125" s="1278"/>
      <c r="Q125" s="2420" t="s">
        <v>786</v>
      </c>
      <c r="R125" s="2420"/>
      <c r="S125" s="1278"/>
      <c r="T125" s="2420" t="s">
        <v>786</v>
      </c>
      <c r="U125" s="2420"/>
      <c r="V125" s="1278"/>
      <c r="W125" s="2420" t="s">
        <v>786</v>
      </c>
      <c r="X125" s="2420"/>
      <c r="Y125" s="1287"/>
      <c r="Z125" s="1209"/>
      <c r="AB125" s="1224"/>
      <c r="AQ125" s="1361"/>
      <c r="AR125" s="176"/>
      <c r="AS125" s="176"/>
      <c r="AT125" s="176"/>
      <c r="AU125" s="176"/>
      <c r="AV125" s="176"/>
      <c r="AW125" s="176"/>
    </row>
    <row r="126" spans="1:49" ht="16.5" thickBot="1" x14ac:dyDescent="0.25">
      <c r="A126" s="1208"/>
      <c r="B126" s="1286"/>
      <c r="C126" s="1192" t="s">
        <v>2262</v>
      </c>
      <c r="D126" s="1192"/>
      <c r="E126" s="1192"/>
      <c r="F126" s="1192"/>
      <c r="G126" s="1192"/>
      <c r="H126" s="1192"/>
      <c r="I126" s="1192"/>
      <c r="J126" s="1192"/>
      <c r="K126" s="2409" t="e">
        <f>ROUND(+K101+K122,0)</f>
        <v>#N/A</v>
      </c>
      <c r="L126" s="2410"/>
      <c r="M126" s="1278"/>
      <c r="N126" s="2409" t="e">
        <f>ROUND(+N101+N104+N106+N108+N110+N112+N114+N116+N122,0)</f>
        <v>#N/A</v>
      </c>
      <c r="O126" s="2410"/>
      <c r="P126" s="1278"/>
      <c r="Q126" s="2409" t="e">
        <f>ROUND(+Q101+Q108+Q110+Q114+Q122,0)</f>
        <v>#N/A</v>
      </c>
      <c r="R126" s="2410"/>
      <c r="S126" s="1278"/>
      <c r="T126" s="2409" t="e">
        <f>ROUND(+T101+T110+T114+T122,0)</f>
        <v>#N/A</v>
      </c>
      <c r="U126" s="2410"/>
      <c r="V126" s="1278"/>
      <c r="W126" s="2409" t="e">
        <f>ROUND(+W101+W104+W106+W108+W110+W112+W114+W116+W122,0)</f>
        <v>#N/A</v>
      </c>
      <c r="X126" s="2410"/>
      <c r="Y126" s="1287"/>
      <c r="Z126" s="1216"/>
      <c r="AB126" s="1227" t="e">
        <f>IF(AND(K92=0,K56-N96-Q96-T96&lt;&gt;0),0,+IF(K126+N126+Q126+T126-W126=0,0,1))</f>
        <v>#N/A</v>
      </c>
      <c r="AC126" s="176"/>
      <c r="AD126" s="9" t="e">
        <f>IF(K126='Part 1'!K126,0,1)</f>
        <v>#N/A</v>
      </c>
      <c r="AE126" s="9">
        <f>IF(L126='Part 1'!L126,0,1)</f>
        <v>0</v>
      </c>
      <c r="AF126" s="9">
        <f>IF(M126='Part 1'!M126,0,1)</f>
        <v>0</v>
      </c>
      <c r="AG126" s="9" t="e">
        <f>IF(N126='Part 1'!N126,0,1)</f>
        <v>#N/A</v>
      </c>
      <c r="AH126" s="9">
        <f>IF(O126='Part 1'!O126,0,1)</f>
        <v>0</v>
      </c>
      <c r="AI126" s="9">
        <f>IF(P126='Part 1'!P126,0,1)</f>
        <v>0</v>
      </c>
      <c r="AJ126" s="9" t="e">
        <f>IF(Q126='Part 1'!Q126,0,1)</f>
        <v>#N/A</v>
      </c>
      <c r="AK126" s="9">
        <f>IF(R126='Part 1'!R126,0,1)</f>
        <v>0</v>
      </c>
      <c r="AL126" s="9">
        <f>IF(S126='Part 1'!S126,0,1)</f>
        <v>0</v>
      </c>
      <c r="AM126" s="9" t="e">
        <f>IF(T126='Part 1'!T126,0,1)</f>
        <v>#N/A</v>
      </c>
      <c r="AN126" s="9">
        <f>IF(U126='Part 1'!U126,0,1)</f>
        <v>0</v>
      </c>
      <c r="AO126" s="9">
        <f>IF(V126='Part 1'!V126,0,1)</f>
        <v>0</v>
      </c>
      <c r="AP126" s="9" t="e">
        <f>IF(W126='Part 1'!W126,0,1)</f>
        <v>#N/A</v>
      </c>
      <c r="AQ126" s="1361" t="e">
        <f t="shared" si="1"/>
        <v>#N/A</v>
      </c>
      <c r="AR126" s="176"/>
      <c r="AS126" s="176"/>
      <c r="AT126" s="176"/>
      <c r="AU126" s="176"/>
      <c r="AV126" s="176"/>
      <c r="AW126" s="176"/>
    </row>
    <row r="127" spans="1:49" ht="15.75" thickBot="1" x14ac:dyDescent="0.25">
      <c r="A127" s="1208"/>
      <c r="B127" s="1288"/>
      <c r="C127" s="1289"/>
      <c r="D127" s="1289"/>
      <c r="E127" s="1289"/>
      <c r="F127" s="1289"/>
      <c r="G127" s="1289"/>
      <c r="H127" s="1289"/>
      <c r="I127" s="1289"/>
      <c r="J127" s="1289"/>
      <c r="K127" s="1289"/>
      <c r="L127" s="1289"/>
      <c r="M127" s="1289"/>
      <c r="N127" s="1289"/>
      <c r="O127" s="1289"/>
      <c r="P127" s="1289"/>
      <c r="Q127" s="1289"/>
      <c r="R127" s="1289"/>
      <c r="S127" s="1289"/>
      <c r="T127" s="1289"/>
      <c r="U127" s="1289"/>
      <c r="V127" s="1289"/>
      <c r="W127" s="1289"/>
      <c r="X127" s="1289"/>
      <c r="Y127" s="1290"/>
      <c r="Z127" s="1209"/>
      <c r="AB127" s="1275"/>
      <c r="AQ127" s="1361"/>
      <c r="AR127" s="176"/>
      <c r="AS127" s="176"/>
      <c r="AT127" s="176"/>
      <c r="AU127" s="176"/>
      <c r="AV127" s="176"/>
      <c r="AW127" s="176"/>
    </row>
    <row r="128" spans="1:49" x14ac:dyDescent="0.2">
      <c r="A128" s="1208"/>
      <c r="B128" s="1192"/>
      <c r="C128" s="1192"/>
      <c r="D128" s="1192"/>
      <c r="E128" s="1192"/>
      <c r="F128" s="1192"/>
      <c r="G128" s="1192"/>
      <c r="H128" s="1192"/>
      <c r="I128" s="1192"/>
      <c r="J128" s="1192"/>
      <c r="K128" s="1192"/>
      <c r="L128" s="1192"/>
      <c r="M128" s="1192"/>
      <c r="N128" s="1192"/>
      <c r="O128" s="1192"/>
      <c r="P128" s="1192"/>
      <c r="Q128" s="1192"/>
      <c r="R128" s="1192"/>
      <c r="S128" s="1192"/>
      <c r="T128" s="1192"/>
      <c r="U128" s="1192"/>
      <c r="V128" s="1192"/>
      <c r="W128" s="1192"/>
      <c r="X128" s="1192"/>
      <c r="Y128" s="1192"/>
      <c r="Z128" s="1209"/>
      <c r="AB128" s="1275"/>
      <c r="AQ128" s="1361"/>
      <c r="AR128" s="176"/>
      <c r="AS128" s="176"/>
      <c r="AT128" s="176"/>
      <c r="AU128" s="176"/>
      <c r="AV128" s="176"/>
      <c r="AW128" s="176"/>
    </row>
    <row r="129" spans="1:49" x14ac:dyDescent="0.2">
      <c r="A129" s="1238"/>
      <c r="B129" s="1239"/>
      <c r="C129" s="1239"/>
      <c r="D129" s="1239"/>
      <c r="E129" s="1239"/>
      <c r="F129" s="1239"/>
      <c r="G129" s="1239"/>
      <c r="H129" s="1239"/>
      <c r="I129" s="1239"/>
      <c r="J129" s="1239"/>
      <c r="K129" s="1239"/>
      <c r="L129" s="1239"/>
      <c r="M129" s="1239"/>
      <c r="N129" s="1239"/>
      <c r="O129" s="1239"/>
      <c r="P129" s="1239"/>
      <c r="Q129" s="1239"/>
      <c r="R129" s="1239"/>
      <c r="S129" s="1239"/>
      <c r="T129" s="1239"/>
      <c r="U129" s="1239"/>
      <c r="V129" s="1239"/>
      <c r="W129" s="1239"/>
      <c r="X129" s="1239"/>
      <c r="Y129" s="1239"/>
      <c r="Z129" s="1245"/>
      <c r="AB129" s="1275"/>
      <c r="AQ129" s="1361"/>
      <c r="AR129" s="176"/>
      <c r="AS129" s="176"/>
      <c r="AT129" s="176"/>
      <c r="AU129" s="176"/>
      <c r="AV129" s="176"/>
      <c r="AW129" s="176"/>
    </row>
    <row r="130" spans="1:49" ht="15.75" x14ac:dyDescent="0.25">
      <c r="A130" s="1291"/>
      <c r="B130" s="1292"/>
      <c r="C130" s="1293" t="e">
        <f>+IF(B151=0,"","Please investigate the error messages shown below and make the appropriate changes to the form.  Any comments should be added at the bottom of Part 4")</f>
        <v>#N/A</v>
      </c>
      <c r="D130" s="1293"/>
      <c r="E130" s="1293"/>
      <c r="F130" s="1293"/>
      <c r="G130" s="1293"/>
      <c r="H130" s="1293"/>
      <c r="I130" s="1293"/>
      <c r="J130" s="1293"/>
      <c r="K130" s="1293"/>
      <c r="L130" s="1294"/>
      <c r="M130" s="1294"/>
      <c r="N130" s="1294"/>
      <c r="O130" s="1294"/>
      <c r="P130" s="1294"/>
      <c r="Q130" s="1294"/>
      <c r="R130" s="1294"/>
      <c r="S130" s="1294"/>
      <c r="T130" s="1294"/>
      <c r="U130" s="1294"/>
      <c r="V130" s="1294"/>
      <c r="W130" s="1294"/>
      <c r="X130" s="1294"/>
      <c r="Y130" s="1250"/>
      <c r="Z130" s="1209"/>
      <c r="AQ130" s="1361"/>
      <c r="AR130" s="176"/>
      <c r="AS130" s="176"/>
      <c r="AT130" s="176"/>
      <c r="AU130" s="176"/>
      <c r="AV130" s="176"/>
      <c r="AW130" s="176"/>
    </row>
    <row r="131" spans="1:49" ht="15.75" x14ac:dyDescent="0.25">
      <c r="A131" s="1291"/>
      <c r="B131" s="1295"/>
      <c r="C131" s="1296"/>
      <c r="D131" s="1296"/>
      <c r="E131" s="1296"/>
      <c r="F131" s="1296"/>
      <c r="G131" s="1296"/>
      <c r="H131" s="1296"/>
      <c r="I131" s="1296"/>
      <c r="J131" s="1296"/>
      <c r="K131" s="1296"/>
      <c r="L131" s="1297"/>
      <c r="M131" s="1297"/>
      <c r="N131" s="1297"/>
      <c r="O131" s="1297"/>
      <c r="P131" s="1297"/>
      <c r="Q131" s="1297"/>
      <c r="R131" s="1297"/>
      <c r="S131" s="1297"/>
      <c r="T131" s="1297"/>
      <c r="U131" s="1297"/>
      <c r="V131" s="1297"/>
      <c r="W131" s="1297"/>
      <c r="X131" s="1297"/>
      <c r="Y131" s="1254"/>
      <c r="Z131" s="1209"/>
      <c r="AQ131" s="1361"/>
      <c r="AR131" s="176"/>
      <c r="AS131" s="176"/>
      <c r="AT131" s="176"/>
      <c r="AU131" s="176"/>
      <c r="AV131" s="176"/>
      <c r="AW131" s="176"/>
    </row>
    <row r="132" spans="1:49" ht="15.75" x14ac:dyDescent="0.25">
      <c r="A132" s="1298" t="e">
        <f t="shared" ref="A132:A150" si="2">+IF(C132="",0,1)</f>
        <v>#N/A</v>
      </c>
      <c r="B132" s="1295"/>
      <c r="C132" s="2421" t="e">
        <f>IF(AB96=0,"","Line 14 column 5 doesn't equal line 12. Please check why.")</f>
        <v>#N/A</v>
      </c>
      <c r="D132" s="2421"/>
      <c r="E132" s="2421"/>
      <c r="F132" s="2421"/>
      <c r="G132" s="2421"/>
      <c r="H132" s="2421"/>
      <c r="I132" s="2421"/>
      <c r="J132" s="2421"/>
      <c r="K132" s="2421"/>
      <c r="L132" s="1297"/>
      <c r="M132" s="1297"/>
      <c r="N132" s="1297"/>
      <c r="O132" s="1297"/>
      <c r="P132" s="1297"/>
      <c r="Q132" s="1297"/>
      <c r="R132" s="1297"/>
      <c r="S132" s="1297"/>
      <c r="T132" s="1297"/>
      <c r="U132" s="1297"/>
      <c r="V132" s="1297"/>
      <c r="W132" s="1297"/>
      <c r="X132" s="1297"/>
      <c r="Y132" s="1254"/>
      <c r="Z132" s="1209"/>
      <c r="AQ132" s="1361"/>
      <c r="AR132" s="176"/>
      <c r="AS132" s="176"/>
      <c r="AT132" s="176"/>
      <c r="AU132" s="176"/>
      <c r="AV132" s="176"/>
      <c r="AW132" s="176"/>
    </row>
    <row r="133" spans="1:49" ht="15.75" x14ac:dyDescent="0.25">
      <c r="A133" s="1298"/>
      <c r="B133" s="1295"/>
      <c r="C133" s="2421"/>
      <c r="D133" s="2421"/>
      <c r="E133" s="2421"/>
      <c r="F133" s="2421"/>
      <c r="G133" s="2421"/>
      <c r="H133" s="2421"/>
      <c r="I133" s="2421"/>
      <c r="J133" s="2421"/>
      <c r="K133" s="2421"/>
      <c r="L133" s="1297"/>
      <c r="M133" s="1297"/>
      <c r="N133" s="1297"/>
      <c r="O133" s="1297"/>
      <c r="P133" s="1297"/>
      <c r="Q133" s="1297"/>
      <c r="R133" s="1297"/>
      <c r="S133" s="1297"/>
      <c r="T133" s="1297"/>
      <c r="U133" s="1297"/>
      <c r="V133" s="1297"/>
      <c r="W133" s="1297"/>
      <c r="X133" s="1297"/>
      <c r="Y133" s="1254"/>
      <c r="Z133" s="1209"/>
      <c r="AQ133" s="1361"/>
      <c r="AR133" s="176"/>
      <c r="AS133" s="176"/>
      <c r="AT133" s="176"/>
      <c r="AU133" s="176"/>
      <c r="AV133" s="176"/>
      <c r="AW133" s="176"/>
    </row>
    <row r="134" spans="1:49" ht="15.75" x14ac:dyDescent="0.25">
      <c r="A134" s="1298" t="e">
        <f t="shared" si="2"/>
        <v>#N/A</v>
      </c>
      <c r="B134" s="1295"/>
      <c r="C134" s="1799" t="e">
        <f>IF(AB98=0,"","Line 14 column 5 doesn't equal the sum of columns 1 to 4. Please check why.")</f>
        <v>#N/A</v>
      </c>
      <c r="D134" s="1799"/>
      <c r="E134" s="1799"/>
      <c r="F134" s="1799"/>
      <c r="G134" s="1799"/>
      <c r="H134" s="1799"/>
      <c r="I134" s="1799"/>
      <c r="J134" s="1799"/>
      <c r="K134" s="1799"/>
      <c r="L134" s="1297"/>
      <c r="M134" s="1297"/>
      <c r="N134" s="1297"/>
      <c r="O134" s="1297"/>
      <c r="P134" s="1297"/>
      <c r="Q134" s="1297"/>
      <c r="R134" s="1297"/>
      <c r="S134" s="1297"/>
      <c r="T134" s="1297"/>
      <c r="U134" s="1297"/>
      <c r="V134" s="1297"/>
      <c r="W134" s="1297"/>
      <c r="X134" s="1297"/>
      <c r="Y134" s="1254"/>
      <c r="Z134" s="1209"/>
      <c r="AQ134" s="1361"/>
      <c r="AR134" s="176"/>
      <c r="AS134" s="176"/>
      <c r="AT134" s="176"/>
      <c r="AU134" s="176"/>
      <c r="AV134" s="176"/>
      <c r="AW134" s="176"/>
    </row>
    <row r="135" spans="1:49" ht="15.75" x14ac:dyDescent="0.25">
      <c r="A135" s="1298"/>
      <c r="B135" s="1295"/>
      <c r="C135" s="2421"/>
      <c r="D135" s="2421"/>
      <c r="E135" s="2421"/>
      <c r="F135" s="2421"/>
      <c r="G135" s="2421"/>
      <c r="H135" s="2421"/>
      <c r="I135" s="2421"/>
      <c r="J135" s="2421"/>
      <c r="K135" s="2421"/>
      <c r="L135" s="1297"/>
      <c r="M135" s="1297"/>
      <c r="N135" s="1297"/>
      <c r="O135" s="1297"/>
      <c r="P135" s="1297"/>
      <c r="Q135" s="1297"/>
      <c r="R135" s="1297"/>
      <c r="S135" s="1297"/>
      <c r="T135" s="1297"/>
      <c r="U135" s="1297"/>
      <c r="V135" s="1297"/>
      <c r="W135" s="1297"/>
      <c r="X135" s="1297"/>
      <c r="Y135" s="1254"/>
      <c r="Z135" s="1209"/>
      <c r="AB135" s="1299"/>
      <c r="AQ135" s="1361"/>
    </row>
    <row r="136" spans="1:49" ht="15.75" x14ac:dyDescent="0.25">
      <c r="A136" s="1298" t="e">
        <f t="shared" si="2"/>
        <v>#N/A</v>
      </c>
      <c r="B136" s="1295"/>
      <c r="C136" s="2421" t="e">
        <f>IF(AB102=0,"","Line 17 column 1 doesn't equal line 14 col 1 less line 15 col 1. Please check why.")</f>
        <v>#N/A</v>
      </c>
      <c r="D136" s="2421"/>
      <c r="E136" s="2421"/>
      <c r="F136" s="2421"/>
      <c r="G136" s="2421"/>
      <c r="H136" s="2421"/>
      <c r="I136" s="2421"/>
      <c r="J136" s="2421"/>
      <c r="K136" s="2421"/>
      <c r="L136" s="1297"/>
      <c r="M136" s="1297"/>
      <c r="N136" s="1297"/>
      <c r="O136" s="1297"/>
      <c r="P136" s="1297"/>
      <c r="Q136" s="1297"/>
      <c r="R136" s="1297"/>
      <c r="S136" s="1297"/>
      <c r="T136" s="1297"/>
      <c r="U136" s="1297"/>
      <c r="V136" s="1297"/>
      <c r="W136" s="1297"/>
      <c r="X136" s="1297"/>
      <c r="Y136" s="1254"/>
      <c r="Z136" s="1209"/>
      <c r="AQ136" s="1361"/>
    </row>
    <row r="137" spans="1:49" ht="15.75" x14ac:dyDescent="0.25">
      <c r="A137" s="1298"/>
      <c r="B137" s="1295"/>
      <c r="C137" s="1799"/>
      <c r="D137" s="1799"/>
      <c r="E137" s="1799"/>
      <c r="F137" s="1799"/>
      <c r="G137" s="1799"/>
      <c r="H137" s="1799"/>
      <c r="I137" s="1799"/>
      <c r="J137" s="1799"/>
      <c r="K137" s="1799"/>
      <c r="L137" s="1297"/>
      <c r="M137" s="1297"/>
      <c r="N137" s="1297"/>
      <c r="O137" s="1297"/>
      <c r="P137" s="1297"/>
      <c r="Q137" s="1297"/>
      <c r="R137" s="1297"/>
      <c r="S137" s="1297"/>
      <c r="T137" s="1297"/>
      <c r="U137" s="1297"/>
      <c r="V137" s="1297"/>
      <c r="W137" s="1297"/>
      <c r="X137" s="1297"/>
      <c r="Y137" s="1254"/>
      <c r="Z137" s="1209"/>
      <c r="AQ137" s="1361"/>
    </row>
    <row r="138" spans="1:49" ht="15.75" x14ac:dyDescent="0.25">
      <c r="A138" s="1298" t="e">
        <f t="shared" si="2"/>
        <v>#N/A</v>
      </c>
      <c r="B138" s="1295"/>
      <c r="C138" s="2421" t="e">
        <f>IF(AB104=0,"","Line 18 column 5 doesn't equal column 2. Please check why.")</f>
        <v>#N/A</v>
      </c>
      <c r="D138" s="2421"/>
      <c r="E138" s="2421"/>
      <c r="F138" s="2421"/>
      <c r="G138" s="2421"/>
      <c r="H138" s="2421"/>
      <c r="I138" s="2421"/>
      <c r="J138" s="2421"/>
      <c r="K138" s="2421"/>
      <c r="L138" s="1297"/>
      <c r="M138" s="1297"/>
      <c r="N138" s="1297"/>
      <c r="O138" s="1297"/>
      <c r="P138" s="1297"/>
      <c r="Q138" s="1297"/>
      <c r="R138" s="1297"/>
      <c r="S138" s="1297"/>
      <c r="T138" s="1297"/>
      <c r="U138" s="1297"/>
      <c r="V138" s="1297"/>
      <c r="W138" s="1297"/>
      <c r="X138" s="1297"/>
      <c r="Y138" s="1254"/>
      <c r="Z138" s="1209"/>
      <c r="AQ138" s="1361"/>
    </row>
    <row r="139" spans="1:49" ht="15.75" x14ac:dyDescent="0.25">
      <c r="A139" s="1298"/>
      <c r="B139" s="1295"/>
      <c r="C139" s="2421"/>
      <c r="D139" s="2421"/>
      <c r="E139" s="2421"/>
      <c r="F139" s="2421"/>
      <c r="G139" s="2421"/>
      <c r="H139" s="2421"/>
      <c r="I139" s="2421"/>
      <c r="J139" s="2421"/>
      <c r="K139" s="2421"/>
      <c r="L139" s="1297"/>
      <c r="M139" s="1297"/>
      <c r="N139" s="1297"/>
      <c r="O139" s="1297"/>
      <c r="P139" s="1297"/>
      <c r="Q139" s="1297"/>
      <c r="R139" s="1297"/>
      <c r="S139" s="1297"/>
      <c r="T139" s="1297"/>
      <c r="U139" s="1297"/>
      <c r="V139" s="1297"/>
      <c r="W139" s="1297"/>
      <c r="X139" s="1297"/>
      <c r="Y139" s="1254"/>
      <c r="Z139" s="1209"/>
      <c r="AQ139" s="1361"/>
    </row>
    <row r="140" spans="1:49" ht="15.75" x14ac:dyDescent="0.25">
      <c r="A140" s="1298">
        <f t="shared" si="2"/>
        <v>0</v>
      </c>
      <c r="B140" s="1295"/>
      <c r="C140" s="2421" t="str">
        <f>IF(AB106=0,"","Line 19 column 5 doesn't equal column 2. Please check why.")</f>
        <v/>
      </c>
      <c r="D140" s="2421"/>
      <c r="E140" s="2421"/>
      <c r="F140" s="2421"/>
      <c r="G140" s="2421"/>
      <c r="H140" s="2421"/>
      <c r="I140" s="2421"/>
      <c r="J140" s="2421"/>
      <c r="K140" s="2421"/>
      <c r="L140" s="1297"/>
      <c r="M140" s="1297"/>
      <c r="N140" s="1297"/>
      <c r="O140" s="1297"/>
      <c r="P140" s="1297"/>
      <c r="Q140" s="1297"/>
      <c r="R140" s="1297"/>
      <c r="S140" s="1297"/>
      <c r="T140" s="1297"/>
      <c r="U140" s="1297"/>
      <c r="V140" s="1297"/>
      <c r="W140" s="1297"/>
      <c r="X140" s="1297"/>
      <c r="Y140" s="1254"/>
      <c r="Z140" s="1209"/>
      <c r="AQ140" s="1361"/>
    </row>
    <row r="141" spans="1:49" ht="15.75" x14ac:dyDescent="0.25">
      <c r="A141" s="1298"/>
      <c r="B141" s="1295"/>
      <c r="C141" s="2421"/>
      <c r="D141" s="2421"/>
      <c r="E141" s="2421"/>
      <c r="F141" s="2421"/>
      <c r="G141" s="2421"/>
      <c r="H141" s="2421"/>
      <c r="I141" s="2421"/>
      <c r="J141" s="2421"/>
      <c r="K141" s="2421"/>
      <c r="L141" s="1297"/>
      <c r="M141" s="1297"/>
      <c r="N141" s="1297"/>
      <c r="O141" s="1297"/>
      <c r="P141" s="1297"/>
      <c r="Q141" s="1297"/>
      <c r="R141" s="1297"/>
      <c r="S141" s="1297"/>
      <c r="T141" s="1297"/>
      <c r="U141" s="1297"/>
      <c r="V141" s="1297"/>
      <c r="W141" s="1297"/>
      <c r="X141" s="1297"/>
      <c r="Y141" s="1254"/>
      <c r="Z141" s="1209"/>
      <c r="AB141" s="1275"/>
      <c r="AQ141" s="1361"/>
    </row>
    <row r="142" spans="1:49" ht="15.75" x14ac:dyDescent="0.25">
      <c r="A142" s="1298">
        <f t="shared" si="2"/>
        <v>0</v>
      </c>
      <c r="B142" s="1295"/>
      <c r="C142" s="2421" t="str">
        <f>IF(AB108=0,"","Line 20 column 5 doesn't equal column 2 plus column 3. Please check why.")</f>
        <v/>
      </c>
      <c r="D142" s="2421"/>
      <c r="E142" s="2421"/>
      <c r="F142" s="2421"/>
      <c r="G142" s="2421"/>
      <c r="H142" s="2421"/>
      <c r="I142" s="2421"/>
      <c r="J142" s="2421"/>
      <c r="K142" s="2421"/>
      <c r="L142" s="1297"/>
      <c r="M142" s="1297"/>
      <c r="N142" s="1297"/>
      <c r="O142" s="1297"/>
      <c r="P142" s="1297"/>
      <c r="Q142" s="1297"/>
      <c r="R142" s="1297"/>
      <c r="S142" s="1297"/>
      <c r="T142" s="1297"/>
      <c r="U142" s="1297"/>
      <c r="V142" s="1297"/>
      <c r="W142" s="1297"/>
      <c r="X142" s="1297"/>
      <c r="Y142" s="1254"/>
      <c r="Z142" s="1209"/>
      <c r="AB142" s="1275"/>
      <c r="AQ142" s="1361"/>
    </row>
    <row r="143" spans="1:49" ht="15.75" x14ac:dyDescent="0.25">
      <c r="A143" s="1298"/>
      <c r="B143" s="1295"/>
      <c r="C143" s="2421"/>
      <c r="D143" s="2421"/>
      <c r="E143" s="2421"/>
      <c r="F143" s="2421"/>
      <c r="G143" s="2421"/>
      <c r="H143" s="2421"/>
      <c r="I143" s="2421"/>
      <c r="J143" s="2421"/>
      <c r="K143" s="2421"/>
      <c r="L143" s="1297"/>
      <c r="M143" s="1297"/>
      <c r="N143" s="1297"/>
      <c r="O143" s="1297"/>
      <c r="P143" s="1297"/>
      <c r="Q143" s="1297"/>
      <c r="R143" s="1297"/>
      <c r="S143" s="1297"/>
      <c r="T143" s="1297"/>
      <c r="U143" s="1297"/>
      <c r="V143" s="1297"/>
      <c r="W143" s="1297"/>
      <c r="X143" s="1297"/>
      <c r="Y143" s="1254"/>
      <c r="Z143" s="1209"/>
      <c r="AB143" s="1275"/>
      <c r="AQ143" s="1361"/>
    </row>
    <row r="144" spans="1:49" ht="15.75" x14ac:dyDescent="0.25">
      <c r="A144" s="1298">
        <f t="shared" si="2"/>
        <v>0</v>
      </c>
      <c r="B144" s="1295"/>
      <c r="C144" s="2421" t="str">
        <f>IF(AB110=0,"","Line 21 column 5 doesn't equal the sum of columns 2, 3 &amp; 4. Please check why.")</f>
        <v/>
      </c>
      <c r="D144" s="2421"/>
      <c r="E144" s="2421"/>
      <c r="F144" s="2421"/>
      <c r="G144" s="2421"/>
      <c r="H144" s="2421"/>
      <c r="I144" s="2421"/>
      <c r="J144" s="2421"/>
      <c r="K144" s="2421"/>
      <c r="L144" s="1297"/>
      <c r="M144" s="1297"/>
      <c r="N144" s="1297"/>
      <c r="O144" s="1297"/>
      <c r="P144" s="1297"/>
      <c r="Q144" s="1297"/>
      <c r="R144" s="1297"/>
      <c r="S144" s="1297"/>
      <c r="T144" s="1297"/>
      <c r="U144" s="1297"/>
      <c r="V144" s="1297"/>
      <c r="W144" s="1297"/>
      <c r="X144" s="1297"/>
      <c r="Y144" s="1254"/>
      <c r="Z144" s="1209"/>
      <c r="AB144" s="1275"/>
      <c r="AQ144" s="1361"/>
    </row>
    <row r="145" spans="1:269" ht="15.75" x14ac:dyDescent="0.25">
      <c r="A145" s="1298"/>
      <c r="B145" s="1295"/>
      <c r="C145" s="2421"/>
      <c r="D145" s="2421"/>
      <c r="E145" s="2421"/>
      <c r="F145" s="2421"/>
      <c r="G145" s="2421"/>
      <c r="H145" s="2421"/>
      <c r="I145" s="2421"/>
      <c r="J145" s="2421"/>
      <c r="K145" s="2421"/>
      <c r="L145" s="1297"/>
      <c r="M145" s="1297"/>
      <c r="N145" s="1297"/>
      <c r="O145" s="1297"/>
      <c r="P145" s="1297"/>
      <c r="Q145" s="1297"/>
      <c r="R145" s="1297"/>
      <c r="S145" s="1297"/>
      <c r="T145" s="1297"/>
      <c r="U145" s="1297"/>
      <c r="V145" s="1297"/>
      <c r="W145" s="1297"/>
      <c r="X145" s="1297"/>
      <c r="Y145" s="1254"/>
      <c r="Z145" s="1209"/>
      <c r="AB145" s="1275"/>
      <c r="AQ145" s="1361"/>
    </row>
    <row r="146" spans="1:269" ht="15.75" x14ac:dyDescent="0.25">
      <c r="A146" s="1298">
        <f t="shared" si="2"/>
        <v>0</v>
      </c>
      <c r="B146" s="1295"/>
      <c r="C146" s="2421" t="str">
        <f>IF(AB112=0,"","Line 22 column 5 doesn't equal column 2. Please check why.")</f>
        <v/>
      </c>
      <c r="D146" s="2421"/>
      <c r="E146" s="2421"/>
      <c r="F146" s="2421"/>
      <c r="G146" s="2421"/>
      <c r="H146" s="2421"/>
      <c r="I146" s="2421"/>
      <c r="J146" s="2421"/>
      <c r="K146" s="2421"/>
      <c r="L146" s="1297"/>
      <c r="M146" s="1297"/>
      <c r="N146" s="1297"/>
      <c r="O146" s="1297"/>
      <c r="P146" s="1297"/>
      <c r="Q146" s="1297"/>
      <c r="R146" s="1297"/>
      <c r="S146" s="1297"/>
      <c r="T146" s="1297"/>
      <c r="U146" s="1297"/>
      <c r="V146" s="1297"/>
      <c r="W146" s="1297"/>
      <c r="X146" s="1297"/>
      <c r="Y146" s="1254"/>
      <c r="Z146" s="1209"/>
      <c r="AB146" s="1275"/>
      <c r="AQ146" s="1361"/>
    </row>
    <row r="147" spans="1:269" ht="15.75" x14ac:dyDescent="0.25">
      <c r="A147" s="1298"/>
      <c r="B147" s="1295"/>
      <c r="C147" s="1799"/>
      <c r="D147" s="1799"/>
      <c r="E147" s="1799"/>
      <c r="F147" s="1799"/>
      <c r="G147" s="1799"/>
      <c r="H147" s="1799"/>
      <c r="I147" s="1799"/>
      <c r="J147" s="1799"/>
      <c r="K147" s="1799"/>
      <c r="L147" s="1297"/>
      <c r="M147" s="1297"/>
      <c r="N147" s="1297"/>
      <c r="O147" s="1297"/>
      <c r="P147" s="1297"/>
      <c r="Q147" s="1297"/>
      <c r="R147" s="1297"/>
      <c r="S147" s="1297"/>
      <c r="T147" s="1297"/>
      <c r="U147" s="1297"/>
      <c r="V147" s="1297"/>
      <c r="W147" s="1297"/>
      <c r="X147" s="1297"/>
      <c r="Y147" s="1254"/>
      <c r="Z147" s="1209"/>
      <c r="AB147" s="1275"/>
      <c r="AQ147" s="1361"/>
    </row>
    <row r="148" spans="1:269" ht="15.75" x14ac:dyDescent="0.25">
      <c r="A148" s="1298">
        <f>+IF(C148="",0,1)</f>
        <v>0</v>
      </c>
      <c r="B148" s="1295"/>
      <c r="C148" s="2421" t="str">
        <f>IF(AB122=0,"","Line 24 column 5 doesn't equal the sum of columns 1 to 4. Please check why.")</f>
        <v/>
      </c>
      <c r="D148" s="2421"/>
      <c r="E148" s="2421"/>
      <c r="F148" s="2421"/>
      <c r="G148" s="2421"/>
      <c r="H148" s="2421"/>
      <c r="I148" s="2421"/>
      <c r="J148" s="2421"/>
      <c r="K148" s="2421"/>
      <c r="L148" s="1297"/>
      <c r="M148" s="1297"/>
      <c r="N148" s="1297"/>
      <c r="O148" s="1297"/>
      <c r="P148" s="1297"/>
      <c r="Q148" s="1297"/>
      <c r="R148" s="1297"/>
      <c r="S148" s="1297"/>
      <c r="T148" s="1297"/>
      <c r="U148" s="1297"/>
      <c r="V148" s="1297"/>
      <c r="W148" s="1297"/>
      <c r="X148" s="1297"/>
      <c r="Y148" s="1254"/>
      <c r="Z148" s="1209"/>
      <c r="AB148" s="1275"/>
      <c r="AQ148" s="1361"/>
    </row>
    <row r="149" spans="1:269" ht="15.75" x14ac:dyDescent="0.25">
      <c r="A149" s="1298"/>
      <c r="B149" s="1295"/>
      <c r="C149" s="2421"/>
      <c r="D149" s="2421"/>
      <c r="E149" s="2421"/>
      <c r="F149" s="2421"/>
      <c r="G149" s="2421"/>
      <c r="H149" s="2421"/>
      <c r="I149" s="2421"/>
      <c r="J149" s="2421"/>
      <c r="K149" s="2421"/>
      <c r="L149" s="1297"/>
      <c r="M149" s="1297"/>
      <c r="N149" s="1297"/>
      <c r="O149" s="1297"/>
      <c r="P149" s="1297"/>
      <c r="Q149" s="1297"/>
      <c r="R149" s="1297"/>
      <c r="S149" s="1297"/>
      <c r="T149" s="1297"/>
      <c r="U149" s="1297"/>
      <c r="V149" s="1297"/>
      <c r="W149" s="1297"/>
      <c r="X149" s="1297"/>
      <c r="Y149" s="1254"/>
      <c r="Z149" s="1209"/>
      <c r="AB149" s="1275"/>
      <c r="AC149" s="176"/>
      <c r="AQ149" s="1361"/>
    </row>
    <row r="150" spans="1:269" ht="15.75" x14ac:dyDescent="0.25">
      <c r="A150" s="1298" t="e">
        <f t="shared" si="2"/>
        <v>#N/A</v>
      </c>
      <c r="B150" s="1295"/>
      <c r="C150" s="1799" t="e">
        <f>IF(AB126=0,"","Line 25 column 5 doesn't equal the sum of columns 1 to 4. Please check why.")</f>
        <v>#N/A</v>
      </c>
      <c r="D150" s="1799"/>
      <c r="E150" s="1799"/>
      <c r="F150" s="1799"/>
      <c r="G150" s="1799"/>
      <c r="H150" s="1799"/>
      <c r="I150" s="1799"/>
      <c r="J150" s="1799"/>
      <c r="K150" s="1799"/>
      <c r="L150" s="1297"/>
      <c r="M150" s="1297"/>
      <c r="N150" s="1297"/>
      <c r="O150" s="1297"/>
      <c r="P150" s="1297"/>
      <c r="Q150" s="1297"/>
      <c r="R150" s="1297"/>
      <c r="S150" s="1297"/>
      <c r="T150" s="1297"/>
      <c r="U150" s="1297"/>
      <c r="V150" s="1297"/>
      <c r="W150" s="1297"/>
      <c r="X150" s="1297"/>
      <c r="Y150" s="1254"/>
      <c r="Z150" s="1209"/>
      <c r="AB150" s="1275"/>
      <c r="AC150" s="176"/>
      <c r="AQ150" s="1361"/>
    </row>
    <row r="151" spans="1:269" ht="15.75" x14ac:dyDescent="0.25">
      <c r="A151" s="1208"/>
      <c r="B151" s="2422" t="e">
        <f>SUM(A132:A150)</f>
        <v>#N/A</v>
      </c>
      <c r="C151" s="2423"/>
      <c r="D151" s="2423"/>
      <c r="E151" s="2423"/>
      <c r="F151" s="2423"/>
      <c r="G151" s="2423"/>
      <c r="H151" s="2423"/>
      <c r="I151" s="1300"/>
      <c r="J151" s="1300"/>
      <c r="K151" s="1300"/>
      <c r="L151" s="1261"/>
      <c r="M151" s="1261"/>
      <c r="N151" s="1261"/>
      <c r="O151" s="1261"/>
      <c r="P151" s="1261"/>
      <c r="Q151" s="1261"/>
      <c r="R151" s="1261"/>
      <c r="S151" s="1261"/>
      <c r="T151" s="1261"/>
      <c r="U151" s="1261"/>
      <c r="V151" s="1261"/>
      <c r="W151" s="1261"/>
      <c r="X151" s="1261"/>
      <c r="Y151" s="1262"/>
      <c r="Z151" s="1209"/>
      <c r="AB151" s="1275"/>
      <c r="AC151" s="176"/>
      <c r="AQ151" s="1361"/>
    </row>
    <row r="152" spans="1:269" ht="15.75" thickBot="1" x14ac:dyDescent="0.25">
      <c r="A152" s="1263"/>
      <c r="B152" s="1264"/>
      <c r="C152" s="2424"/>
      <c r="D152" s="2424"/>
      <c r="E152" s="2424"/>
      <c r="F152" s="2424"/>
      <c r="G152" s="2424"/>
      <c r="H152" s="2424"/>
      <c r="I152" s="2424"/>
      <c r="J152" s="1264"/>
      <c r="K152" s="1264"/>
      <c r="L152" s="1264"/>
      <c r="M152" s="1264"/>
      <c r="N152" s="1264"/>
      <c r="O152" s="1264"/>
      <c r="P152" s="1264"/>
      <c r="Q152" s="1264"/>
      <c r="R152" s="1264"/>
      <c r="S152" s="1264"/>
      <c r="T152" s="1264"/>
      <c r="U152" s="1264"/>
      <c r="V152" s="1264"/>
      <c r="W152" s="1264"/>
      <c r="X152" s="1264"/>
      <c r="Y152" s="1264"/>
      <c r="Z152" s="1268"/>
      <c r="AB152" s="1275"/>
      <c r="AC152" s="176"/>
      <c r="AQ152" s="1361"/>
    </row>
    <row r="153" spans="1:269" x14ac:dyDescent="0.2">
      <c r="A153" s="1301"/>
      <c r="B153" s="1302"/>
      <c r="C153" s="1302"/>
      <c r="D153" s="1302"/>
      <c r="E153" s="1302"/>
      <c r="F153" s="1302"/>
      <c r="G153" s="1302"/>
      <c r="H153" s="1302"/>
      <c r="I153" s="1302"/>
      <c r="J153" s="1302"/>
      <c r="K153" s="1302"/>
      <c r="L153" s="1302"/>
      <c r="M153" s="1302"/>
      <c r="N153" s="1302"/>
      <c r="O153" s="1302"/>
      <c r="P153" s="1302"/>
      <c r="Q153" s="1302"/>
      <c r="R153" s="1302"/>
      <c r="S153" s="1302"/>
      <c r="T153" s="1302"/>
      <c r="U153" s="1302"/>
      <c r="V153" s="1302"/>
      <c r="W153" s="1302"/>
      <c r="X153" s="1302"/>
      <c r="Y153" s="1302"/>
      <c r="Z153" s="1303"/>
      <c r="AB153" s="1275"/>
      <c r="AQ153" s="1361"/>
    </row>
    <row r="154" spans="1:269" ht="15.75" x14ac:dyDescent="0.25">
      <c r="A154" s="1304"/>
      <c r="B154" s="1215"/>
      <c r="C154" s="1792" t="str">
        <f>+CONCATENATE("Local Authority : ",+'Part 1'!$L$16)</f>
        <v>Local Authority : ZZZZ</v>
      </c>
      <c r="D154" s="1215"/>
      <c r="E154" s="1215"/>
      <c r="F154" s="1215"/>
      <c r="G154" s="1215"/>
      <c r="H154" s="1215"/>
      <c r="I154" s="1215"/>
      <c r="J154" s="1215"/>
      <c r="K154" s="1215"/>
      <c r="L154" s="1215"/>
      <c r="M154" s="1215"/>
      <c r="N154" s="1215"/>
      <c r="O154" s="1215"/>
      <c r="P154" s="1215"/>
      <c r="Q154" s="1215"/>
      <c r="R154" s="1215"/>
      <c r="S154" s="1215"/>
      <c r="T154" s="1215"/>
      <c r="U154" s="1215"/>
      <c r="V154" s="1215"/>
      <c r="W154" s="1269" t="str">
        <f>+W21</f>
        <v>Ver</v>
      </c>
      <c r="X154" s="1305">
        <f>+X77</f>
        <v>1</v>
      </c>
      <c r="Y154" s="1215"/>
      <c r="Z154" s="1209"/>
      <c r="AB154" s="1275"/>
      <c r="AQ154" s="1361"/>
    </row>
    <row r="155" spans="1:269" ht="15.75" x14ac:dyDescent="0.25">
      <c r="A155" s="1304"/>
      <c r="B155" s="1215"/>
      <c r="C155" s="1792"/>
      <c r="D155" s="1215"/>
      <c r="E155" s="1215"/>
      <c r="F155" s="1215"/>
      <c r="G155" s="1215"/>
      <c r="H155" s="1215"/>
      <c r="I155" s="1215"/>
      <c r="J155" s="1215"/>
      <c r="K155" s="1215"/>
      <c r="L155" s="1215"/>
      <c r="M155" s="1215"/>
      <c r="N155" s="1215"/>
      <c r="O155" s="1215"/>
      <c r="P155" s="1215"/>
      <c r="Q155" s="1215"/>
      <c r="R155" s="1215"/>
      <c r="S155" s="1215"/>
      <c r="T155" s="1215"/>
      <c r="U155" s="1215"/>
      <c r="V155" s="1215"/>
      <c r="W155" s="1215"/>
      <c r="X155" s="1215"/>
      <c r="Y155" s="1215"/>
      <c r="Z155" s="1209"/>
      <c r="AB155" s="1275"/>
      <c r="AQ155" s="1361"/>
    </row>
    <row r="156" spans="1:269" ht="15.75" x14ac:dyDescent="0.25">
      <c r="A156" s="1304"/>
      <c r="B156" s="1215"/>
      <c r="C156" s="1274" t="s">
        <v>39</v>
      </c>
      <c r="D156" s="1215"/>
      <c r="E156" s="1215"/>
      <c r="F156" s="1215"/>
      <c r="G156" s="1215"/>
      <c r="H156" s="1215"/>
      <c r="I156" s="1215"/>
      <c r="J156" s="1215"/>
      <c r="K156" s="1215"/>
      <c r="L156" s="1215"/>
      <c r="M156" s="1215"/>
      <c r="N156" s="1215"/>
      <c r="O156" s="1215"/>
      <c r="P156" s="1215"/>
      <c r="Q156" s="1215"/>
      <c r="R156" s="1215"/>
      <c r="S156" s="1215"/>
      <c r="T156" s="1215"/>
      <c r="U156" s="1215"/>
      <c r="V156" s="1215"/>
      <c r="W156" s="1215"/>
      <c r="X156" s="1215"/>
      <c r="Y156" s="1215"/>
      <c r="Z156" s="1209"/>
      <c r="AB156" s="1275"/>
      <c r="AC156" s="763"/>
      <c r="AQ156" s="1361"/>
      <c r="AR156" s="763"/>
      <c r="AS156" s="763"/>
      <c r="AT156" s="763"/>
      <c r="AU156" s="763"/>
      <c r="AV156" s="763"/>
      <c r="AW156" s="763"/>
      <c r="AX156" s="763"/>
      <c r="AY156" s="763"/>
      <c r="AZ156" s="763"/>
      <c r="BA156" s="763"/>
      <c r="BB156" s="763"/>
      <c r="BC156" s="763"/>
      <c r="BD156" s="763"/>
      <c r="BE156" s="763"/>
      <c r="BF156" s="763"/>
      <c r="BG156" s="763"/>
      <c r="BH156" s="763"/>
      <c r="BI156" s="763"/>
      <c r="BJ156" s="763"/>
      <c r="BK156" s="763"/>
      <c r="BL156" s="763"/>
      <c r="BM156" s="763"/>
      <c r="BN156" s="763"/>
      <c r="BO156" s="763"/>
      <c r="BP156" s="763"/>
      <c r="BQ156" s="763"/>
      <c r="BR156" s="763"/>
      <c r="BS156" s="763"/>
      <c r="BT156" s="763"/>
      <c r="BU156" s="763"/>
      <c r="BV156" s="763"/>
      <c r="BW156" s="763"/>
      <c r="BX156" s="763"/>
      <c r="BY156" s="763"/>
      <c r="BZ156" s="763"/>
      <c r="CA156" s="763"/>
      <c r="CB156" s="763"/>
      <c r="CC156" s="763"/>
      <c r="CD156" s="763"/>
      <c r="CE156" s="763"/>
      <c r="CF156" s="763"/>
      <c r="CG156" s="763"/>
      <c r="CH156" s="763"/>
      <c r="CI156" s="763"/>
      <c r="CJ156" s="763"/>
      <c r="CK156" s="763"/>
      <c r="CL156" s="763"/>
      <c r="CM156" s="763"/>
      <c r="CN156" s="763"/>
      <c r="CO156" s="763"/>
      <c r="CP156" s="763"/>
      <c r="CQ156" s="763"/>
      <c r="CR156" s="763"/>
      <c r="CS156" s="763"/>
      <c r="CT156" s="763"/>
      <c r="CU156" s="763"/>
      <c r="CV156" s="763"/>
      <c r="CW156" s="763"/>
      <c r="CX156" s="763"/>
      <c r="CY156" s="763"/>
      <c r="CZ156" s="763"/>
      <c r="DA156" s="763"/>
      <c r="DB156" s="763"/>
      <c r="DC156" s="763"/>
      <c r="DD156" s="763"/>
      <c r="DE156" s="763"/>
      <c r="DF156" s="763"/>
      <c r="DG156" s="763"/>
      <c r="DH156" s="763"/>
      <c r="DI156" s="763"/>
      <c r="DJ156" s="763"/>
      <c r="DK156" s="763"/>
      <c r="DL156" s="763"/>
      <c r="DM156" s="763"/>
      <c r="DN156" s="763"/>
      <c r="DO156" s="763"/>
      <c r="DP156" s="763"/>
      <c r="DQ156" s="763"/>
      <c r="DR156" s="763"/>
      <c r="DS156" s="763"/>
      <c r="DT156" s="763"/>
      <c r="DU156" s="763"/>
      <c r="DV156" s="763"/>
      <c r="DW156" s="763"/>
      <c r="DX156" s="763"/>
      <c r="DY156" s="763"/>
      <c r="DZ156" s="763"/>
      <c r="EA156" s="763"/>
      <c r="EB156" s="763"/>
      <c r="EC156" s="763"/>
      <c r="ED156" s="763"/>
      <c r="EE156" s="763"/>
      <c r="EF156" s="763"/>
      <c r="EG156" s="763"/>
      <c r="EH156" s="763"/>
      <c r="EI156" s="763"/>
      <c r="EJ156" s="763"/>
      <c r="EK156" s="763"/>
      <c r="EL156" s="763"/>
      <c r="EM156" s="763"/>
      <c r="EN156" s="763"/>
      <c r="EO156" s="763"/>
      <c r="EP156" s="763"/>
      <c r="EQ156" s="763"/>
      <c r="ER156" s="763"/>
      <c r="ES156" s="763"/>
      <c r="ET156" s="763"/>
      <c r="EU156" s="763"/>
      <c r="EV156" s="763"/>
      <c r="EW156" s="763"/>
      <c r="EX156" s="763"/>
      <c r="EY156" s="763"/>
      <c r="EZ156" s="763"/>
      <c r="FA156" s="763"/>
      <c r="FB156" s="763"/>
      <c r="FC156" s="763"/>
      <c r="FD156" s="763"/>
      <c r="FE156" s="763"/>
      <c r="FF156" s="763"/>
      <c r="FG156" s="763"/>
      <c r="FH156" s="763"/>
      <c r="FI156" s="763"/>
      <c r="FJ156" s="763"/>
      <c r="FK156" s="763"/>
      <c r="FL156" s="763"/>
      <c r="FM156" s="763"/>
      <c r="FN156" s="763"/>
      <c r="FO156" s="763"/>
      <c r="FP156" s="763"/>
      <c r="FQ156" s="763"/>
      <c r="FR156" s="763"/>
      <c r="FS156" s="763"/>
      <c r="FT156" s="763"/>
      <c r="FU156" s="763"/>
      <c r="FV156" s="763"/>
      <c r="FW156" s="763"/>
      <c r="FX156" s="763"/>
      <c r="FY156" s="763"/>
      <c r="FZ156" s="763"/>
      <c r="GA156" s="763"/>
      <c r="GB156" s="763"/>
      <c r="GC156" s="763"/>
      <c r="GD156" s="763"/>
      <c r="GE156" s="763"/>
      <c r="GF156" s="763"/>
      <c r="GG156" s="763"/>
      <c r="GH156" s="763"/>
      <c r="GI156" s="763"/>
      <c r="GJ156" s="763"/>
      <c r="GK156" s="763"/>
      <c r="GL156" s="763"/>
      <c r="GM156" s="763"/>
      <c r="GN156" s="763"/>
      <c r="GO156" s="763"/>
      <c r="GP156" s="763"/>
      <c r="GQ156" s="763"/>
    </row>
    <row r="157" spans="1:269" ht="15.75" x14ac:dyDescent="0.25">
      <c r="A157" s="1306"/>
      <c r="B157" s="1272"/>
      <c r="C157" s="1272" t="s">
        <v>1031</v>
      </c>
      <c r="D157" s="1272"/>
      <c r="E157" s="1272"/>
      <c r="F157" s="1272"/>
      <c r="G157" s="1272"/>
      <c r="H157" s="1272"/>
      <c r="I157" s="1272"/>
      <c r="J157" s="1272"/>
      <c r="K157" s="1272"/>
      <c r="L157" s="1272"/>
      <c r="M157" s="1272"/>
      <c r="N157" s="1272"/>
      <c r="O157" s="1272"/>
      <c r="P157" s="1272"/>
      <c r="Q157" s="1272"/>
      <c r="R157" s="1272"/>
      <c r="S157" s="1272"/>
      <c r="T157" s="1272"/>
      <c r="U157" s="1272"/>
      <c r="V157" s="1272"/>
      <c r="W157" s="1272"/>
      <c r="X157" s="1272"/>
      <c r="Y157" s="1272"/>
      <c r="Z157" s="1307"/>
      <c r="AA157" s="1272"/>
      <c r="AC157" s="762"/>
      <c r="AQ157" s="1361"/>
      <c r="AR157" s="762"/>
      <c r="AS157" s="762"/>
      <c r="AT157" s="762"/>
      <c r="AU157" s="762"/>
      <c r="AV157" s="762"/>
      <c r="AW157" s="762"/>
      <c r="AX157" s="762"/>
      <c r="AY157" s="762"/>
      <c r="AZ157" s="762"/>
      <c r="BA157" s="762"/>
      <c r="BB157" s="762"/>
      <c r="BC157" s="762"/>
      <c r="BD157" s="762"/>
      <c r="BE157" s="762"/>
      <c r="BF157" s="762"/>
      <c r="BG157" s="762"/>
      <c r="BH157" s="762"/>
      <c r="BI157" s="762"/>
      <c r="BJ157" s="762"/>
      <c r="BK157" s="762"/>
      <c r="BL157" s="762"/>
      <c r="BM157" s="762"/>
      <c r="BN157" s="762"/>
      <c r="BO157" s="762"/>
      <c r="BP157" s="762"/>
      <c r="BQ157" s="762"/>
      <c r="BR157" s="762"/>
      <c r="BS157" s="762"/>
      <c r="BT157" s="762"/>
      <c r="BU157" s="762"/>
      <c r="BV157" s="762"/>
      <c r="BW157" s="762"/>
      <c r="BX157" s="762"/>
      <c r="BY157" s="762"/>
      <c r="BZ157" s="762"/>
      <c r="CA157" s="762"/>
      <c r="CB157" s="762"/>
      <c r="CC157" s="762"/>
      <c r="CD157" s="762"/>
      <c r="CE157" s="762"/>
      <c r="CF157" s="762"/>
      <c r="CG157" s="762"/>
      <c r="CH157" s="762"/>
      <c r="CI157" s="762"/>
      <c r="CJ157" s="762"/>
      <c r="CK157" s="762"/>
      <c r="CL157" s="762"/>
      <c r="CM157" s="762"/>
      <c r="CN157" s="762"/>
      <c r="CO157" s="762"/>
      <c r="CP157" s="762"/>
      <c r="CQ157" s="762"/>
      <c r="CR157" s="762"/>
      <c r="CS157" s="762"/>
      <c r="CT157" s="762"/>
      <c r="CU157" s="762"/>
      <c r="CV157" s="762"/>
      <c r="CW157" s="762"/>
      <c r="CX157" s="762"/>
      <c r="CY157" s="762"/>
      <c r="CZ157" s="762"/>
      <c r="DA157" s="762"/>
      <c r="DB157" s="762"/>
      <c r="DC157" s="762"/>
      <c r="DD157" s="762"/>
      <c r="DE157" s="762"/>
      <c r="DF157" s="762"/>
      <c r="DG157" s="762"/>
      <c r="DH157" s="762"/>
      <c r="DI157" s="762"/>
      <c r="DJ157" s="762"/>
      <c r="DK157" s="762"/>
      <c r="DL157" s="762"/>
      <c r="DM157" s="762"/>
      <c r="DN157" s="762"/>
      <c r="DO157" s="762"/>
      <c r="DP157" s="762"/>
      <c r="DQ157" s="762"/>
      <c r="DR157" s="762"/>
      <c r="DS157" s="762"/>
      <c r="DT157" s="762"/>
      <c r="DU157" s="762"/>
      <c r="DV157" s="762"/>
      <c r="DW157" s="762"/>
      <c r="DX157" s="762"/>
      <c r="DY157" s="762"/>
      <c r="DZ157" s="762"/>
      <c r="EA157" s="762"/>
      <c r="EB157" s="762"/>
      <c r="EC157" s="762"/>
      <c r="ED157" s="762"/>
      <c r="EE157" s="762"/>
      <c r="EF157" s="762"/>
      <c r="EG157" s="762"/>
      <c r="EH157" s="762"/>
      <c r="EI157" s="762"/>
      <c r="EJ157" s="762"/>
      <c r="EK157" s="762"/>
      <c r="EL157" s="762"/>
      <c r="EM157" s="762"/>
      <c r="EN157" s="762"/>
      <c r="EO157" s="762"/>
      <c r="EP157" s="762"/>
      <c r="EQ157" s="762"/>
      <c r="ER157" s="762"/>
      <c r="ES157" s="762"/>
      <c r="ET157" s="762"/>
      <c r="EU157" s="762"/>
      <c r="EV157" s="762"/>
      <c r="EW157" s="762"/>
      <c r="EX157" s="762"/>
      <c r="EY157" s="762"/>
      <c r="EZ157" s="762"/>
      <c r="FA157" s="762"/>
      <c r="FB157" s="762"/>
      <c r="FC157" s="762"/>
      <c r="FD157" s="762"/>
      <c r="FE157" s="762"/>
      <c r="FF157" s="762"/>
      <c r="FG157" s="762"/>
      <c r="FH157" s="762"/>
      <c r="FI157" s="762"/>
      <c r="FJ157" s="762"/>
      <c r="FK157" s="762"/>
      <c r="FL157" s="762"/>
      <c r="FM157" s="762"/>
      <c r="FN157" s="762"/>
      <c r="FO157" s="762"/>
      <c r="FP157" s="762"/>
      <c r="FQ157" s="762"/>
      <c r="FR157" s="762"/>
      <c r="FS157" s="762"/>
      <c r="FT157" s="762"/>
      <c r="FU157" s="762"/>
      <c r="FV157" s="762"/>
      <c r="FW157" s="762"/>
      <c r="FX157" s="762"/>
      <c r="FY157" s="762"/>
      <c r="FZ157" s="762"/>
      <c r="GA157" s="762"/>
      <c r="GB157" s="762"/>
      <c r="GC157" s="762"/>
      <c r="GD157" s="762"/>
      <c r="GE157" s="762"/>
      <c r="GF157" s="762"/>
      <c r="GG157" s="762"/>
      <c r="GH157" s="762"/>
      <c r="GI157" s="762"/>
      <c r="GJ157" s="762"/>
      <c r="GK157" s="762"/>
      <c r="GL157" s="762"/>
      <c r="GM157" s="762"/>
      <c r="GN157" s="762"/>
      <c r="GO157" s="762"/>
      <c r="GP157" s="762"/>
      <c r="GQ157" s="762"/>
      <c r="GR157" s="385"/>
      <c r="GS157" s="385"/>
      <c r="GT157" s="385"/>
      <c r="GU157" s="385"/>
      <c r="GV157" s="385"/>
      <c r="GW157" s="385"/>
      <c r="GX157" s="385"/>
      <c r="GY157" s="385"/>
      <c r="GZ157" s="385"/>
      <c r="HA157" s="385"/>
      <c r="HB157" s="385"/>
      <c r="HC157" s="385"/>
      <c r="HD157" s="385"/>
      <c r="HE157" s="385"/>
      <c r="HF157" s="385"/>
      <c r="HG157" s="385"/>
      <c r="HH157" s="385"/>
      <c r="HI157" s="385"/>
      <c r="HJ157" s="385"/>
      <c r="HK157" s="385"/>
      <c r="HL157" s="385"/>
      <c r="HM157" s="385"/>
      <c r="HN157" s="385"/>
      <c r="HO157" s="385"/>
      <c r="HP157" s="385"/>
      <c r="HQ157" s="385"/>
      <c r="HR157" s="385"/>
      <c r="HS157" s="385"/>
      <c r="HT157" s="385"/>
      <c r="HU157" s="385"/>
      <c r="HV157" s="385"/>
      <c r="HW157" s="385"/>
      <c r="HX157" s="385"/>
      <c r="HY157" s="385"/>
      <c r="HZ157" s="385"/>
      <c r="IA157" s="385"/>
      <c r="IB157" s="385"/>
      <c r="IC157" s="385"/>
      <c r="ID157" s="385"/>
      <c r="IE157" s="385"/>
      <c r="IF157" s="385"/>
      <c r="IG157" s="385"/>
      <c r="IH157" s="385"/>
      <c r="II157" s="385"/>
      <c r="IJ157" s="385"/>
      <c r="IK157" s="385"/>
      <c r="IL157" s="385"/>
      <c r="IM157" s="385"/>
      <c r="IN157" s="385"/>
      <c r="IO157" s="385"/>
      <c r="IP157" s="385"/>
      <c r="IQ157" s="385"/>
      <c r="IR157" s="385"/>
      <c r="IS157" s="385"/>
      <c r="IT157" s="385"/>
      <c r="IU157" s="385"/>
      <c r="IV157" s="385"/>
      <c r="IW157" s="385"/>
      <c r="IX157" s="385"/>
      <c r="IY157" s="385"/>
      <c r="IZ157" s="385"/>
      <c r="JA157" s="385"/>
      <c r="JB157" s="385"/>
      <c r="JC157" s="385"/>
      <c r="JD157" s="385"/>
      <c r="JE157" s="385"/>
      <c r="JF157" s="385"/>
      <c r="JG157" s="385"/>
      <c r="JH157" s="385"/>
      <c r="JI157" s="385"/>
    </row>
    <row r="158" spans="1:269" ht="15" customHeight="1" x14ac:dyDescent="0.2">
      <c r="A158" s="1304"/>
      <c r="B158" s="1215"/>
      <c r="C158" s="2425" t="s">
        <v>1125</v>
      </c>
      <c r="D158" s="2425"/>
      <c r="E158" s="2425"/>
      <c r="F158" s="2425"/>
      <c r="G158" s="2425"/>
      <c r="H158" s="2425"/>
      <c r="I158" s="2425"/>
      <c r="J158" s="2425"/>
      <c r="K158" s="2425"/>
      <c r="L158" s="2425"/>
      <c r="M158" s="2425"/>
      <c r="N158" s="2425"/>
      <c r="O158" s="2425"/>
      <c r="P158" s="2425"/>
      <c r="Q158" s="2425"/>
      <c r="R158" s="2425"/>
      <c r="S158" s="2425"/>
      <c r="T158" s="2425"/>
      <c r="U158" s="2425"/>
      <c r="V158" s="2425"/>
      <c r="W158" s="2425"/>
      <c r="X158" s="2425"/>
      <c r="Y158" s="1215"/>
      <c r="Z158" s="1209"/>
      <c r="AB158" s="2399" t="s">
        <v>1090</v>
      </c>
      <c r="AC158" s="763"/>
      <c r="AQ158" s="1361"/>
      <c r="AR158" s="763"/>
      <c r="AS158" s="763"/>
      <c r="AT158" s="763"/>
      <c r="AU158" s="763"/>
      <c r="AV158" s="763"/>
      <c r="AW158" s="763"/>
      <c r="AX158" s="763"/>
      <c r="AY158" s="763"/>
      <c r="AZ158" s="763"/>
      <c r="BA158" s="763"/>
      <c r="BB158" s="763"/>
      <c r="BC158" s="763"/>
      <c r="BD158" s="763"/>
      <c r="BE158" s="763"/>
      <c r="BF158" s="763"/>
      <c r="BG158" s="763"/>
      <c r="BH158" s="763"/>
      <c r="BI158" s="763"/>
      <c r="BJ158" s="763"/>
      <c r="BK158" s="763"/>
      <c r="BL158" s="763"/>
      <c r="BM158" s="763"/>
      <c r="BN158" s="763"/>
      <c r="BO158" s="763"/>
      <c r="BP158" s="763"/>
      <c r="BQ158" s="763"/>
      <c r="BR158" s="763"/>
      <c r="BS158" s="763"/>
      <c r="BT158" s="763"/>
      <c r="BU158" s="763"/>
      <c r="BV158" s="763"/>
      <c r="BW158" s="763"/>
      <c r="BX158" s="763"/>
      <c r="BY158" s="763"/>
      <c r="BZ158" s="763"/>
      <c r="CA158" s="763"/>
      <c r="CB158" s="763"/>
      <c r="CC158" s="763"/>
      <c r="CD158" s="763"/>
      <c r="CE158" s="763"/>
      <c r="CF158" s="763"/>
      <c r="CG158" s="763"/>
      <c r="CH158" s="763"/>
      <c r="CI158" s="763"/>
      <c r="CJ158" s="763"/>
      <c r="CK158" s="763"/>
      <c r="CL158" s="763"/>
      <c r="CM158" s="763"/>
      <c r="CN158" s="763"/>
      <c r="CO158" s="763"/>
      <c r="CP158" s="763"/>
      <c r="CQ158" s="763"/>
      <c r="CR158" s="763"/>
      <c r="CS158" s="763"/>
      <c r="CT158" s="763"/>
      <c r="CU158" s="763"/>
      <c r="CV158" s="763"/>
      <c r="CW158" s="763"/>
      <c r="CX158" s="763"/>
      <c r="CY158" s="763"/>
      <c r="CZ158" s="763"/>
      <c r="DA158" s="763"/>
      <c r="DB158" s="763"/>
      <c r="DC158" s="763"/>
      <c r="DD158" s="763"/>
      <c r="DE158" s="763"/>
      <c r="DF158" s="763"/>
      <c r="DG158" s="763"/>
      <c r="DH158" s="763"/>
      <c r="DI158" s="763"/>
      <c r="DJ158" s="763"/>
      <c r="DK158" s="763"/>
      <c r="DL158" s="763"/>
      <c r="DM158" s="763"/>
      <c r="DN158" s="763"/>
      <c r="DO158" s="763"/>
      <c r="DP158" s="763"/>
      <c r="DQ158" s="763"/>
      <c r="DR158" s="763"/>
      <c r="DS158" s="763"/>
      <c r="DT158" s="763"/>
      <c r="DU158" s="763"/>
      <c r="DV158" s="763"/>
      <c r="DW158" s="763"/>
      <c r="DX158" s="763"/>
      <c r="DY158" s="763"/>
      <c r="DZ158" s="763"/>
      <c r="EA158" s="763"/>
      <c r="EB158" s="763"/>
      <c r="EC158" s="763"/>
      <c r="ED158" s="763"/>
      <c r="EE158" s="763"/>
      <c r="EF158" s="763"/>
      <c r="EG158" s="763"/>
      <c r="EH158" s="763"/>
      <c r="EI158" s="763"/>
      <c r="EJ158" s="763"/>
      <c r="EK158" s="763"/>
      <c r="EL158" s="763"/>
      <c r="EM158" s="763"/>
      <c r="EN158" s="763"/>
      <c r="EO158" s="763"/>
      <c r="EP158" s="763"/>
      <c r="EQ158" s="763"/>
      <c r="ER158" s="763"/>
      <c r="ES158" s="763"/>
      <c r="ET158" s="763"/>
      <c r="EU158" s="763"/>
      <c r="EV158" s="763"/>
      <c r="EW158" s="763"/>
      <c r="EX158" s="763"/>
      <c r="EY158" s="763"/>
      <c r="EZ158" s="763"/>
      <c r="FA158" s="763"/>
      <c r="FB158" s="763"/>
      <c r="FC158" s="763"/>
      <c r="FD158" s="763"/>
      <c r="FE158" s="763"/>
      <c r="FF158" s="763"/>
      <c r="FG158" s="763"/>
      <c r="FH158" s="763"/>
      <c r="FI158" s="763"/>
      <c r="FJ158" s="763"/>
      <c r="FK158" s="763"/>
      <c r="FL158" s="763"/>
      <c r="FM158" s="763"/>
      <c r="FN158" s="763"/>
      <c r="FO158" s="763"/>
      <c r="FP158" s="763"/>
      <c r="FQ158" s="763"/>
      <c r="FR158" s="763"/>
      <c r="FS158" s="763"/>
      <c r="FT158" s="763"/>
      <c r="FU158" s="763"/>
      <c r="FV158" s="763"/>
      <c r="FW158" s="763"/>
      <c r="FX158" s="763"/>
      <c r="FY158" s="763"/>
      <c r="FZ158" s="763"/>
      <c r="GA158" s="763"/>
      <c r="GB158" s="763"/>
      <c r="GC158" s="763"/>
      <c r="GD158" s="763"/>
      <c r="GE158" s="763"/>
      <c r="GF158" s="763"/>
      <c r="GG158" s="763"/>
      <c r="GH158" s="763"/>
      <c r="GI158" s="763"/>
      <c r="GJ158" s="763"/>
      <c r="GK158" s="763"/>
      <c r="GL158" s="763"/>
      <c r="GM158" s="763"/>
      <c r="GN158" s="763"/>
      <c r="GO158" s="763"/>
      <c r="GP158" s="763"/>
      <c r="GQ158" s="763"/>
    </row>
    <row r="159" spans="1:269" x14ac:dyDescent="0.2">
      <c r="A159" s="1304"/>
      <c r="B159" s="1215"/>
      <c r="C159" s="2425"/>
      <c r="D159" s="2425"/>
      <c r="E159" s="2425"/>
      <c r="F159" s="2425"/>
      <c r="G159" s="2425"/>
      <c r="H159" s="2425"/>
      <c r="I159" s="2425"/>
      <c r="J159" s="2425"/>
      <c r="K159" s="2425"/>
      <c r="L159" s="2425"/>
      <c r="M159" s="2425"/>
      <c r="N159" s="2425"/>
      <c r="O159" s="2425"/>
      <c r="P159" s="2425"/>
      <c r="Q159" s="2425"/>
      <c r="R159" s="2425"/>
      <c r="S159" s="2425"/>
      <c r="T159" s="2425"/>
      <c r="U159" s="2425"/>
      <c r="V159" s="2425"/>
      <c r="W159" s="2425"/>
      <c r="X159" s="2425"/>
      <c r="Y159" s="1215"/>
      <c r="Z159" s="1209"/>
      <c r="AB159" s="2400"/>
      <c r="AQ159" s="1361"/>
    </row>
    <row r="160" spans="1:269" x14ac:dyDescent="0.2">
      <c r="A160" s="1304"/>
      <c r="B160" s="1215"/>
      <c r="C160" s="1215"/>
      <c r="D160" s="1215"/>
      <c r="E160" s="1215"/>
      <c r="F160" s="1215"/>
      <c r="G160" s="1215"/>
      <c r="H160" s="1215"/>
      <c r="I160" s="1215"/>
      <c r="J160" s="1215"/>
      <c r="K160" s="1215"/>
      <c r="L160" s="1215"/>
      <c r="M160" s="1215"/>
      <c r="N160" s="2404" t="s">
        <v>795</v>
      </c>
      <c r="O160" s="2404"/>
      <c r="P160" s="1794"/>
      <c r="Q160" s="2404" t="s">
        <v>796</v>
      </c>
      <c r="R160" s="2404"/>
      <c r="S160" s="1794"/>
      <c r="T160" s="2404" t="s">
        <v>797</v>
      </c>
      <c r="U160" s="2404"/>
      <c r="V160" s="1794"/>
      <c r="W160" s="2404" t="s">
        <v>814</v>
      </c>
      <c r="X160" s="2404"/>
      <c r="Y160" s="1215"/>
      <c r="Z160" s="1209"/>
      <c r="AB160" s="1275"/>
      <c r="AQ160" s="1361"/>
    </row>
    <row r="161" spans="1:44" ht="15.75" customHeight="1" x14ac:dyDescent="0.2">
      <c r="A161" s="1304"/>
      <c r="B161" s="1215"/>
      <c r="C161" s="1215"/>
      <c r="D161" s="1215"/>
      <c r="E161" s="1215"/>
      <c r="F161" s="1215"/>
      <c r="G161" s="1215"/>
      <c r="H161" s="1215"/>
      <c r="I161" s="1215"/>
      <c r="J161" s="1215"/>
      <c r="K161" s="1215"/>
      <c r="L161" s="1215"/>
      <c r="M161" s="1215"/>
      <c r="N161" s="2407" t="str">
        <f>+N88</f>
        <v>ZZZZ</v>
      </c>
      <c r="O161" s="2407"/>
      <c r="P161" s="1211"/>
      <c r="Q161" s="2407" t="str">
        <f>+Q88</f>
        <v>0 County Council</v>
      </c>
      <c r="R161" s="2407"/>
      <c r="S161" s="1211"/>
      <c r="T161" s="2407">
        <f>+T88</f>
        <v>0</v>
      </c>
      <c r="U161" s="2407"/>
      <c r="V161" s="1800"/>
      <c r="W161" s="2426" t="s">
        <v>806</v>
      </c>
      <c r="X161" s="2426"/>
      <c r="Y161" s="1215"/>
      <c r="Z161" s="1209"/>
      <c r="AB161" s="1275"/>
      <c r="AQ161" s="1361"/>
    </row>
    <row r="162" spans="1:44" ht="15" customHeight="1" x14ac:dyDescent="0.2">
      <c r="A162" s="1304"/>
      <c r="B162" s="1215"/>
      <c r="C162" s="1215"/>
      <c r="D162" s="1215"/>
      <c r="E162" s="1215"/>
      <c r="F162" s="1215"/>
      <c r="G162" s="1215"/>
      <c r="H162" s="1215"/>
      <c r="I162" s="1215"/>
      <c r="J162" s="1215"/>
      <c r="K162" s="1215"/>
      <c r="L162" s="1215"/>
      <c r="M162" s="1215"/>
      <c r="N162" s="2407"/>
      <c r="O162" s="2407"/>
      <c r="P162" s="1211"/>
      <c r="Q162" s="2407"/>
      <c r="R162" s="2407"/>
      <c r="S162" s="1211"/>
      <c r="T162" s="2407"/>
      <c r="U162" s="2407"/>
      <c r="V162" s="1211"/>
      <c r="W162" s="1211"/>
      <c r="X162" s="1211"/>
      <c r="Y162" s="1215"/>
      <c r="Z162" s="1209"/>
      <c r="AB162" s="1277" t="s">
        <v>70</v>
      </c>
      <c r="AQ162" s="1361"/>
    </row>
    <row r="163" spans="1:44" ht="15" customHeight="1" x14ac:dyDescent="0.2">
      <c r="A163" s="1304"/>
      <c r="B163" s="1215"/>
      <c r="C163" s="1215"/>
      <c r="D163" s="1215"/>
      <c r="E163" s="1215"/>
      <c r="F163" s="1215"/>
      <c r="G163" s="1215"/>
      <c r="H163" s="1215"/>
      <c r="I163" s="1215"/>
      <c r="J163" s="1215"/>
      <c r="K163" s="1215"/>
      <c r="L163" s="1215"/>
      <c r="M163" s="1215"/>
      <c r="N163" s="2407"/>
      <c r="O163" s="2407"/>
      <c r="P163" s="1211"/>
      <c r="Q163" s="2407"/>
      <c r="R163" s="2407"/>
      <c r="S163" s="1211"/>
      <c r="T163" s="2407"/>
      <c r="U163" s="2407"/>
      <c r="V163" s="1211"/>
      <c r="W163" s="1211"/>
      <c r="X163" s="1211"/>
      <c r="Y163" s="1215"/>
      <c r="Z163" s="1209"/>
      <c r="AB163" s="1227" t="s">
        <v>71</v>
      </c>
      <c r="AQ163" s="1361"/>
    </row>
    <row r="164" spans="1:44" ht="16.5" thickBot="1" x14ac:dyDescent="0.3">
      <c r="A164" s="1304"/>
      <c r="B164" s="1215"/>
      <c r="C164" s="1271" t="s">
        <v>963</v>
      </c>
      <c r="D164" s="1271"/>
      <c r="E164" s="1215"/>
      <c r="F164" s="1215"/>
      <c r="G164" s="1215"/>
      <c r="H164" s="1215"/>
      <c r="I164" s="1215"/>
      <c r="J164" s="1215"/>
      <c r="K164" s="1215"/>
      <c r="L164" s="1215"/>
      <c r="M164" s="1215"/>
      <c r="N164" s="2406" t="s">
        <v>786</v>
      </c>
      <c r="O164" s="2406"/>
      <c r="P164" s="1211"/>
      <c r="Q164" s="2406" t="s">
        <v>786</v>
      </c>
      <c r="R164" s="2406"/>
      <c r="S164" s="1211"/>
      <c r="T164" s="2406" t="s">
        <v>786</v>
      </c>
      <c r="U164" s="2406"/>
      <c r="V164" s="1800"/>
      <c r="W164" s="2406" t="s">
        <v>786</v>
      </c>
      <c r="X164" s="2406"/>
      <c r="Y164" s="1215"/>
      <c r="Z164" s="1209"/>
      <c r="AB164" s="1224"/>
      <c r="AQ164" s="1361"/>
    </row>
    <row r="165" spans="1:44" ht="16.5" thickBot="1" x14ac:dyDescent="0.25">
      <c r="A165" s="1304"/>
      <c r="B165" s="1215"/>
      <c r="C165" s="1192"/>
      <c r="D165" s="1192" t="s">
        <v>2263</v>
      </c>
      <c r="E165" s="1192"/>
      <c r="F165" s="1192"/>
      <c r="G165" s="1192"/>
      <c r="H165" s="1192"/>
      <c r="I165" s="1192"/>
      <c r="J165" s="1192"/>
      <c r="K165" s="1192"/>
      <c r="L165" s="1308"/>
      <c r="M165" s="1308"/>
      <c r="N165" s="2363" t="e">
        <f>ROUND((+N126-N104-N122)*7/466,0)</f>
        <v>#N/A</v>
      </c>
      <c r="O165" s="2364"/>
      <c r="P165" s="1211"/>
      <c r="Q165" s="2363" t="e">
        <f>ROUND((+Q126-Q122-Q104)*7/466,0)</f>
        <v>#N/A</v>
      </c>
      <c r="R165" s="2364"/>
      <c r="S165" s="1211"/>
      <c r="T165" s="2363" t="e">
        <f>ROUND((+T126-T122-T104)*7/466,0)</f>
        <v>#N/A</v>
      </c>
      <c r="U165" s="2364"/>
      <c r="V165" s="1211"/>
      <c r="W165" s="2363" t="e">
        <f>+N165+Q165+T165</f>
        <v>#N/A</v>
      </c>
      <c r="X165" s="2364"/>
      <c r="Y165" s="1215"/>
      <c r="Z165" s="1216"/>
      <c r="AB165" s="1224" t="e">
        <f>+IF(N165+Q165+T165-W165=0,0,1)</f>
        <v>#N/A</v>
      </c>
      <c r="AD165" s="9">
        <f>IF(K165='Part 1'!K165,0,1)</f>
        <v>0</v>
      </c>
      <c r="AE165" s="9">
        <f>IF(L165='Part 1'!L165,0,1)</f>
        <v>0</v>
      </c>
      <c r="AF165" s="9">
        <f>IF(M165='Part 1'!M165,0,1)</f>
        <v>0</v>
      </c>
      <c r="AG165" s="9" t="e">
        <f>IF(N165='Part 1'!N165,0,1)</f>
        <v>#N/A</v>
      </c>
      <c r="AH165" s="9">
        <f>IF(O165='Part 1'!O165,0,1)</f>
        <v>0</v>
      </c>
      <c r="AI165" s="9">
        <f>IF(P165='Part 1'!P165,0,1)</f>
        <v>0</v>
      </c>
      <c r="AJ165" s="9" t="e">
        <f>IF(Q165='Part 1'!Q165,0,1)</f>
        <v>#N/A</v>
      </c>
      <c r="AK165" s="9">
        <f>IF(R165='Part 1'!R165,0,1)</f>
        <v>0</v>
      </c>
      <c r="AL165" s="9">
        <f>IF(S165='Part 1'!S165,0,1)</f>
        <v>0</v>
      </c>
      <c r="AM165" s="9" t="e">
        <f>IF(T165='Part 1'!T165,0,1)</f>
        <v>#N/A</v>
      </c>
      <c r="AN165" s="9">
        <f>IF(U165='Part 1'!U165,0,1)</f>
        <v>0</v>
      </c>
      <c r="AO165" s="9">
        <f>IF(V165='Part 1'!V165,0,1)</f>
        <v>0</v>
      </c>
      <c r="AP165" s="9" t="e">
        <f>IF(W165='Part 1'!W165,0,1)</f>
        <v>#N/A</v>
      </c>
      <c r="AQ165" s="1361" t="e">
        <f t="shared" ref="AQ165:AQ189" si="3">IF(SUM(AD165:AP165)&gt;1,1,0)</f>
        <v>#N/A</v>
      </c>
    </row>
    <row r="166" spans="1:44" x14ac:dyDescent="0.2">
      <c r="A166" s="1304"/>
      <c r="B166" s="1215"/>
      <c r="C166" s="1192"/>
      <c r="D166" s="1192"/>
      <c r="E166" s="1309"/>
      <c r="F166" s="1309"/>
      <c r="G166" s="1309"/>
      <c r="H166" s="1309"/>
      <c r="I166" s="1309"/>
      <c r="J166" s="1309"/>
      <c r="K166" s="1192"/>
      <c r="L166" s="1215"/>
      <c r="M166" s="1215"/>
      <c r="N166" s="1310"/>
      <c r="O166" s="1310"/>
      <c r="P166" s="1310"/>
      <c r="Q166" s="1310"/>
      <c r="R166" s="1310"/>
      <c r="S166" s="1310"/>
      <c r="T166" s="1310"/>
      <c r="U166" s="1310"/>
      <c r="V166" s="1310"/>
      <c r="W166" s="1310"/>
      <c r="X166" s="1310"/>
      <c r="Y166" s="1215"/>
      <c r="Z166" s="1209"/>
      <c r="AA166" s="1311"/>
      <c r="AB166" s="1224"/>
      <c r="AQ166" s="1361"/>
    </row>
    <row r="167" spans="1:44" ht="16.5" thickBot="1" x14ac:dyDescent="0.3">
      <c r="A167" s="1304"/>
      <c r="B167" s="1215"/>
      <c r="C167" s="1271" t="s">
        <v>798</v>
      </c>
      <c r="D167" s="1192"/>
      <c r="E167" s="1309"/>
      <c r="F167" s="1309"/>
      <c r="G167" s="1309"/>
      <c r="H167" s="1309"/>
      <c r="I167" s="1309"/>
      <c r="J167" s="1309"/>
      <c r="K167" s="1192"/>
      <c r="L167" s="1215"/>
      <c r="M167" s="1215"/>
      <c r="N167" s="1310"/>
      <c r="O167" s="1310"/>
      <c r="P167" s="1310"/>
      <c r="Q167" s="1310"/>
      <c r="R167" s="1310"/>
      <c r="S167" s="1310"/>
      <c r="T167" s="1310"/>
      <c r="U167" s="1310"/>
      <c r="V167" s="1310"/>
      <c r="W167" s="1310"/>
      <c r="X167" s="1310"/>
      <c r="Y167" s="1215"/>
      <c r="Z167" s="1209"/>
      <c r="AA167" s="1311"/>
      <c r="AB167" s="1224"/>
      <c r="AQ167" s="1361"/>
    </row>
    <row r="168" spans="1:44" ht="16.5" thickBot="1" x14ac:dyDescent="0.3">
      <c r="A168" s="1304"/>
      <c r="B168" s="1215"/>
      <c r="C168" s="1192"/>
      <c r="D168" s="1192" t="s">
        <v>2281</v>
      </c>
      <c r="E168" s="1192"/>
      <c r="F168" s="1192"/>
      <c r="G168" s="1192"/>
      <c r="H168" s="1192"/>
      <c r="I168" s="1192"/>
      <c r="J168" s="1272"/>
      <c r="K168" s="1192"/>
      <c r="L168" s="1308"/>
      <c r="M168" s="1308"/>
      <c r="N168" s="2363">
        <f>ROUND(+W168-Q168-T168,0)</f>
        <v>0</v>
      </c>
      <c r="O168" s="2364"/>
      <c r="P168" s="1312"/>
      <c r="Q168" s="2363">
        <f>+ROUND(((('Part 2'!J56-'Part 2'!J58)+(('Part 2'!J56-'Part 2'!J58)*7/466))*0.5)*-1*Q92,0)</f>
        <v>0</v>
      </c>
      <c r="R168" s="2364"/>
      <c r="S168" s="1312"/>
      <c r="T168" s="2363">
        <f>+ROUND(((('Part 2'!J56-'Part 2'!J58)+(('Part 2'!J56-'Part 2'!J58)*7/466))*0.5)*-1*T92,0)</f>
        <v>0</v>
      </c>
      <c r="U168" s="2364"/>
      <c r="V168" s="1211"/>
      <c r="W168" s="2363">
        <f>+ROUND(((('Part 2'!J56-'Part 2'!J58)+(('Part 2'!J56-'Part 2'!J58)*7/466))*0.5*VLOOKUP('Part 1'!$L$17,TierSplit!$A$6:$J$332,10,FALSE))+((('Part 2'!N56-'Part 2'!N58)+(('Part 2'!N56-'Part 2'!N58)*7/466))*0.5),0)*-1</f>
        <v>0</v>
      </c>
      <c r="X168" s="2364"/>
      <c r="Y168" s="1215"/>
      <c r="Z168" s="1216"/>
      <c r="AA168" s="1311"/>
      <c r="AB168" s="1224">
        <f>+IF(N168+Q168+T168-W168=0,0,1)</f>
        <v>0</v>
      </c>
      <c r="AD168" s="9">
        <f>IF(K168='Part 1'!K168,0,1)</f>
        <v>0</v>
      </c>
      <c r="AE168" s="9">
        <f>IF(L168='Part 1'!L168,0,1)</f>
        <v>0</v>
      </c>
      <c r="AF168" s="9">
        <f>IF(M168='Part 1'!M168,0,1)</f>
        <v>0</v>
      </c>
      <c r="AG168" s="9">
        <f>IF(N168='Part 1'!N168,0,1)</f>
        <v>0</v>
      </c>
      <c r="AH168" s="9">
        <f>IF(O168='Part 1'!O168,0,1)</f>
        <v>0</v>
      </c>
      <c r="AI168" s="9">
        <f>IF(P168='Part 1'!P168,0,1)</f>
        <v>0</v>
      </c>
      <c r="AJ168" s="9">
        <f>IF(Q168='Part 1'!Q168,0,1)</f>
        <v>0</v>
      </c>
      <c r="AK168" s="9">
        <f>IF(R168='Part 1'!R168,0,1)</f>
        <v>0</v>
      </c>
      <c r="AL168" s="9">
        <f>IF(S168='Part 1'!S168,0,1)</f>
        <v>0</v>
      </c>
      <c r="AM168" s="9">
        <f>IF(T168='Part 1'!T168,0,1)</f>
        <v>0</v>
      </c>
      <c r="AN168" s="9">
        <f>IF(U168='Part 1'!U168,0,1)</f>
        <v>0</v>
      </c>
      <c r="AO168" s="9">
        <f>IF(V168='Part 1'!V168,0,1)</f>
        <v>0</v>
      </c>
      <c r="AP168" s="9">
        <f>IF(W168='Part 1'!W168,0,1)</f>
        <v>0</v>
      </c>
      <c r="AQ168" s="1361">
        <f t="shared" si="3"/>
        <v>0</v>
      </c>
      <c r="AR168" s="975"/>
    </row>
    <row r="169" spans="1:44" ht="16.5" thickBot="1" x14ac:dyDescent="0.3">
      <c r="A169" s="1304"/>
      <c r="B169" s="1215"/>
      <c r="C169" s="1271"/>
      <c r="D169" s="1192"/>
      <c r="E169" s="1309"/>
      <c r="F169" s="1309"/>
      <c r="G169" s="1309"/>
      <c r="H169" s="1309"/>
      <c r="I169" s="1309"/>
      <c r="J169" s="1309"/>
      <c r="K169" s="1192"/>
      <c r="L169" s="1215"/>
      <c r="M169" s="1215"/>
      <c r="N169" s="1310"/>
      <c r="O169" s="1310"/>
      <c r="P169" s="1310"/>
      <c r="Q169" s="1310"/>
      <c r="R169" s="1310"/>
      <c r="S169" s="1310"/>
      <c r="T169" s="1310"/>
      <c r="U169" s="1310"/>
      <c r="V169" s="1310"/>
      <c r="W169" s="1310"/>
      <c r="X169" s="1310"/>
      <c r="Y169" s="1215"/>
      <c r="Z169" s="1209"/>
      <c r="AA169" s="1311"/>
      <c r="AB169" s="1224"/>
      <c r="AQ169" s="1361"/>
    </row>
    <row r="170" spans="1:44" ht="16.5" thickBot="1" x14ac:dyDescent="0.25">
      <c r="A170" s="1304"/>
      <c r="B170" s="1215"/>
      <c r="C170" s="1192"/>
      <c r="D170" s="1192" t="s">
        <v>2264</v>
      </c>
      <c r="E170" s="1309"/>
      <c r="F170" s="1309"/>
      <c r="G170" s="1309"/>
      <c r="H170" s="1309"/>
      <c r="I170" s="1309"/>
      <c r="J170" s="1309"/>
      <c r="K170" s="1309"/>
      <c r="L170" s="1215"/>
      <c r="M170" s="1215"/>
      <c r="N170" s="2363">
        <f>ROUND(+W170-Q170-T170,0)</f>
        <v>0</v>
      </c>
      <c r="O170" s="2364"/>
      <c r="P170" s="1211"/>
      <c r="Q170" s="2363">
        <f>ROUND(+('Part 2'!$J$58+('Part 2'!$J$58*7/466))*-1*$Q$92,0)</f>
        <v>0</v>
      </c>
      <c r="R170" s="2364"/>
      <c r="S170" s="1211"/>
      <c r="T170" s="2363">
        <f>ROUND(+('Part 2'!$J$58+('Part 2'!$J$58*7/466))*-1*$T$92,0)</f>
        <v>0</v>
      </c>
      <c r="U170" s="2364"/>
      <c r="V170" s="1211"/>
      <c r="W170" s="2363">
        <f>ROUND(((ROUND(+('Part 2'!$J$58+('Part 2'!$J$58*7/466))*VLOOKUP('Part 1'!$L$17,TierSplit!$A$6:$J$332,10,FALSE),0)*-1)+(ROUND(+('Part 2'!N58+('Part 2'!N58*7/466)),0)*-1)), 0)</f>
        <v>0</v>
      </c>
      <c r="X170" s="2364"/>
      <c r="Y170" s="1215"/>
      <c r="Z170" s="1216"/>
      <c r="AB170" s="1224">
        <f>+IF(N170+Q170+T170-W170=0,0,1)</f>
        <v>0</v>
      </c>
      <c r="AD170" s="9">
        <f>IF(K170='Part 1'!K170,0,1)</f>
        <v>0</v>
      </c>
      <c r="AE170" s="9">
        <f>IF(L170='Part 1'!L170,0,1)</f>
        <v>0</v>
      </c>
      <c r="AF170" s="9">
        <f>IF(M170='Part 1'!M170,0,1)</f>
        <v>0</v>
      </c>
      <c r="AG170" s="9">
        <f>IF(N170='Part 1'!N170,0,1)</f>
        <v>0</v>
      </c>
      <c r="AH170" s="9">
        <f>IF(O170='Part 1'!O170,0,1)</f>
        <v>0</v>
      </c>
      <c r="AI170" s="9">
        <f>IF(P170='Part 1'!P170,0,1)</f>
        <v>0</v>
      </c>
      <c r="AJ170" s="9">
        <f>IF(Q170='Part 1'!Q170,0,1)</f>
        <v>0</v>
      </c>
      <c r="AK170" s="9">
        <f>IF(R170='Part 1'!R170,0,1)</f>
        <v>0</v>
      </c>
      <c r="AL170" s="9">
        <f>IF(S170='Part 1'!S170,0,1)</f>
        <v>0</v>
      </c>
      <c r="AM170" s="9">
        <f>IF(T170='Part 1'!T170,0,1)</f>
        <v>0</v>
      </c>
      <c r="AN170" s="9">
        <f>IF(U170='Part 1'!U170,0,1)</f>
        <v>0</v>
      </c>
      <c r="AO170" s="9">
        <f>IF(V170='Part 1'!V170,0,1)</f>
        <v>0</v>
      </c>
      <c r="AP170" s="9">
        <f>IF(W170='Part 1'!W170,0,1)</f>
        <v>0</v>
      </c>
      <c r="AQ170" s="1361">
        <f t="shared" si="3"/>
        <v>0</v>
      </c>
    </row>
    <row r="171" spans="1:44" x14ac:dyDescent="0.2">
      <c r="A171" s="1304"/>
      <c r="B171" s="1215"/>
      <c r="C171" s="1192"/>
      <c r="D171" s="1192"/>
      <c r="E171" s="1309"/>
      <c r="F171" s="1309"/>
      <c r="G171" s="1309"/>
      <c r="H171" s="1309"/>
      <c r="I171" s="1309"/>
      <c r="J171" s="1309"/>
      <c r="K171" s="1309"/>
      <c r="L171" s="1215"/>
      <c r="M171" s="1215"/>
      <c r="N171" s="1310"/>
      <c r="O171" s="1310"/>
      <c r="P171" s="1310"/>
      <c r="Q171" s="1310"/>
      <c r="R171" s="1310"/>
      <c r="S171" s="1310"/>
      <c r="T171" s="1310"/>
      <c r="U171" s="1310"/>
      <c r="V171" s="1310"/>
      <c r="W171" s="1310"/>
      <c r="X171" s="1310"/>
      <c r="Y171" s="1215"/>
      <c r="Z171" s="1209"/>
      <c r="AA171" s="1311"/>
      <c r="AB171" s="1224"/>
      <c r="AQ171" s="1361"/>
    </row>
    <row r="172" spans="1:44" ht="16.5" thickBot="1" x14ac:dyDescent="0.3">
      <c r="A172" s="1304"/>
      <c r="B172" s="1215"/>
      <c r="C172" s="1271" t="s">
        <v>593</v>
      </c>
      <c r="D172" s="1192"/>
      <c r="E172" s="1309"/>
      <c r="F172" s="1309"/>
      <c r="G172" s="1309"/>
      <c r="H172" s="1309"/>
      <c r="I172" s="1309"/>
      <c r="J172" s="1309"/>
      <c r="K172" s="1309"/>
      <c r="L172" s="1215"/>
      <c r="M172" s="1215"/>
      <c r="N172" s="1310"/>
      <c r="O172" s="1310"/>
      <c r="P172" s="1310"/>
      <c r="Q172" s="1310"/>
      <c r="R172" s="1310"/>
      <c r="S172" s="1310"/>
      <c r="T172" s="1310"/>
      <c r="U172" s="1310"/>
      <c r="V172" s="1310"/>
      <c r="W172" s="1310"/>
      <c r="X172" s="1310"/>
      <c r="Y172" s="1215"/>
      <c r="Z172" s="1209"/>
      <c r="AB172" s="1224"/>
      <c r="AQ172" s="1361"/>
    </row>
    <row r="173" spans="1:44" ht="16.5" thickBot="1" x14ac:dyDescent="0.25">
      <c r="A173" s="1304"/>
      <c r="B173" s="1215"/>
      <c r="C173" s="1192"/>
      <c r="D173" s="1192" t="s">
        <v>2265</v>
      </c>
      <c r="E173" s="1309"/>
      <c r="F173" s="1309"/>
      <c r="G173" s="1309"/>
      <c r="H173" s="1309"/>
      <c r="I173" s="1309"/>
      <c r="J173" s="1309"/>
      <c r="K173" s="1309"/>
      <c r="L173" s="1215"/>
      <c r="M173" s="1215"/>
      <c r="N173" s="2363">
        <f>ROUND(+W173-Q173-T173,0)</f>
        <v>0</v>
      </c>
      <c r="O173" s="2364"/>
      <c r="P173" s="1211"/>
      <c r="Q173" s="2363">
        <f>ROUND(+('Part 2'!$J$153+('Part 2'!$J$153*7/466))*-1*$Q$92,0)</f>
        <v>0</v>
      </c>
      <c r="R173" s="2364"/>
      <c r="S173" s="1211"/>
      <c r="T173" s="2363">
        <f>ROUND(+('Part 2'!$J$153+('Part 2'!$J$153*7/466))*-1*$T$92,0)</f>
        <v>0</v>
      </c>
      <c r="U173" s="2364"/>
      <c r="V173" s="1211"/>
      <c r="W173" s="2363">
        <f>ROUND(((ROUND(+('Part 2'!$J$153+('Part 2'!$J$153*7/466))*VLOOKUP('Part 1'!$L$17,TierSplit!$A$6:$J$332,10,FALSE),0)*-1)+(ROUND(+('Part 2'!N153+('Part 2'!N153*7/466)),0)*-1)), 0)</f>
        <v>0</v>
      </c>
      <c r="X173" s="2364"/>
      <c r="Y173" s="1215"/>
      <c r="Z173" s="1216"/>
      <c r="AB173" s="1224">
        <f>+IF(N173+Q173+T173-W173=0,0,1)</f>
        <v>0</v>
      </c>
      <c r="AC173" s="476"/>
      <c r="AD173" s="9">
        <f>IF(K173='Part 1'!K173,0,1)</f>
        <v>0</v>
      </c>
      <c r="AE173" s="9">
        <f>IF(L173='Part 1'!L173,0,1)</f>
        <v>0</v>
      </c>
      <c r="AF173" s="9">
        <f>IF(M173='Part 1'!M173,0,1)</f>
        <v>0</v>
      </c>
      <c r="AG173" s="9">
        <f>IF(N173='Part 1'!N173,0,1)</f>
        <v>0</v>
      </c>
      <c r="AH173" s="9">
        <f>IF(O173='Part 1'!O173,0,1)</f>
        <v>0</v>
      </c>
      <c r="AI173" s="9">
        <f>IF(P173='Part 1'!P173,0,1)</f>
        <v>0</v>
      </c>
      <c r="AJ173" s="9">
        <f>IF(Q173='Part 1'!Q173,0,1)</f>
        <v>0</v>
      </c>
      <c r="AK173" s="9">
        <f>IF(R173='Part 1'!R173,0,1)</f>
        <v>0</v>
      </c>
      <c r="AL173" s="9">
        <f>IF(S173='Part 1'!S173,0,1)</f>
        <v>0</v>
      </c>
      <c r="AM173" s="9">
        <f>IF(T173='Part 1'!T173,0,1)</f>
        <v>0</v>
      </c>
      <c r="AN173" s="9">
        <f>IF(U173='Part 1'!U173,0,1)</f>
        <v>0</v>
      </c>
      <c r="AO173" s="9">
        <f>IF(V173='Part 1'!V173,0,1)</f>
        <v>0</v>
      </c>
      <c r="AP173" s="9">
        <f>IF(W173='Part 1'!W173,0,1)</f>
        <v>0</v>
      </c>
      <c r="AQ173" s="1361">
        <f t="shared" si="3"/>
        <v>0</v>
      </c>
    </row>
    <row r="174" spans="1:44" x14ac:dyDescent="0.2">
      <c r="A174" s="1304"/>
      <c r="B174" s="1215"/>
      <c r="C174" s="1192"/>
      <c r="D174" s="1192"/>
      <c r="E174" s="1309"/>
      <c r="F174" s="1309"/>
      <c r="G174" s="1309"/>
      <c r="H174" s="1309"/>
      <c r="I174" s="1309"/>
      <c r="J174" s="1309"/>
      <c r="K174" s="1309"/>
      <c r="L174" s="1215"/>
      <c r="M174" s="1215"/>
      <c r="N174" s="1310"/>
      <c r="O174" s="1310"/>
      <c r="P174" s="1310"/>
      <c r="Q174" s="1310"/>
      <c r="R174" s="1310"/>
      <c r="S174" s="1310"/>
      <c r="T174" s="1310"/>
      <c r="U174" s="1310"/>
      <c r="V174" s="1310"/>
      <c r="W174" s="1310"/>
      <c r="X174" s="1310"/>
      <c r="Y174" s="1215"/>
      <c r="Z174" s="1209"/>
      <c r="AA174" s="1313"/>
      <c r="AB174" s="1224"/>
      <c r="AQ174" s="1361"/>
    </row>
    <row r="175" spans="1:44" ht="16.5" thickBot="1" x14ac:dyDescent="0.3">
      <c r="A175" s="1304"/>
      <c r="B175" s="1215"/>
      <c r="C175" s="1271" t="s">
        <v>594</v>
      </c>
      <c r="D175" s="1192"/>
      <c r="E175" s="1309"/>
      <c r="F175" s="1309"/>
      <c r="G175" s="1309"/>
      <c r="H175" s="1309"/>
      <c r="I175" s="1309"/>
      <c r="J175" s="1309"/>
      <c r="K175" s="1309"/>
      <c r="L175" s="1215"/>
      <c r="M175" s="1215"/>
      <c r="N175" s="1310"/>
      <c r="O175" s="1310"/>
      <c r="P175" s="1310"/>
      <c r="Q175" s="1310"/>
      <c r="R175" s="1310"/>
      <c r="S175" s="1310"/>
      <c r="T175" s="1310"/>
      <c r="U175" s="1310"/>
      <c r="V175" s="1310"/>
      <c r="W175" s="1310"/>
      <c r="X175" s="1310"/>
      <c r="Y175" s="1215"/>
      <c r="Z175" s="1209"/>
      <c r="AB175" s="1224"/>
      <c r="AQ175" s="1361"/>
    </row>
    <row r="176" spans="1:44" ht="16.5" thickBot="1" x14ac:dyDescent="0.25">
      <c r="A176" s="1304"/>
      <c r="B176" s="1215"/>
      <c r="C176" s="1192"/>
      <c r="D176" s="1192" t="s">
        <v>2266</v>
      </c>
      <c r="E176" s="1309"/>
      <c r="F176" s="1309"/>
      <c r="G176" s="1309"/>
      <c r="H176" s="1309"/>
      <c r="I176" s="1309"/>
      <c r="J176" s="1309"/>
      <c r="K176" s="1309"/>
      <c r="L176" s="1215"/>
      <c r="M176" s="1215"/>
      <c r="N176" s="2363">
        <f>ROUND(+W176-Q176-T176,0)</f>
        <v>0</v>
      </c>
      <c r="O176" s="2364"/>
      <c r="P176" s="1211"/>
      <c r="Q176" s="2363">
        <f>ROUND(+('Part 2'!$J$156+('Part 2'!$J$156*7/466))*-1*$Q$92,0)</f>
        <v>0</v>
      </c>
      <c r="R176" s="2364"/>
      <c r="S176" s="1211"/>
      <c r="T176" s="2363">
        <f>ROUND(+('Part 2'!$J$156+('Part 2'!$J$156*7/466))*-1*$T$92,0)</f>
        <v>0</v>
      </c>
      <c r="U176" s="2364"/>
      <c r="V176" s="1211"/>
      <c r="W176" s="2363">
        <f>ROUND(((ROUND(+('Part 2'!$J$156+('Part 2'!$J$156*7/466))*VLOOKUP('Part 1'!$L$17,TierSplit!$A$6:$J$332,10,FALSE),0)*-1)+(ROUND(+('Part 2'!N156+('Part 2'!N156*7/466)),0)*-1)), 0)</f>
        <v>0</v>
      </c>
      <c r="X176" s="2364"/>
      <c r="Y176" s="1215"/>
      <c r="Z176" s="1216"/>
      <c r="AB176" s="1224">
        <f>+IF(N176+Q176+T176-W176=0,0,1)</f>
        <v>0</v>
      </c>
      <c r="AD176" s="9">
        <f>IF(K176='Part 1'!K176,0,1)</f>
        <v>0</v>
      </c>
      <c r="AE176" s="9">
        <f>IF(L176='Part 1'!L176,0,1)</f>
        <v>0</v>
      </c>
      <c r="AF176" s="9">
        <f>IF(M176='Part 1'!M176,0,1)</f>
        <v>0</v>
      </c>
      <c r="AG176" s="9">
        <f>IF(N176='Part 1'!N176,0,1)</f>
        <v>0</v>
      </c>
      <c r="AH176" s="9">
        <f>IF(O176='Part 1'!O176,0,1)</f>
        <v>0</v>
      </c>
      <c r="AI176" s="9">
        <f>IF(P176='Part 1'!P176,0,1)</f>
        <v>0</v>
      </c>
      <c r="AJ176" s="9">
        <f>IF(Q176='Part 1'!Q176,0,1)</f>
        <v>0</v>
      </c>
      <c r="AK176" s="9">
        <f>IF(R176='Part 1'!R176,0,1)</f>
        <v>0</v>
      </c>
      <c r="AL176" s="9">
        <f>IF(S176='Part 1'!S176,0,1)</f>
        <v>0</v>
      </c>
      <c r="AM176" s="9">
        <f>IF(T176='Part 1'!T176,0,1)</f>
        <v>0</v>
      </c>
      <c r="AN176" s="9">
        <f>IF(U176='Part 1'!U176,0,1)</f>
        <v>0</v>
      </c>
      <c r="AO176" s="9">
        <f>IF(V176='Part 1'!V176,0,1)</f>
        <v>0</v>
      </c>
      <c r="AP176" s="9">
        <f>IF(W176='Part 1'!W176,0,1)</f>
        <v>0</v>
      </c>
      <c r="AQ176" s="1361">
        <f t="shared" si="3"/>
        <v>0</v>
      </c>
    </row>
    <row r="177" spans="1:43" x14ac:dyDescent="0.2">
      <c r="A177" s="1304"/>
      <c r="B177" s="1215"/>
      <c r="C177" s="1192"/>
      <c r="D177" s="1192"/>
      <c r="E177" s="1192"/>
      <c r="F177" s="1192"/>
      <c r="G177" s="1192"/>
      <c r="H177" s="1192"/>
      <c r="I177" s="1192"/>
      <c r="J177" s="1192"/>
      <c r="K177" s="1192"/>
      <c r="L177" s="1215"/>
      <c r="M177" s="1215"/>
      <c r="N177" s="1310"/>
      <c r="O177" s="1310"/>
      <c r="P177" s="1310"/>
      <c r="Q177" s="1310"/>
      <c r="R177" s="1310"/>
      <c r="S177" s="1310"/>
      <c r="T177" s="1310"/>
      <c r="U177" s="1310"/>
      <c r="V177" s="1310"/>
      <c r="W177" s="1310"/>
      <c r="X177" s="1310"/>
      <c r="Y177" s="1215"/>
      <c r="Z177" s="1209"/>
      <c r="AA177" s="1313"/>
      <c r="AB177" s="1224"/>
      <c r="AQ177" s="1361"/>
    </row>
    <row r="178" spans="1:43" ht="16.5" thickBot="1" x14ac:dyDescent="0.3">
      <c r="A178" s="1304"/>
      <c r="B178" s="1215"/>
      <c r="C178" s="1271" t="s">
        <v>2302</v>
      </c>
      <c r="D178" s="1192"/>
      <c r="E178" s="1309"/>
      <c r="F178" s="1309"/>
      <c r="G178" s="1309"/>
      <c r="H178" s="1309"/>
      <c r="I178" s="1309"/>
      <c r="J178" s="1309"/>
      <c r="K178" s="1309"/>
      <c r="L178" s="1215"/>
      <c r="M178" s="1215"/>
      <c r="N178" s="1310"/>
      <c r="O178" s="1310"/>
      <c r="P178" s="1310"/>
      <c r="Q178" s="1310"/>
      <c r="R178" s="1310"/>
      <c r="S178" s="1310"/>
      <c r="T178" s="1310"/>
      <c r="U178" s="1310"/>
      <c r="V178" s="1310"/>
      <c r="W178" s="1310"/>
      <c r="X178" s="1310"/>
      <c r="Y178" s="1215"/>
      <c r="Z178" s="1209"/>
      <c r="AA178" s="1313"/>
      <c r="AB178" s="1224"/>
      <c r="AQ178" s="1361"/>
    </row>
    <row r="179" spans="1:43" ht="16.5" thickBot="1" x14ac:dyDescent="0.25">
      <c r="A179" s="1304"/>
      <c r="B179" s="1215"/>
      <c r="C179" s="1192"/>
      <c r="D179" s="1192" t="s">
        <v>2307</v>
      </c>
      <c r="E179" s="1309"/>
      <c r="F179" s="1309"/>
      <c r="G179" s="1309"/>
      <c r="H179" s="1309"/>
      <c r="I179" s="1309"/>
      <c r="J179" s="1309"/>
      <c r="K179" s="1309"/>
      <c r="L179" s="1215"/>
      <c r="M179" s="1215"/>
      <c r="N179" s="2363">
        <f>ROUND(+W179-Q179-T179,0)</f>
        <v>0</v>
      </c>
      <c r="O179" s="2364"/>
      <c r="P179" s="1211"/>
      <c r="Q179" s="2363">
        <f>ROUND(+('Part 2'!$J$159+('Part 2'!$J$159*7/466))*-1*$Q$92,0)</f>
        <v>0</v>
      </c>
      <c r="R179" s="2364"/>
      <c r="S179" s="1211"/>
      <c r="T179" s="2363">
        <f>ROUND(+('Part 2'!$J$159+('Part 2'!$J$159*7/466))*-1*$T$92,0)</f>
        <v>0</v>
      </c>
      <c r="U179" s="2364"/>
      <c r="V179" s="1211"/>
      <c r="W179" s="2363">
        <f>ROUND(((ROUND(+('Part 2'!$J$159+('Part 2'!$J$159*7/466))*VLOOKUP('Part 1'!$L$17,TierSplit!$A$6:$J$332,10,FALSE),0)*-1)+(ROUND(+('Part 2'!N159+('Part 2'!N159*7/466)),0)*-1)), 0)</f>
        <v>0</v>
      </c>
      <c r="X179" s="2364"/>
      <c r="Y179" s="1215"/>
      <c r="Z179" s="1209"/>
      <c r="AA179" s="1313"/>
      <c r="AB179" s="1224">
        <f>+IF(N179+Q179+T179-W179=0,0,1)</f>
        <v>0</v>
      </c>
      <c r="AD179" s="9">
        <f>IF(K179='Part 1'!K179,0,1)</f>
        <v>0</v>
      </c>
      <c r="AE179" s="9">
        <f>IF(L179='Part 1'!L179,0,1)</f>
        <v>0</v>
      </c>
      <c r="AF179" s="9">
        <f>IF(M179='Part 1'!M179,0,1)</f>
        <v>0</v>
      </c>
      <c r="AG179" s="9">
        <f>IF(N179='Part 1'!N179,0,1)</f>
        <v>0</v>
      </c>
      <c r="AH179" s="9">
        <f>IF(O179='Part 1'!O179,0,1)</f>
        <v>0</v>
      </c>
      <c r="AI179" s="9">
        <f>IF(P179='Part 1'!P179,0,1)</f>
        <v>0</v>
      </c>
      <c r="AJ179" s="9">
        <f>IF(Q179='Part 1'!Q179,0,1)</f>
        <v>0</v>
      </c>
      <c r="AK179" s="9">
        <f>IF(R179='Part 1'!R179,0,1)</f>
        <v>0</v>
      </c>
      <c r="AL179" s="9">
        <f>IF(S179='Part 1'!S179,0,1)</f>
        <v>0</v>
      </c>
      <c r="AM179" s="9">
        <f>IF(T179='Part 1'!T179,0,1)</f>
        <v>0</v>
      </c>
      <c r="AN179" s="9">
        <f>IF(U179='Part 1'!U179,0,1)</f>
        <v>0</v>
      </c>
      <c r="AO179" s="9">
        <f>IF(V179='Part 1'!V179,0,1)</f>
        <v>0</v>
      </c>
      <c r="AP179" s="9">
        <f>IF(W179='Part 1'!W179,0,1)</f>
        <v>0</v>
      </c>
      <c r="AQ179" s="1361">
        <f t="shared" si="3"/>
        <v>0</v>
      </c>
    </row>
    <row r="180" spans="1:43" x14ac:dyDescent="0.2">
      <c r="A180" s="1304"/>
      <c r="B180" s="1215"/>
      <c r="C180" s="1192"/>
      <c r="D180" s="1192"/>
      <c r="E180" s="1192"/>
      <c r="F180" s="1192"/>
      <c r="G180" s="1192"/>
      <c r="H180" s="1192"/>
      <c r="I180" s="1192"/>
      <c r="J180" s="1192"/>
      <c r="K180" s="1192"/>
      <c r="L180" s="1215"/>
      <c r="M180" s="1215"/>
      <c r="N180" s="1310"/>
      <c r="O180" s="1310"/>
      <c r="P180" s="1310"/>
      <c r="Q180" s="1310"/>
      <c r="R180" s="1310"/>
      <c r="S180" s="1310"/>
      <c r="T180" s="1310"/>
      <c r="U180" s="1310"/>
      <c r="V180" s="1310"/>
      <c r="W180" s="1310"/>
      <c r="X180" s="1310"/>
      <c r="Y180" s="1215"/>
      <c r="Z180" s="1209"/>
      <c r="AA180" s="1313"/>
      <c r="AB180" s="1224"/>
      <c r="AQ180" s="1361"/>
    </row>
    <row r="181" spans="1:43" ht="16.5" thickBot="1" x14ac:dyDescent="0.3">
      <c r="A181" s="1304"/>
      <c r="B181" s="1215"/>
      <c r="C181" s="1271" t="s">
        <v>2367</v>
      </c>
      <c r="D181" s="1192"/>
      <c r="E181" s="1192"/>
      <c r="F181" s="1192"/>
      <c r="G181" s="1192"/>
      <c r="H181" s="1192"/>
      <c r="I181" s="1192"/>
      <c r="J181" s="1192"/>
      <c r="K181" s="1192"/>
      <c r="L181" s="1308"/>
      <c r="M181" s="1308"/>
      <c r="N181" s="1314"/>
      <c r="O181" s="1314"/>
      <c r="P181" s="1314"/>
      <c r="Q181" s="1314"/>
      <c r="R181" s="1314"/>
      <c r="S181" s="1314"/>
      <c r="T181" s="1314"/>
      <c r="U181" s="1314"/>
      <c r="V181" s="1314"/>
      <c r="W181" s="1314"/>
      <c r="X181" s="1314"/>
      <c r="Y181" s="1215"/>
      <c r="Z181" s="1209"/>
      <c r="AB181" s="1224"/>
      <c r="AQ181" s="1361"/>
    </row>
    <row r="182" spans="1:43" ht="16.5" thickBot="1" x14ac:dyDescent="0.25">
      <c r="A182" s="1304"/>
      <c r="B182" s="1215"/>
      <c r="C182" s="1192"/>
      <c r="D182" s="1192" t="s">
        <v>2303</v>
      </c>
      <c r="E182" s="1309"/>
      <c r="F182" s="1309"/>
      <c r="G182" s="1309"/>
      <c r="H182" s="1309"/>
      <c r="I182" s="1309"/>
      <c r="J182" s="1309"/>
      <c r="K182" s="1309"/>
      <c r="L182" s="1308"/>
      <c r="M182" s="1308"/>
      <c r="N182" s="2363">
        <f>ROUND(+W182-Q182-T182,0)</f>
        <v>0</v>
      </c>
      <c r="O182" s="2364"/>
      <c r="P182" s="1211"/>
      <c r="Q182" s="2363">
        <f>ROUND(+('Part 2'!$J$162+('Part 2'!$J$162*7/466))*-1*$Q$92,0)</f>
        <v>0</v>
      </c>
      <c r="R182" s="2364"/>
      <c r="S182" s="1211"/>
      <c r="T182" s="2363">
        <f>ROUND(+('Part 2'!$J$162+('Part 2'!$J$162*7/466))*-1*$T$92,0)</f>
        <v>0</v>
      </c>
      <c r="U182" s="2364"/>
      <c r="V182" s="1211"/>
      <c r="W182" s="2363">
        <f>ROUND(((ROUND(+('Part 2'!$J$162+('Part 2'!$J$162*7/466))*VLOOKUP('Part 1'!$L$17,TierSplit!$A$6:$J$332,10,FALSE),0)*-1)+(ROUND(+('Part 2'!N162+('Part 2'!N162*7/466)),0)*-1)), 0)</f>
        <v>0</v>
      </c>
      <c r="X182" s="2364"/>
      <c r="Y182" s="1215"/>
      <c r="Z182" s="1216"/>
      <c r="AB182" s="1224">
        <f>+IF(N182+Q182+T182-W182=0,0,1)</f>
        <v>0</v>
      </c>
      <c r="AD182" s="9">
        <f>IF(K182='Part 1'!K182,0,1)</f>
        <v>0</v>
      </c>
      <c r="AE182" s="9">
        <f>IF(L182='Part 1'!L182,0,1)</f>
        <v>0</v>
      </c>
      <c r="AF182" s="9">
        <f>IF(M182='Part 1'!M182,0,1)</f>
        <v>0</v>
      </c>
      <c r="AG182" s="9">
        <f>IF(N182='Part 1'!N182,0,1)</f>
        <v>0</v>
      </c>
      <c r="AH182" s="9">
        <f>IF(O182='Part 1'!O182,0,1)</f>
        <v>0</v>
      </c>
      <c r="AI182" s="9">
        <f>IF(P182='Part 1'!P182,0,1)</f>
        <v>0</v>
      </c>
      <c r="AJ182" s="9">
        <f>IF(Q182='Part 1'!Q182,0,1)</f>
        <v>0</v>
      </c>
      <c r="AK182" s="9">
        <f>IF(R182='Part 1'!R182,0,1)</f>
        <v>0</v>
      </c>
      <c r="AL182" s="9">
        <f>IF(S182='Part 1'!S182,0,1)</f>
        <v>0</v>
      </c>
      <c r="AM182" s="9">
        <f>IF(T182='Part 1'!T182,0,1)</f>
        <v>0</v>
      </c>
      <c r="AN182" s="9">
        <f>IF(U182='Part 1'!U182,0,1)</f>
        <v>0</v>
      </c>
      <c r="AO182" s="9">
        <f>IF(V182='Part 1'!V182,0,1)</f>
        <v>0</v>
      </c>
      <c r="AP182" s="9">
        <f>IF(W182='Part 1'!W182,0,1)</f>
        <v>0</v>
      </c>
      <c r="AQ182" s="1361">
        <f t="shared" si="3"/>
        <v>0</v>
      </c>
    </row>
    <row r="183" spans="1:43" ht="15.75" x14ac:dyDescent="0.2">
      <c r="A183" s="1304"/>
      <c r="B183" s="1215"/>
      <c r="C183" s="1192"/>
      <c r="D183" s="1192"/>
      <c r="E183" s="1309"/>
      <c r="F183" s="1309"/>
      <c r="G183" s="1309"/>
      <c r="H183" s="1309"/>
      <c r="I183" s="1309"/>
      <c r="J183" s="1309"/>
      <c r="K183" s="1309"/>
      <c r="L183" s="1308"/>
      <c r="M183" s="1308"/>
      <c r="N183" s="1220"/>
      <c r="O183" s="1220"/>
      <c r="P183" s="1211"/>
      <c r="Q183" s="1220"/>
      <c r="R183" s="1220"/>
      <c r="S183" s="1211"/>
      <c r="T183" s="1220"/>
      <c r="U183" s="1220"/>
      <c r="V183" s="1211"/>
      <c r="W183" s="1220"/>
      <c r="X183" s="1220"/>
      <c r="Y183" s="1215"/>
      <c r="Z183" s="1216"/>
      <c r="AB183" s="1224"/>
      <c r="AQ183" s="1361"/>
    </row>
    <row r="184" spans="1:43" ht="16.5" thickBot="1" x14ac:dyDescent="0.3">
      <c r="A184" s="1304"/>
      <c r="B184" s="1215"/>
      <c r="C184" s="1271" t="s">
        <v>2280</v>
      </c>
      <c r="D184" s="1192"/>
      <c r="E184" s="1309"/>
      <c r="F184" s="1309"/>
      <c r="G184" s="1309"/>
      <c r="H184" s="1309"/>
      <c r="I184" s="1309"/>
      <c r="J184" s="1309"/>
      <c r="K184" s="1309"/>
      <c r="L184" s="1308"/>
      <c r="M184" s="1308"/>
      <c r="N184" s="1220"/>
      <c r="O184" s="1220"/>
      <c r="P184" s="1211"/>
      <c r="Q184" s="1220"/>
      <c r="R184" s="1220"/>
      <c r="S184" s="1211"/>
      <c r="T184" s="1220"/>
      <c r="U184" s="1220"/>
      <c r="V184" s="1211"/>
      <c r="W184" s="1220"/>
      <c r="X184" s="1220"/>
      <c r="Y184" s="1215"/>
      <c r="Z184" s="1216"/>
      <c r="AB184" s="1224"/>
      <c r="AQ184" s="1361"/>
    </row>
    <row r="185" spans="1:43" ht="16.5" thickBot="1" x14ac:dyDescent="0.3">
      <c r="A185" s="1304"/>
      <c r="B185" s="1215"/>
      <c r="C185" s="1192"/>
      <c r="D185" s="1192" t="s">
        <v>2304</v>
      </c>
      <c r="E185" s="1309"/>
      <c r="F185" s="1309"/>
      <c r="G185" s="1309"/>
      <c r="H185" s="1309"/>
      <c r="I185" s="1309"/>
      <c r="J185" s="1309"/>
      <c r="K185" s="1309"/>
      <c r="L185" s="1308"/>
      <c r="M185" s="1308"/>
      <c r="N185" s="2427">
        <f>W185-T185-Q185</f>
        <v>0</v>
      </c>
      <c r="O185" s="2428"/>
      <c r="P185" s="1211"/>
      <c r="Q185" s="2385">
        <f>IF(VLOOKUP('Part 1'!$L17,TierSplit!$A$6:$AG$332,10,FALSE)=1,'Part 3'!$G49*'Part 1'!Q92,0)</f>
        <v>0</v>
      </c>
      <c r="R185" s="2429"/>
      <c r="S185" s="1211"/>
      <c r="T185" s="2385">
        <f>IF(VLOOKUP('Part 1'!$L17,TierSplit!$A$6:$AG$332,10,FALSE)=1,'Part 3'!G49*'Part 1'!T92,0)</f>
        <v>0</v>
      </c>
      <c r="U185" s="2429"/>
      <c r="V185" s="1211"/>
      <c r="W185" s="2427">
        <f>IF(VLOOKUP('Part 1'!$L17,TierSplit!$A$6:$AG$332,10,FALSE)=1,'Part 3'!G49+'Part 3'!K49,0)</f>
        <v>0</v>
      </c>
      <c r="X185" s="2428"/>
      <c r="Y185" s="1215"/>
      <c r="Z185" s="1216"/>
      <c r="AB185" s="1224">
        <f>+IF(N185+Q185+T185-W185=0,0,1)</f>
        <v>0</v>
      </c>
      <c r="AD185" s="9">
        <f>IF(K185='Part 1'!K185,0,1)</f>
        <v>0</v>
      </c>
      <c r="AE185" s="9">
        <f>IF(L185='Part 1'!L185,0,1)</f>
        <v>0</v>
      </c>
      <c r="AF185" s="9">
        <f>IF(M185='Part 1'!M185,0,1)</f>
        <v>0</v>
      </c>
      <c r="AG185" s="9">
        <f>IF(N185='Part 1'!N185,0,1)</f>
        <v>0</v>
      </c>
      <c r="AH185" s="9">
        <f>IF(O185='Part 1'!O185,0,1)</f>
        <v>0</v>
      </c>
      <c r="AI185" s="9">
        <f>IF(P185='Part 1'!P185,0,1)</f>
        <v>0</v>
      </c>
      <c r="AJ185" s="9">
        <f>IF(Q185='Part 1'!Q185,0,1)</f>
        <v>0</v>
      </c>
      <c r="AK185" s="9">
        <f>IF(R185='Part 1'!R185,0,1)</f>
        <v>0</v>
      </c>
      <c r="AL185" s="9">
        <f>IF(S185='Part 1'!S185,0,1)</f>
        <v>0</v>
      </c>
      <c r="AM185" s="9">
        <f>IF(T185='Part 1'!T185,0,1)</f>
        <v>0</v>
      </c>
      <c r="AN185" s="9">
        <f>IF(U185='Part 1'!U185,0,1)</f>
        <v>0</v>
      </c>
      <c r="AO185" s="9">
        <f>IF(V185='Part 1'!V185,0,1)</f>
        <v>0</v>
      </c>
      <c r="AP185" s="9">
        <f>IF(W185='Part 1'!W185,0,1)</f>
        <v>0</v>
      </c>
      <c r="AQ185" s="1361">
        <f t="shared" si="3"/>
        <v>0</v>
      </c>
    </row>
    <row r="186" spans="1:43" ht="15.75" thickBot="1" x14ac:dyDescent="0.25">
      <c r="A186" s="1304"/>
      <c r="B186" s="1215"/>
      <c r="C186" s="1215"/>
      <c r="D186" s="1215"/>
      <c r="E186" s="1215"/>
      <c r="F186" s="1215"/>
      <c r="G186" s="1215"/>
      <c r="H186" s="1215"/>
      <c r="I186" s="1215"/>
      <c r="J186" s="1215"/>
      <c r="K186" s="1215"/>
      <c r="L186" s="1215"/>
      <c r="M186" s="1215"/>
      <c r="N186" s="1215"/>
      <c r="O186" s="1215"/>
      <c r="P186" s="1215"/>
      <c r="Q186" s="1215"/>
      <c r="R186" s="1215"/>
      <c r="S186" s="1215"/>
      <c r="T186" s="1215"/>
      <c r="U186" s="1215"/>
      <c r="V186" s="1215"/>
      <c r="W186" s="1215"/>
      <c r="X186" s="1215"/>
      <c r="Y186" s="1215"/>
      <c r="Z186" s="1209"/>
      <c r="AB186" s="1224"/>
      <c r="AQ186" s="1361"/>
    </row>
    <row r="187" spans="1:43" x14ac:dyDescent="0.2">
      <c r="A187" s="1208"/>
      <c r="B187" s="1282"/>
      <c r="C187" s="1283"/>
      <c r="D187" s="1283"/>
      <c r="E187" s="1283"/>
      <c r="F187" s="1283"/>
      <c r="G187" s="1283"/>
      <c r="H187" s="1283"/>
      <c r="I187" s="1283"/>
      <c r="J187" s="1283"/>
      <c r="K187" s="1315"/>
      <c r="L187" s="1315"/>
      <c r="M187" s="1315"/>
      <c r="N187" s="1315"/>
      <c r="O187" s="1315"/>
      <c r="P187" s="1315"/>
      <c r="Q187" s="1315"/>
      <c r="R187" s="1315"/>
      <c r="S187" s="1315"/>
      <c r="T187" s="1315"/>
      <c r="U187" s="1315"/>
      <c r="V187" s="1315"/>
      <c r="W187" s="1315"/>
      <c r="X187" s="1315"/>
      <c r="Y187" s="1285"/>
      <c r="Z187" s="1209"/>
      <c r="AB187" s="1224"/>
      <c r="AQ187" s="1361"/>
    </row>
    <row r="188" spans="1:43" ht="16.5" thickBot="1" x14ac:dyDescent="0.3">
      <c r="A188" s="1208"/>
      <c r="B188" s="1286"/>
      <c r="C188" s="1271" t="s">
        <v>808</v>
      </c>
      <c r="D188" s="1192"/>
      <c r="E188" s="1192"/>
      <c r="F188" s="1192"/>
      <c r="G188" s="1192"/>
      <c r="H188" s="1192"/>
      <c r="I188" s="1192"/>
      <c r="J188" s="1192"/>
      <c r="K188" s="1192"/>
      <c r="L188" s="1192"/>
      <c r="M188" s="1211"/>
      <c r="N188" s="2406" t="s">
        <v>786</v>
      </c>
      <c r="O188" s="2406"/>
      <c r="P188" s="1211"/>
      <c r="Q188" s="2406" t="s">
        <v>786</v>
      </c>
      <c r="R188" s="2406"/>
      <c r="S188" s="1211"/>
      <c r="T188" s="2406" t="s">
        <v>786</v>
      </c>
      <c r="U188" s="2406"/>
      <c r="V188" s="1211"/>
      <c r="W188" s="2406" t="s">
        <v>786</v>
      </c>
      <c r="X188" s="2406"/>
      <c r="Y188" s="1287"/>
      <c r="Z188" s="1209"/>
      <c r="AB188" s="1224"/>
      <c r="AQ188" s="1361"/>
    </row>
    <row r="189" spans="1:43" ht="16.5" thickBot="1" x14ac:dyDescent="0.25">
      <c r="A189" s="1208"/>
      <c r="B189" s="1286"/>
      <c r="C189" s="1192" t="s">
        <v>2305</v>
      </c>
      <c r="D189" s="1192"/>
      <c r="E189" s="1192"/>
      <c r="F189" s="1192"/>
      <c r="G189" s="1192"/>
      <c r="H189" s="1192"/>
      <c r="I189" s="1192"/>
      <c r="J189" s="1192"/>
      <c r="K189" s="1220"/>
      <c r="L189" s="1220"/>
      <c r="M189" s="1211"/>
      <c r="N189" s="2363" t="e">
        <f>+N165+N168+N170+N173+N176+N179+N182+N185</f>
        <v>#N/A</v>
      </c>
      <c r="O189" s="2364"/>
      <c r="P189" s="1211"/>
      <c r="Q189" s="2363" t="e">
        <f>+Q165+Q168+Q170+Q173+Q176+Q179+Q182+Q185</f>
        <v>#N/A</v>
      </c>
      <c r="R189" s="2364"/>
      <c r="S189" s="1211"/>
      <c r="T189" s="2363" t="e">
        <f>+T165+T168+T170+T173+T176+T179+T182+T185</f>
        <v>#N/A</v>
      </c>
      <c r="U189" s="2364"/>
      <c r="V189" s="1211"/>
      <c r="W189" s="2363" t="e">
        <f>+W165+W168+W170+W173+W176+W179+W182+W185</f>
        <v>#N/A</v>
      </c>
      <c r="X189" s="2364"/>
      <c r="Y189" s="1287"/>
      <c r="Z189" s="1216"/>
      <c r="AB189" s="1227" t="e">
        <f>+IF(N189+Q189+T189-W189=0,0,1)</f>
        <v>#N/A</v>
      </c>
      <c r="AD189" s="9">
        <f>IF(K189='Part 1'!K189,0,1)</f>
        <v>0</v>
      </c>
      <c r="AE189" s="9">
        <f>IF(L189='Part 1'!L189,0,1)</f>
        <v>0</v>
      </c>
      <c r="AF189" s="9">
        <f>IF(M189='Part 1'!M189,0,1)</f>
        <v>0</v>
      </c>
      <c r="AG189" s="9" t="e">
        <f>IF(N189='Part 1'!N189,0,1)</f>
        <v>#N/A</v>
      </c>
      <c r="AH189" s="9">
        <f>IF(O189='Part 1'!O189,0,1)</f>
        <v>0</v>
      </c>
      <c r="AI189" s="9">
        <f>IF(P189='Part 1'!P189,0,1)</f>
        <v>0</v>
      </c>
      <c r="AJ189" s="9" t="e">
        <f>IF(Q189='Part 1'!Q189,0,1)</f>
        <v>#N/A</v>
      </c>
      <c r="AK189" s="9">
        <f>IF(R189='Part 1'!R189,0,1)</f>
        <v>0</v>
      </c>
      <c r="AL189" s="9">
        <f>IF(S189='Part 1'!S189,0,1)</f>
        <v>0</v>
      </c>
      <c r="AM189" s="9" t="e">
        <f>IF(T189='Part 1'!T189,0,1)</f>
        <v>#N/A</v>
      </c>
      <c r="AN189" s="9">
        <f>IF(U189='Part 1'!U189,0,1)</f>
        <v>0</v>
      </c>
      <c r="AO189" s="9">
        <f>IF(V189='Part 1'!V189,0,1)</f>
        <v>0</v>
      </c>
      <c r="AP189" s="9" t="e">
        <f>IF(W189='Part 1'!W189,0,1)</f>
        <v>#N/A</v>
      </c>
      <c r="AQ189" s="1361" t="e">
        <f t="shared" si="3"/>
        <v>#N/A</v>
      </c>
    </row>
    <row r="190" spans="1:43" ht="15.75" thickBot="1" x14ac:dyDescent="0.25">
      <c r="A190" s="1208"/>
      <c r="B190" s="1288"/>
      <c r="C190" s="1289"/>
      <c r="D190" s="1289"/>
      <c r="E190" s="1289"/>
      <c r="F190" s="1289"/>
      <c r="G190" s="1289"/>
      <c r="H190" s="1289"/>
      <c r="I190" s="1289"/>
      <c r="J190" s="1289"/>
      <c r="K190" s="1289"/>
      <c r="L190" s="1289"/>
      <c r="M190" s="1289"/>
      <c r="N190" s="1289"/>
      <c r="O190" s="1289"/>
      <c r="P190" s="1289"/>
      <c r="Q190" s="1289"/>
      <c r="R190" s="1289"/>
      <c r="S190" s="1289"/>
      <c r="T190" s="1289"/>
      <c r="U190" s="1289"/>
      <c r="V190" s="1289"/>
      <c r="W190" s="1289"/>
      <c r="X190" s="1289"/>
      <c r="Y190" s="1290"/>
      <c r="Z190" s="1209"/>
      <c r="AB190" s="1789"/>
    </row>
    <row r="191" spans="1:43" x14ac:dyDescent="0.2">
      <c r="A191" s="1208"/>
      <c r="B191" s="1192"/>
      <c r="C191" s="1192"/>
      <c r="D191" s="1192"/>
      <c r="E191" s="1192"/>
      <c r="F191" s="1192"/>
      <c r="G191" s="1192"/>
      <c r="H191" s="1192"/>
      <c r="I191" s="1192"/>
      <c r="J191" s="1192"/>
      <c r="K191" s="1192"/>
      <c r="L191" s="1192"/>
      <c r="M191" s="1192"/>
      <c r="N191" s="1192"/>
      <c r="O191" s="1192"/>
      <c r="P191" s="1192"/>
      <c r="Q191" s="1192"/>
      <c r="R191" s="1192"/>
      <c r="S191" s="1192"/>
      <c r="T191" s="1192"/>
      <c r="U191" s="1192"/>
      <c r="V191" s="1192"/>
      <c r="W191" s="1192"/>
      <c r="X191" s="1192"/>
      <c r="Y191" s="1192"/>
      <c r="Z191" s="1209"/>
      <c r="AB191" s="1789"/>
    </row>
    <row r="192" spans="1:43" ht="15" customHeight="1" x14ac:dyDescent="0.2">
      <c r="A192" s="1208"/>
      <c r="B192" s="1192"/>
      <c r="C192" s="2434" t="s">
        <v>1173</v>
      </c>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6"/>
      <c r="Y192" s="1192"/>
      <c r="Z192" s="1209"/>
      <c r="AB192" s="1789"/>
    </row>
    <row r="193" spans="1:49" ht="15" customHeight="1" x14ac:dyDescent="0.2">
      <c r="A193" s="1208"/>
      <c r="B193" s="1192"/>
      <c r="C193" s="2437"/>
      <c r="D193" s="2438"/>
      <c r="E193" s="2438"/>
      <c r="F193" s="2438"/>
      <c r="G193" s="2438"/>
      <c r="H193" s="2438"/>
      <c r="I193" s="2438"/>
      <c r="J193" s="2438"/>
      <c r="K193" s="2438"/>
      <c r="L193" s="2438"/>
      <c r="M193" s="2438"/>
      <c r="N193" s="2438"/>
      <c r="O193" s="2438"/>
      <c r="P193" s="2438"/>
      <c r="Q193" s="2438"/>
      <c r="R193" s="2438"/>
      <c r="S193" s="2438"/>
      <c r="T193" s="2438"/>
      <c r="U193" s="2438"/>
      <c r="V193" s="2438"/>
      <c r="W193" s="2438"/>
      <c r="X193" s="2439"/>
      <c r="Y193" s="1192"/>
      <c r="Z193" s="1209"/>
      <c r="AB193" s="1789"/>
    </row>
    <row r="194" spans="1:49" x14ac:dyDescent="0.2">
      <c r="A194" s="1208"/>
      <c r="B194" s="1192"/>
      <c r="C194" s="1192"/>
      <c r="D194" s="1192"/>
      <c r="E194" s="1192"/>
      <c r="F194" s="1192"/>
      <c r="G194" s="1192"/>
      <c r="H194" s="1192"/>
      <c r="I194" s="1192"/>
      <c r="J194" s="1192"/>
      <c r="K194" s="1192"/>
      <c r="L194" s="1192"/>
      <c r="M194" s="1192"/>
      <c r="N194" s="1192"/>
      <c r="O194" s="1192"/>
      <c r="P194" s="1192"/>
      <c r="Q194" s="1192"/>
      <c r="R194" s="1192"/>
      <c r="S194" s="1192"/>
      <c r="T194" s="1192"/>
      <c r="U194" s="1192"/>
      <c r="V194" s="1192"/>
      <c r="W194" s="1192"/>
      <c r="X194" s="1192"/>
      <c r="Y194" s="1192"/>
      <c r="Z194" s="1209"/>
      <c r="AB194" s="1789"/>
    </row>
    <row r="195" spans="1:49" ht="15" customHeight="1" x14ac:dyDescent="0.2">
      <c r="A195" s="1238"/>
      <c r="B195" s="1239"/>
      <c r="C195" s="1239"/>
      <c r="D195" s="1239"/>
      <c r="E195" s="1239"/>
      <c r="F195" s="1239"/>
      <c r="G195" s="1239"/>
      <c r="H195" s="1239"/>
      <c r="I195" s="1239"/>
      <c r="J195" s="1239"/>
      <c r="K195" s="1239"/>
      <c r="L195" s="1239"/>
      <c r="M195" s="1239"/>
      <c r="N195" s="1239"/>
      <c r="O195" s="1239"/>
      <c r="P195" s="1239"/>
      <c r="Q195" s="1239"/>
      <c r="R195" s="1239"/>
      <c r="S195" s="1239"/>
      <c r="T195" s="1239"/>
      <c r="U195" s="1239"/>
      <c r="V195" s="1239"/>
      <c r="W195" s="1239"/>
      <c r="X195" s="1239"/>
      <c r="Y195" s="1239"/>
      <c r="Z195" s="1245"/>
      <c r="AB195" s="1789"/>
    </row>
    <row r="196" spans="1:49" ht="15" customHeight="1" x14ac:dyDescent="0.25">
      <c r="A196" s="1208"/>
      <c r="B196" s="1316"/>
      <c r="C196" s="1293" t="e">
        <f>+IF(B211=0,"","Please investigate the error messages shown below and make the appropriate changes to the form.  Any comments should be added at the bottom of Part 4")</f>
        <v>#N/A</v>
      </c>
      <c r="D196" s="1317"/>
      <c r="E196" s="1317"/>
      <c r="F196" s="1317"/>
      <c r="G196" s="1317"/>
      <c r="H196" s="1317"/>
      <c r="I196" s="1317"/>
      <c r="J196" s="1317"/>
      <c r="K196" s="1317"/>
      <c r="L196" s="1318"/>
      <c r="M196" s="1318"/>
      <c r="N196" s="1318"/>
      <c r="O196" s="1318"/>
      <c r="P196" s="1239"/>
      <c r="Q196" s="1239"/>
      <c r="R196" s="1239"/>
      <c r="S196" s="1239"/>
      <c r="T196" s="1239"/>
      <c r="U196" s="1239"/>
      <c r="V196" s="1239"/>
      <c r="W196" s="1239"/>
      <c r="X196" s="1239"/>
      <c r="Y196" s="1319"/>
      <c r="Z196" s="1209"/>
      <c r="AB196" s="1789"/>
    </row>
    <row r="197" spans="1:49" x14ac:dyDescent="0.2">
      <c r="A197" s="1208"/>
      <c r="B197" s="1320"/>
      <c r="C197" s="1321"/>
      <c r="D197" s="1321"/>
      <c r="E197" s="1321"/>
      <c r="F197" s="1321"/>
      <c r="G197" s="1321"/>
      <c r="H197" s="1321"/>
      <c r="I197" s="1321"/>
      <c r="J197" s="1321"/>
      <c r="K197" s="1321"/>
      <c r="L197" s="1322"/>
      <c r="M197" s="1322"/>
      <c r="N197" s="1322"/>
      <c r="O197" s="1322"/>
      <c r="P197" s="1192"/>
      <c r="Q197" s="1192"/>
      <c r="R197" s="1192"/>
      <c r="S197" s="1192"/>
      <c r="T197" s="1192"/>
      <c r="U197" s="1192"/>
      <c r="V197" s="1192"/>
      <c r="W197" s="1192"/>
      <c r="X197" s="1192"/>
      <c r="Y197" s="1323"/>
      <c r="Z197" s="1209"/>
      <c r="AB197" s="1789"/>
    </row>
    <row r="198" spans="1:49" ht="15.75" x14ac:dyDescent="0.25">
      <c r="A198" s="1255" t="e">
        <f>+IF(C198="",0,1)</f>
        <v>#N/A</v>
      </c>
      <c r="B198" s="1320"/>
      <c r="C198" s="1799" t="e">
        <f>IF(AB165=0,"","Line 26 column 5 doesn't equal the sum of columns 2 to 4. Please check why.")</f>
        <v>#N/A</v>
      </c>
      <c r="D198" s="1799"/>
      <c r="E198" s="1799"/>
      <c r="F198" s="1799"/>
      <c r="G198" s="1799"/>
      <c r="H198" s="1799"/>
      <c r="I198" s="1799"/>
      <c r="J198" s="1799"/>
      <c r="K198" s="1799"/>
      <c r="L198" s="1322"/>
      <c r="M198" s="1322"/>
      <c r="N198" s="1322"/>
      <c r="O198" s="1322"/>
      <c r="P198" s="1192"/>
      <c r="Q198" s="1192"/>
      <c r="R198" s="1192"/>
      <c r="S198" s="1192"/>
      <c r="T198" s="1192"/>
      <c r="U198" s="1192"/>
      <c r="V198" s="1192"/>
      <c r="W198" s="1192"/>
      <c r="X198" s="1192"/>
      <c r="Y198" s="1323"/>
      <c r="Z198" s="1209"/>
      <c r="AB198" s="1789"/>
    </row>
    <row r="199" spans="1:49" ht="15.75" x14ac:dyDescent="0.25">
      <c r="A199" s="1255"/>
      <c r="B199" s="1320"/>
      <c r="C199" s="2421"/>
      <c r="D199" s="2421"/>
      <c r="E199" s="2421"/>
      <c r="F199" s="2421"/>
      <c r="G199" s="2421"/>
      <c r="H199" s="2421"/>
      <c r="I199" s="2421"/>
      <c r="J199" s="2421"/>
      <c r="K199" s="2421"/>
      <c r="L199" s="1322"/>
      <c r="M199" s="1322"/>
      <c r="N199" s="1322"/>
      <c r="O199" s="1322"/>
      <c r="P199" s="1192"/>
      <c r="Q199" s="1192"/>
      <c r="R199" s="1192"/>
      <c r="S199" s="1192"/>
      <c r="T199" s="1192"/>
      <c r="U199" s="1192"/>
      <c r="V199" s="1192"/>
      <c r="W199" s="1192"/>
      <c r="X199" s="1192"/>
      <c r="Y199" s="1323"/>
      <c r="Z199" s="1209"/>
      <c r="AB199" s="1789"/>
    </row>
    <row r="200" spans="1:49" ht="15.75" x14ac:dyDescent="0.25">
      <c r="A200" s="1255">
        <f>+IF(C200="",0,1)</f>
        <v>0</v>
      </c>
      <c r="B200" s="1320"/>
      <c r="C200" s="1799" t="str">
        <f>IF(AB168=0,"","Line 27 column 5 doesn't equal the sum of columns 2 to 4. Please check why.")</f>
        <v/>
      </c>
      <c r="D200" s="1799"/>
      <c r="E200" s="1799"/>
      <c r="F200" s="1799"/>
      <c r="G200" s="1799"/>
      <c r="H200" s="1799"/>
      <c r="I200" s="1799"/>
      <c r="J200" s="1799"/>
      <c r="K200" s="1799"/>
      <c r="L200" s="1322"/>
      <c r="M200" s="1322"/>
      <c r="N200" s="1322"/>
      <c r="O200" s="1322"/>
      <c r="P200" s="1192"/>
      <c r="Q200" s="1192"/>
      <c r="R200" s="1192"/>
      <c r="S200" s="1192"/>
      <c r="T200" s="1192"/>
      <c r="U200" s="1192"/>
      <c r="V200" s="1192"/>
      <c r="W200" s="1192"/>
      <c r="X200" s="1192"/>
      <c r="Y200" s="1323"/>
      <c r="Z200" s="1209"/>
      <c r="AB200" s="1789"/>
    </row>
    <row r="201" spans="1:49" ht="15.75" x14ac:dyDescent="0.25">
      <c r="A201" s="1255"/>
      <c r="B201" s="1320"/>
      <c r="C201" s="2421"/>
      <c r="D201" s="2421"/>
      <c r="E201" s="2421"/>
      <c r="F201" s="2421"/>
      <c r="G201" s="2421"/>
      <c r="H201" s="2421"/>
      <c r="I201" s="2421"/>
      <c r="J201" s="2421"/>
      <c r="K201" s="2421"/>
      <c r="L201" s="1322"/>
      <c r="M201" s="1322"/>
      <c r="N201" s="1322"/>
      <c r="O201" s="1322"/>
      <c r="P201" s="1192"/>
      <c r="Q201" s="1192"/>
      <c r="R201" s="1192"/>
      <c r="S201" s="1192"/>
      <c r="T201" s="1192"/>
      <c r="U201" s="1192"/>
      <c r="V201" s="1192"/>
      <c r="W201" s="1192"/>
      <c r="X201" s="1192"/>
      <c r="Y201" s="1323"/>
      <c r="Z201" s="1209"/>
      <c r="AB201" s="1789"/>
    </row>
    <row r="202" spans="1:49" ht="15.75" x14ac:dyDescent="0.25">
      <c r="A202" s="1255">
        <f>+IF(C202="",0,1)</f>
        <v>0</v>
      </c>
      <c r="B202" s="1320"/>
      <c r="C202" s="1799" t="str">
        <f>IF(AB170=0,"","Line 28 column 5 doesn't equal the sum of columns 2 to 4. Please check why.")</f>
        <v/>
      </c>
      <c r="D202" s="1799"/>
      <c r="E202" s="1799"/>
      <c r="F202" s="1799"/>
      <c r="G202" s="1799"/>
      <c r="H202" s="1799"/>
      <c r="I202" s="1799"/>
      <c r="J202" s="1799"/>
      <c r="K202" s="1799"/>
      <c r="L202" s="1322"/>
      <c r="M202" s="1322"/>
      <c r="N202" s="1322"/>
      <c r="O202" s="1322"/>
      <c r="P202" s="1192"/>
      <c r="Q202" s="1192"/>
      <c r="R202" s="1192"/>
      <c r="S202" s="1192"/>
      <c r="T202" s="1192"/>
      <c r="U202" s="1192"/>
      <c r="V202" s="1192"/>
      <c r="W202" s="1192"/>
      <c r="X202" s="1192"/>
      <c r="Y202" s="1323"/>
      <c r="Z202" s="1209"/>
      <c r="AB202" s="1789"/>
    </row>
    <row r="203" spans="1:49" ht="15.75" x14ac:dyDescent="0.25">
      <c r="A203" s="1255"/>
      <c r="B203" s="1320"/>
      <c r="C203" s="1799"/>
      <c r="D203" s="1799"/>
      <c r="E203" s="1799"/>
      <c r="F203" s="1799"/>
      <c r="G203" s="1799"/>
      <c r="H203" s="1799"/>
      <c r="I203" s="1799"/>
      <c r="J203" s="1799"/>
      <c r="K203" s="1799"/>
      <c r="L203" s="1322"/>
      <c r="M203" s="1322"/>
      <c r="N203" s="1322"/>
      <c r="O203" s="1322"/>
      <c r="P203" s="1192"/>
      <c r="Q203" s="1192"/>
      <c r="R203" s="1192"/>
      <c r="S203" s="1192"/>
      <c r="T203" s="1192"/>
      <c r="U203" s="1192"/>
      <c r="V203" s="1192"/>
      <c r="W203" s="1192"/>
      <c r="X203" s="1192"/>
      <c r="Y203" s="1323"/>
      <c r="Z203" s="1209"/>
      <c r="AB203" s="1789"/>
    </row>
    <row r="204" spans="1:49" ht="15.75" x14ac:dyDescent="0.25">
      <c r="A204" s="1255">
        <f>+IF(C204="",0,1)</f>
        <v>0</v>
      </c>
      <c r="B204" s="1320"/>
      <c r="C204" s="1799" t="str">
        <f>IF(AB173=0,"","Line 29 column 5 doesn't equal the sum of columns 2 to 4. Please check why.")</f>
        <v/>
      </c>
      <c r="D204" s="1799"/>
      <c r="E204" s="1799"/>
      <c r="F204" s="1799"/>
      <c r="G204" s="1799"/>
      <c r="H204" s="1799"/>
      <c r="I204" s="1799"/>
      <c r="J204" s="1799"/>
      <c r="K204" s="1799"/>
      <c r="L204" s="1322"/>
      <c r="M204" s="1322"/>
      <c r="N204" s="1322"/>
      <c r="O204" s="1322"/>
      <c r="P204" s="1192"/>
      <c r="Q204" s="1192"/>
      <c r="R204" s="1192"/>
      <c r="S204" s="1192"/>
      <c r="T204" s="1192"/>
      <c r="U204" s="1192"/>
      <c r="V204" s="1192"/>
      <c r="W204" s="1192"/>
      <c r="X204" s="1192"/>
      <c r="Y204" s="1323"/>
      <c r="Z204" s="1209"/>
      <c r="AB204" s="1789"/>
    </row>
    <row r="205" spans="1:49" ht="15.75" x14ac:dyDescent="0.25">
      <c r="A205" s="1255"/>
      <c r="B205" s="1320"/>
      <c r="C205" s="2421"/>
      <c r="D205" s="2421"/>
      <c r="E205" s="2421"/>
      <c r="F205" s="2421"/>
      <c r="G205" s="2421"/>
      <c r="H205" s="2421"/>
      <c r="I205" s="2421"/>
      <c r="J205" s="2421"/>
      <c r="K205" s="2421"/>
      <c r="L205" s="1322"/>
      <c r="M205" s="1322"/>
      <c r="N205" s="1322"/>
      <c r="O205" s="1322"/>
      <c r="P205" s="1192"/>
      <c r="Q205" s="1192"/>
      <c r="R205" s="1192"/>
      <c r="S205" s="1192"/>
      <c r="T205" s="1192"/>
      <c r="U205" s="1192"/>
      <c r="V205" s="1192"/>
      <c r="W205" s="1192"/>
      <c r="X205" s="1192"/>
      <c r="Y205" s="1323"/>
      <c r="Z205" s="1209"/>
      <c r="AB205" s="1789"/>
    </row>
    <row r="206" spans="1:49" ht="15.75" x14ac:dyDescent="0.25">
      <c r="A206" s="1255">
        <f>+IF(C206="",0,1)</f>
        <v>0</v>
      </c>
      <c r="B206" s="1320"/>
      <c r="C206" s="1799" t="str">
        <f>IF(AB176=0,"","Line 30 column 5 doesn't equal the sum of columns 2 to 4. Please check why.")</f>
        <v/>
      </c>
      <c r="D206" s="1799"/>
      <c r="E206" s="1799"/>
      <c r="F206" s="1799"/>
      <c r="G206" s="1799"/>
      <c r="H206" s="1799"/>
      <c r="I206" s="1799"/>
      <c r="J206" s="1799"/>
      <c r="K206" s="1799"/>
      <c r="L206" s="1322"/>
      <c r="M206" s="1322"/>
      <c r="N206" s="1322"/>
      <c r="O206" s="1322"/>
      <c r="P206" s="1192"/>
      <c r="Q206" s="1192"/>
      <c r="R206" s="1192"/>
      <c r="S206" s="1192"/>
      <c r="T206" s="1192"/>
      <c r="U206" s="1192"/>
      <c r="V206" s="1192"/>
      <c r="W206" s="1192"/>
      <c r="X206" s="1192"/>
      <c r="Y206" s="1323"/>
      <c r="Z206" s="1209"/>
      <c r="AB206" s="1789"/>
    </row>
    <row r="207" spans="1:49" ht="15.75" x14ac:dyDescent="0.25">
      <c r="A207" s="1255"/>
      <c r="B207" s="1320"/>
      <c r="C207" s="2421"/>
      <c r="D207" s="2421"/>
      <c r="E207" s="2421"/>
      <c r="F207" s="2421"/>
      <c r="G207" s="2421"/>
      <c r="H207" s="2421"/>
      <c r="I207" s="2421"/>
      <c r="J207" s="2421"/>
      <c r="K207" s="2421"/>
      <c r="L207" s="1322"/>
      <c r="M207" s="1322"/>
      <c r="N207" s="1322"/>
      <c r="O207" s="1322"/>
      <c r="P207" s="1192"/>
      <c r="Q207" s="1192"/>
      <c r="R207" s="1192"/>
      <c r="S207" s="1192"/>
      <c r="T207" s="1192"/>
      <c r="U207" s="1192"/>
      <c r="V207" s="1192"/>
      <c r="W207" s="1192"/>
      <c r="X207" s="1192"/>
      <c r="Y207" s="1323"/>
      <c r="Z207" s="1209"/>
      <c r="AB207" s="1789"/>
      <c r="AC207" s="173"/>
      <c r="AD207" s="173"/>
      <c r="AE207" s="173"/>
      <c r="AF207" s="173"/>
      <c r="AG207" s="173"/>
      <c r="AH207" s="173"/>
      <c r="AI207" s="173"/>
      <c r="AJ207" s="173"/>
      <c r="AK207" s="173"/>
      <c r="AL207" s="173"/>
      <c r="AM207" s="173"/>
      <c r="AN207" s="173"/>
      <c r="AO207" s="173"/>
      <c r="AP207" s="173"/>
      <c r="AR207" s="173"/>
      <c r="AS207" s="173"/>
      <c r="AT207" s="173"/>
      <c r="AU207" s="173"/>
      <c r="AV207" s="173"/>
      <c r="AW207" s="173"/>
    </row>
    <row r="208" spans="1:49" ht="15.75" x14ac:dyDescent="0.25">
      <c r="A208" s="1255">
        <f>+IF(C208="",0,1)</f>
        <v>0</v>
      </c>
      <c r="B208" s="1320"/>
      <c r="C208" s="1799" t="str">
        <f>IF(AB182=0,"","Line 31 column 5 doesn't equal the sum of columns 2 to 4. Please check why.")</f>
        <v/>
      </c>
      <c r="D208" s="1799"/>
      <c r="E208" s="1799"/>
      <c r="F208" s="1799"/>
      <c r="G208" s="1799"/>
      <c r="H208" s="1799"/>
      <c r="I208" s="1799"/>
      <c r="J208" s="1799"/>
      <c r="K208" s="1799"/>
      <c r="L208" s="1322"/>
      <c r="M208" s="1322"/>
      <c r="N208" s="1322"/>
      <c r="O208" s="1322"/>
      <c r="P208" s="1192"/>
      <c r="Q208" s="1192"/>
      <c r="R208" s="1192"/>
      <c r="S208" s="1192"/>
      <c r="T208" s="1192"/>
      <c r="U208" s="1192"/>
      <c r="V208" s="1192"/>
      <c r="W208" s="1192"/>
      <c r="X208" s="1192"/>
      <c r="Y208" s="1323"/>
      <c r="Z208" s="1209"/>
    </row>
    <row r="209" spans="1:43" ht="15.75" x14ac:dyDescent="0.25">
      <c r="A209" s="1255"/>
      <c r="B209" s="1320"/>
      <c r="C209" s="2421"/>
      <c r="D209" s="2421"/>
      <c r="E209" s="2421"/>
      <c r="F209" s="2421"/>
      <c r="G209" s="2421"/>
      <c r="H209" s="2421"/>
      <c r="I209" s="2421"/>
      <c r="J209" s="2421"/>
      <c r="K209" s="2421"/>
      <c r="L209" s="1322"/>
      <c r="M209" s="1322"/>
      <c r="N209" s="1322"/>
      <c r="O209" s="1322"/>
      <c r="P209" s="1192"/>
      <c r="Q209" s="1192"/>
      <c r="R209" s="1192"/>
      <c r="S209" s="1192"/>
      <c r="T209" s="1192"/>
      <c r="U209" s="1192"/>
      <c r="V209" s="1192"/>
      <c r="W209" s="1192"/>
      <c r="X209" s="1192"/>
      <c r="Y209" s="1323"/>
      <c r="Z209" s="1209"/>
    </row>
    <row r="210" spans="1:43" ht="15.75" x14ac:dyDescent="0.25">
      <c r="A210" s="1255" t="e">
        <f>+IF(C210="",0,1)</f>
        <v>#N/A</v>
      </c>
      <c r="B210" s="1320"/>
      <c r="C210" s="1799" t="e">
        <f>IF(AB189=0,"","Line 33 column 5 doesn't equal the sum of columns 2 to 4. Please check why.")</f>
        <v>#N/A</v>
      </c>
      <c r="D210" s="1799"/>
      <c r="E210" s="1799"/>
      <c r="F210" s="1799"/>
      <c r="G210" s="1799"/>
      <c r="H210" s="1799"/>
      <c r="I210" s="1799"/>
      <c r="J210" s="1799"/>
      <c r="K210" s="1799"/>
      <c r="L210" s="1322"/>
      <c r="M210" s="1322"/>
      <c r="N210" s="1322"/>
      <c r="O210" s="1322"/>
      <c r="P210" s="1192"/>
      <c r="Q210" s="1192"/>
      <c r="R210" s="1192"/>
      <c r="S210" s="1192"/>
      <c r="T210" s="1192"/>
      <c r="U210" s="1192"/>
      <c r="V210" s="1192"/>
      <c r="W210" s="1192"/>
      <c r="X210" s="1192"/>
      <c r="Y210" s="1323"/>
      <c r="Z210" s="1209"/>
    </row>
    <row r="211" spans="1:43" x14ac:dyDescent="0.2">
      <c r="A211" s="1208"/>
      <c r="B211" s="2430" t="e">
        <f>SUM(A198:A210)</f>
        <v>#N/A</v>
      </c>
      <c r="C211" s="2431"/>
      <c r="D211" s="2431"/>
      <c r="E211" s="2431"/>
      <c r="F211" s="2431"/>
      <c r="G211" s="2431"/>
      <c r="H211" s="2431"/>
      <c r="I211" s="1324"/>
      <c r="J211" s="1324"/>
      <c r="K211" s="1324"/>
      <c r="L211" s="1325"/>
      <c r="M211" s="1325"/>
      <c r="N211" s="1325"/>
      <c r="O211" s="1325"/>
      <c r="P211" s="1231"/>
      <c r="Q211" s="1231"/>
      <c r="R211" s="1231"/>
      <c r="S211" s="1231"/>
      <c r="T211" s="1231"/>
      <c r="U211" s="1231"/>
      <c r="V211" s="1231"/>
      <c r="W211" s="1231"/>
      <c r="X211" s="1231"/>
      <c r="Y211" s="1326"/>
      <c r="Z211" s="1209"/>
    </row>
    <row r="212" spans="1:43" ht="15.75" thickBot="1" x14ac:dyDescent="0.25">
      <c r="A212" s="1263"/>
      <c r="B212" s="1264"/>
      <c r="C212" s="1264"/>
      <c r="D212" s="1264"/>
      <c r="E212" s="1264"/>
      <c r="F212" s="1264"/>
      <c r="G212" s="1264"/>
      <c r="H212" s="1264"/>
      <c r="I212" s="1264"/>
      <c r="J212" s="1264"/>
      <c r="K212" s="1264"/>
      <c r="L212" s="1264"/>
      <c r="M212" s="1264"/>
      <c r="N212" s="1264"/>
      <c r="O212" s="1264"/>
      <c r="P212" s="1264"/>
      <c r="Q212" s="1264"/>
      <c r="R212" s="1264"/>
      <c r="S212" s="1264"/>
      <c r="T212" s="1264"/>
      <c r="U212" s="1264"/>
      <c r="V212" s="1264"/>
      <c r="W212" s="1264"/>
      <c r="X212" s="1264"/>
      <c r="Y212" s="1264"/>
      <c r="Z212" s="1268"/>
    </row>
    <row r="213" spans="1:43" x14ac:dyDescent="0.2">
      <c r="A213" s="1327"/>
      <c r="B213" s="1328"/>
      <c r="C213" s="1328"/>
      <c r="D213" s="1328"/>
      <c r="E213" s="1328"/>
      <c r="F213" s="1328"/>
      <c r="G213" s="1328"/>
      <c r="H213" s="1328"/>
      <c r="I213" s="1328"/>
      <c r="J213" s="1328"/>
      <c r="K213" s="1328"/>
      <c r="L213" s="1328"/>
      <c r="M213" s="1328"/>
      <c r="N213" s="1328"/>
      <c r="O213" s="1328"/>
      <c r="P213" s="1328"/>
      <c r="Q213" s="1328"/>
      <c r="R213" s="1328"/>
      <c r="S213" s="1328"/>
      <c r="T213" s="1328"/>
      <c r="U213" s="1328"/>
      <c r="V213" s="1328"/>
      <c r="W213" s="1328"/>
      <c r="X213" s="1328"/>
      <c r="Y213" s="1328"/>
      <c r="Z213" s="1329"/>
    </row>
    <row r="214" spans="1:43" ht="15.75" x14ac:dyDescent="0.25">
      <c r="A214" s="1306"/>
      <c r="B214" s="1215"/>
      <c r="C214" s="1330" t="s">
        <v>72</v>
      </c>
      <c r="D214" s="1226"/>
      <c r="E214" s="1331"/>
      <c r="F214" s="1331"/>
      <c r="G214" s="1215"/>
      <c r="H214" s="1215"/>
      <c r="I214" s="1215"/>
      <c r="J214" s="1215"/>
      <c r="K214" s="1215"/>
      <c r="L214" s="1215"/>
      <c r="M214" s="1215"/>
      <c r="N214" s="1215"/>
      <c r="O214" s="1215"/>
      <c r="P214" s="1192"/>
      <c r="Q214" s="1192"/>
      <c r="R214" s="1192"/>
      <c r="S214" s="1192"/>
      <c r="T214" s="1192"/>
      <c r="U214" s="1192"/>
      <c r="V214" s="1192"/>
      <c r="W214" s="1192"/>
      <c r="X214" s="1192"/>
      <c r="Y214" s="1192"/>
      <c r="Z214" s="1209"/>
    </row>
    <row r="215" spans="1:43" s="681" customFormat="1" ht="20.25" x14ac:dyDescent="0.2">
      <c r="A215" s="1332"/>
      <c r="B215" s="1333"/>
      <c r="C215" s="2432" t="e">
        <f>+IF('Main Validation'!#REF!&gt;0,"There are a number of validation questions that require an answer. Please complete the main validation sheet","")</f>
        <v>#REF!</v>
      </c>
      <c r="D215" s="2432"/>
      <c r="E215" s="2432"/>
      <c r="F215" s="2432"/>
      <c r="G215" s="2432"/>
      <c r="H215" s="2432"/>
      <c r="I215" s="2432"/>
      <c r="J215" s="2432"/>
      <c r="K215" s="2432"/>
      <c r="L215" s="2432"/>
      <c r="M215" s="2432"/>
      <c r="N215" s="2432"/>
      <c r="O215" s="2432"/>
      <c r="P215" s="2432"/>
      <c r="Q215" s="2432"/>
      <c r="R215" s="2432"/>
      <c r="S215" s="2432"/>
      <c r="T215" s="2432"/>
      <c r="U215" s="2432"/>
      <c r="V215" s="2432"/>
      <c r="W215" s="2432"/>
      <c r="X215" s="2432"/>
      <c r="Y215" s="1333"/>
      <c r="Z215" s="1334"/>
      <c r="AA215" s="1335"/>
      <c r="AB215" s="1336"/>
      <c r="AQ215" s="1362"/>
    </row>
    <row r="216" spans="1:43" ht="15.75" customHeight="1" x14ac:dyDescent="0.25">
      <c r="A216" s="1306"/>
      <c r="B216" s="1215"/>
      <c r="C216" s="2433" t="s">
        <v>758</v>
      </c>
      <c r="D216" s="2433"/>
      <c r="E216" s="2433"/>
      <c r="F216" s="2433"/>
      <c r="G216" s="2433"/>
      <c r="H216" s="2433"/>
      <c r="I216" s="2433"/>
      <c r="J216" s="2433"/>
      <c r="K216" s="2433"/>
      <c r="L216" s="2433"/>
      <c r="M216" s="2433"/>
      <c r="N216" s="2433"/>
      <c r="O216" s="2433"/>
      <c r="P216" s="2433"/>
      <c r="Q216" s="2433"/>
      <c r="R216" s="2433"/>
      <c r="S216" s="2433"/>
      <c r="T216" s="2433"/>
      <c r="U216" s="2433"/>
      <c r="V216" s="2433"/>
      <c r="W216" s="2433"/>
      <c r="X216" s="2433"/>
      <c r="Y216" s="1192"/>
      <c r="Z216" s="1209"/>
      <c r="AA216" s="1337"/>
    </row>
    <row r="217" spans="1:43" ht="15.75" x14ac:dyDescent="0.25">
      <c r="A217" s="1306"/>
      <c r="B217" s="1215"/>
      <c r="C217" s="2433"/>
      <c r="D217" s="2433"/>
      <c r="E217" s="2433"/>
      <c r="F217" s="2433"/>
      <c r="G217" s="2433"/>
      <c r="H217" s="2433"/>
      <c r="I217" s="2433"/>
      <c r="J217" s="2433"/>
      <c r="K217" s="2433"/>
      <c r="L217" s="2433"/>
      <c r="M217" s="2433"/>
      <c r="N217" s="2433"/>
      <c r="O217" s="2433"/>
      <c r="P217" s="2433"/>
      <c r="Q217" s="2433"/>
      <c r="R217" s="2433"/>
      <c r="S217" s="2433"/>
      <c r="T217" s="2433"/>
      <c r="U217" s="2433"/>
      <c r="V217" s="2433"/>
      <c r="W217" s="2433"/>
      <c r="X217" s="2433"/>
      <c r="Y217" s="1192"/>
      <c r="Z217" s="1209"/>
    </row>
    <row r="218" spans="1:43" ht="15.75" x14ac:dyDescent="0.25">
      <c r="A218" s="1306"/>
      <c r="B218" s="1338"/>
      <c r="C218" s="2433"/>
      <c r="D218" s="2433"/>
      <c r="E218" s="2433"/>
      <c r="F218" s="2433"/>
      <c r="G218" s="2433"/>
      <c r="H218" s="2433"/>
      <c r="I218" s="2433"/>
      <c r="J218" s="2433"/>
      <c r="K218" s="2433"/>
      <c r="L218" s="2433"/>
      <c r="M218" s="2433"/>
      <c r="N218" s="2433"/>
      <c r="O218" s="2433"/>
      <c r="P218" s="2433"/>
      <c r="Q218" s="2433"/>
      <c r="R218" s="2433"/>
      <c r="S218" s="2433"/>
      <c r="T218" s="2433"/>
      <c r="U218" s="2433"/>
      <c r="V218" s="2433"/>
      <c r="W218" s="2433"/>
      <c r="X218" s="2433"/>
      <c r="Y218" s="1192"/>
      <c r="Z218" s="1209"/>
    </row>
    <row r="219" spans="1:43" ht="15.75" customHeight="1" x14ac:dyDescent="0.2">
      <c r="A219" s="1208"/>
      <c r="B219" s="1225"/>
      <c r="C219" s="1226"/>
      <c r="D219" s="1331"/>
      <c r="E219" s="1331"/>
      <c r="F219" s="1215"/>
      <c r="G219" s="1215"/>
      <c r="H219" s="1215"/>
      <c r="I219" s="1215"/>
      <c r="J219" s="1215"/>
      <c r="K219" s="1215"/>
      <c r="L219" s="1215"/>
      <c r="M219" s="1215"/>
      <c r="N219" s="1215"/>
      <c r="O219" s="1215"/>
      <c r="P219" s="1192"/>
      <c r="Q219" s="1192"/>
      <c r="R219" s="1192"/>
      <c r="S219" s="1192"/>
      <c r="T219" s="1192"/>
      <c r="U219" s="1192"/>
      <c r="V219" s="1192"/>
      <c r="W219" s="1192"/>
      <c r="X219" s="1192"/>
      <c r="Y219" s="1192"/>
      <c r="Z219" s="1209"/>
    </row>
    <row r="220" spans="1:43" ht="15.75" x14ac:dyDescent="0.25">
      <c r="A220" s="1208"/>
      <c r="B220" s="1225"/>
      <c r="C220" s="1279"/>
      <c r="D220" s="1331"/>
      <c r="E220" s="1331"/>
      <c r="F220" s="1279" t="s">
        <v>676</v>
      </c>
      <c r="G220" s="1215"/>
      <c r="H220" s="1215"/>
      <c r="I220" s="1215"/>
      <c r="J220" s="1215"/>
      <c r="K220" s="1215"/>
      <c r="L220" s="1215"/>
      <c r="M220" s="1215"/>
      <c r="N220" s="1215"/>
      <c r="O220" s="1215"/>
      <c r="P220" s="1192"/>
      <c r="Q220" s="1192"/>
      <c r="R220" s="1192"/>
      <c r="S220" s="1192"/>
      <c r="T220" s="1192"/>
      <c r="U220" s="1192"/>
      <c r="V220" s="1192"/>
      <c r="W220" s="1192"/>
      <c r="X220" s="1192"/>
      <c r="Y220" s="1192"/>
      <c r="Z220" s="1209"/>
    </row>
    <row r="221" spans="1:43" ht="15.75" x14ac:dyDescent="0.25">
      <c r="A221" s="1306"/>
      <c r="B221" s="1274"/>
      <c r="C221" s="1279"/>
      <c r="D221" s="1331"/>
      <c r="E221" s="1331"/>
      <c r="F221" s="1279" t="s">
        <v>678</v>
      </c>
      <c r="G221" s="1339"/>
      <c r="H221" s="1339"/>
      <c r="I221" s="1339"/>
      <c r="J221" s="1339"/>
      <c r="K221" s="1339"/>
      <c r="L221" s="1339"/>
      <c r="M221" s="1339"/>
      <c r="N221" s="1339"/>
      <c r="O221" s="1339"/>
      <c r="P221" s="1340"/>
      <c r="Q221" s="1340"/>
      <c r="R221" s="1340"/>
      <c r="S221" s="1340"/>
      <c r="T221" s="1340"/>
      <c r="U221" s="1340"/>
      <c r="V221" s="1340"/>
      <c r="W221" s="1340"/>
      <c r="X221" s="1192"/>
      <c r="Y221" s="1192"/>
      <c r="Z221" s="1209"/>
    </row>
    <row r="222" spans="1:43" ht="15.75" x14ac:dyDescent="0.25">
      <c r="A222" s="1306"/>
      <c r="B222" s="1274"/>
      <c r="C222" s="1279"/>
      <c r="D222" s="1331"/>
      <c r="E222" s="1331"/>
      <c r="F222" s="1279"/>
      <c r="G222" s="1215"/>
      <c r="H222" s="1215"/>
      <c r="I222" s="1215"/>
      <c r="J222" s="1215"/>
      <c r="K222" s="1215"/>
      <c r="L222" s="1215"/>
      <c r="M222" s="1215"/>
      <c r="N222" s="1215"/>
      <c r="O222" s="1215"/>
      <c r="P222" s="1192"/>
      <c r="Q222" s="1192"/>
      <c r="R222" s="1192"/>
      <c r="S222" s="1192"/>
      <c r="T222" s="1192"/>
      <c r="U222" s="1192"/>
      <c r="V222" s="1192"/>
      <c r="W222" s="1192"/>
      <c r="X222" s="1192"/>
      <c r="Y222" s="1192"/>
      <c r="Z222" s="1209"/>
    </row>
    <row r="223" spans="1:43" ht="15.75" x14ac:dyDescent="0.25">
      <c r="A223" s="1208"/>
      <c r="B223" s="1274"/>
      <c r="C223" s="1279"/>
      <c r="D223" s="1331"/>
      <c r="E223" s="1331"/>
      <c r="F223" s="1279"/>
      <c r="G223" s="1215"/>
      <c r="H223" s="1215"/>
      <c r="I223" s="1215"/>
      <c r="J223" s="1215"/>
      <c r="K223" s="1215"/>
      <c r="L223" s="1215"/>
      <c r="M223" s="1215"/>
      <c r="N223" s="1215"/>
      <c r="O223" s="1215"/>
      <c r="P223" s="1192"/>
      <c r="Q223" s="1192"/>
      <c r="R223" s="1192"/>
      <c r="S223" s="1192"/>
      <c r="T223" s="1192"/>
      <c r="U223" s="1192"/>
      <c r="V223" s="1192"/>
      <c r="W223" s="1192"/>
      <c r="X223" s="1192"/>
      <c r="Y223" s="1192"/>
      <c r="Z223" s="1209"/>
    </row>
    <row r="224" spans="1:43" ht="15.75" x14ac:dyDescent="0.25">
      <c r="A224" s="1208"/>
      <c r="B224" s="1274"/>
      <c r="C224" s="1279"/>
      <c r="D224" s="1331"/>
      <c r="E224" s="1331"/>
      <c r="F224" s="1279" t="s">
        <v>679</v>
      </c>
      <c r="G224" s="1339"/>
      <c r="H224" s="1339"/>
      <c r="I224" s="1339"/>
      <c r="J224" s="1339"/>
      <c r="K224" s="1339"/>
      <c r="L224" s="1339"/>
      <c r="M224" s="1339"/>
      <c r="N224" s="1339"/>
      <c r="O224" s="1339"/>
      <c r="P224" s="1340"/>
      <c r="Q224" s="1340"/>
      <c r="R224" s="1340"/>
      <c r="S224" s="1340"/>
      <c r="T224" s="1340"/>
      <c r="U224" s="1340"/>
      <c r="V224" s="1340"/>
      <c r="W224" s="1340"/>
      <c r="X224" s="1192"/>
      <c r="Y224" s="1192"/>
      <c r="Z224" s="1209"/>
    </row>
    <row r="225" spans="1:49" ht="15.75" x14ac:dyDescent="0.25">
      <c r="A225" s="1208"/>
      <c r="B225" s="1274"/>
      <c r="C225" s="1279"/>
      <c r="D225" s="1331"/>
      <c r="E225" s="1331"/>
      <c r="F225" s="1279"/>
      <c r="G225" s="1341"/>
      <c r="H225" s="1341"/>
      <c r="I225" s="1341"/>
      <c r="J225" s="1341"/>
      <c r="K225" s="1341"/>
      <c r="L225" s="1341"/>
      <c r="M225" s="1341"/>
      <c r="N225" s="1341"/>
      <c r="O225" s="1341"/>
      <c r="P225" s="1342"/>
      <c r="Q225" s="1342"/>
      <c r="R225" s="1342"/>
      <c r="S225" s="1342"/>
      <c r="T225" s="1342"/>
      <c r="U225" s="1342"/>
      <c r="V225" s="1342"/>
      <c r="W225" s="1342"/>
      <c r="X225" s="1192"/>
      <c r="Y225" s="1192"/>
      <c r="Z225" s="1209"/>
    </row>
    <row r="226" spans="1:49" x14ac:dyDescent="0.2">
      <c r="A226" s="1208"/>
      <c r="B226" s="1225"/>
      <c r="C226" s="1343"/>
      <c r="D226" s="1331"/>
      <c r="E226" s="1331"/>
      <c r="F226" s="1343"/>
      <c r="G226" s="1215"/>
      <c r="H226" s="1215"/>
      <c r="I226" s="1215"/>
      <c r="J226" s="1215"/>
      <c r="K226" s="1215"/>
      <c r="L226" s="1215"/>
      <c r="M226" s="1215"/>
      <c r="N226" s="1215"/>
      <c r="O226" s="1215"/>
      <c r="P226" s="1192"/>
      <c r="Q226" s="1192"/>
      <c r="R226" s="1192"/>
      <c r="S226" s="1192"/>
      <c r="T226" s="1192"/>
      <c r="U226" s="1192"/>
      <c r="V226" s="1192"/>
      <c r="W226" s="1192"/>
      <c r="X226" s="1192"/>
      <c r="Y226" s="1192"/>
      <c r="Z226" s="1209"/>
    </row>
    <row r="227" spans="1:49" ht="15.75" x14ac:dyDescent="0.25">
      <c r="A227" s="1306"/>
      <c r="B227" s="1274"/>
      <c r="C227" s="1279"/>
      <c r="D227" s="1331"/>
      <c r="E227" s="1331"/>
      <c r="F227" s="1279" t="s">
        <v>677</v>
      </c>
      <c r="G227" s="1339"/>
      <c r="H227" s="1339"/>
      <c r="I227" s="1339"/>
      <c r="J227" s="1339"/>
      <c r="K227" s="1339"/>
      <c r="L227" s="1339"/>
      <c r="M227" s="1339"/>
      <c r="N227" s="1339"/>
      <c r="O227" s="1339"/>
      <c r="P227" s="1340"/>
      <c r="Q227" s="1340"/>
      <c r="R227" s="1340"/>
      <c r="S227" s="1340"/>
      <c r="T227" s="1340"/>
      <c r="U227" s="1340"/>
      <c r="V227" s="1340"/>
      <c r="W227" s="1340"/>
      <c r="X227" s="1192"/>
      <c r="Y227" s="1192"/>
      <c r="Z227" s="1209"/>
    </row>
    <row r="228" spans="1:49" ht="15.75" thickBot="1" x14ac:dyDescent="0.25">
      <c r="A228" s="1263"/>
      <c r="B228" s="1344"/>
      <c r="C228" s="1344"/>
      <c r="D228" s="1345"/>
      <c r="E228" s="1345"/>
      <c r="F228" s="1345"/>
      <c r="G228" s="1345"/>
      <c r="H228" s="1345"/>
      <c r="I228" s="1345"/>
      <c r="J228" s="1345"/>
      <c r="K228" s="1345"/>
      <c r="L228" s="1345"/>
      <c r="M228" s="1345"/>
      <c r="N228" s="1345"/>
      <c r="O228" s="1345"/>
      <c r="P228" s="1264"/>
      <c r="Q228" s="1264"/>
      <c r="R228" s="1264"/>
      <c r="S228" s="1264"/>
      <c r="T228" s="1264"/>
      <c r="U228" s="1264"/>
      <c r="V228" s="1264"/>
      <c r="W228" s="1264"/>
      <c r="X228" s="1264"/>
      <c r="Y228" s="1264"/>
      <c r="Z228" s="1268"/>
    </row>
    <row r="229" spans="1:49" x14ac:dyDescent="0.2">
      <c r="A229" s="1346"/>
      <c r="B229" s="1225"/>
      <c r="C229" s="1225"/>
      <c r="D229" s="1215"/>
      <c r="E229" s="1347"/>
      <c r="F229" s="1215"/>
      <c r="G229" s="1215"/>
      <c r="H229" s="1215"/>
      <c r="I229" s="1215"/>
      <c r="J229" s="1215"/>
      <c r="K229" s="1215"/>
      <c r="L229" s="1215"/>
      <c r="M229" s="1215"/>
      <c r="N229" s="1215"/>
      <c r="O229" s="1215"/>
      <c r="P229" s="1192"/>
      <c r="Q229" s="1192"/>
      <c r="R229" s="1192"/>
      <c r="S229" s="1192"/>
      <c r="T229" s="1192"/>
      <c r="U229" s="1194"/>
      <c r="V229" s="1194"/>
      <c r="W229" s="1194"/>
      <c r="X229" s="1194"/>
      <c r="Y229" s="1194"/>
      <c r="Z229" s="1194"/>
      <c r="AA229" s="1194"/>
    </row>
    <row r="230" spans="1:49" s="756" customFormat="1" x14ac:dyDescent="0.2">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c r="U230" s="1348"/>
      <c r="V230" s="1348"/>
      <c r="W230" s="1348"/>
      <c r="X230" s="1348"/>
      <c r="Y230" s="1348"/>
      <c r="Z230" s="1348"/>
      <c r="AA230" s="1194"/>
      <c r="AB230" s="1349"/>
      <c r="AC230" s="468"/>
      <c r="AD230" s="468"/>
      <c r="AE230" s="468"/>
      <c r="AF230" s="468"/>
      <c r="AG230" s="468"/>
      <c r="AH230" s="468"/>
      <c r="AI230" s="468"/>
      <c r="AJ230" s="468"/>
      <c r="AK230" s="468"/>
      <c r="AL230" s="468"/>
      <c r="AM230" s="468"/>
      <c r="AN230" s="468"/>
      <c r="AO230" s="468"/>
      <c r="AP230" s="468"/>
      <c r="AQ230" s="1359"/>
      <c r="AR230" s="468"/>
      <c r="AS230" s="468"/>
      <c r="AT230" s="468"/>
      <c r="AU230" s="468"/>
      <c r="AV230" s="468"/>
      <c r="AW230" s="468"/>
    </row>
    <row r="231" spans="1:49" s="468" customFormat="1" x14ac:dyDescent="0.2">
      <c r="A231" s="1194"/>
      <c r="B231" s="1194"/>
      <c r="C231" s="1194"/>
      <c r="D231" s="1194"/>
      <c r="E231" s="1194"/>
      <c r="F231" s="1194"/>
      <c r="G231" s="1194"/>
      <c r="H231" s="1194"/>
      <c r="I231" s="1194"/>
      <c r="J231" s="1194"/>
      <c r="K231" s="1194"/>
      <c r="L231" s="1194"/>
      <c r="M231" s="1194"/>
      <c r="N231" s="1194"/>
      <c r="O231" s="1194"/>
      <c r="P231" s="1194"/>
      <c r="Q231" s="1194"/>
      <c r="R231" s="1194"/>
      <c r="S231" s="1194"/>
      <c r="T231" s="1194"/>
      <c r="U231" s="1194"/>
      <c r="V231" s="1194"/>
      <c r="W231" s="1194"/>
      <c r="X231" s="1194"/>
      <c r="Y231" s="1194"/>
      <c r="Z231" s="1348"/>
      <c r="AA231" s="1194"/>
      <c r="AB231" s="1349"/>
      <c r="AQ231" s="1359"/>
    </row>
    <row r="232" spans="1:49" s="468" customFormat="1" x14ac:dyDescent="0.2">
      <c r="A232" s="1194"/>
      <c r="B232" s="1194"/>
      <c r="C232" s="1194"/>
      <c r="D232" s="1194"/>
      <c r="E232" s="1194"/>
      <c r="F232" s="1194"/>
      <c r="G232" s="1194"/>
      <c r="H232" s="1194"/>
      <c r="I232" s="1194"/>
      <c r="J232" s="1194"/>
      <c r="K232" s="1194"/>
      <c r="L232" s="1194"/>
      <c r="M232" s="1194"/>
      <c r="N232" s="1194"/>
      <c r="O232" s="1194"/>
      <c r="P232" s="1194"/>
      <c r="Q232" s="1194"/>
      <c r="R232" s="1194"/>
      <c r="S232" s="1194"/>
      <c r="T232" s="1194"/>
      <c r="U232" s="1194"/>
      <c r="V232" s="1194"/>
      <c r="W232" s="1194"/>
      <c r="X232" s="1194"/>
      <c r="Y232" s="1194"/>
      <c r="Z232" s="1348"/>
      <c r="AA232" s="1194"/>
      <c r="AB232" s="1349"/>
      <c r="AQ232" s="1359"/>
    </row>
    <row r="233" spans="1:49" s="988" customFormat="1" x14ac:dyDescent="0.25">
      <c r="A233" s="1350"/>
      <c r="B233" s="1350"/>
      <c r="C233" s="1350" t="str">
        <f>+L17</f>
        <v>EZZZZ</v>
      </c>
      <c r="D233" s="1350"/>
      <c r="E233" s="1351">
        <f>VLOOKUP($L$17,TierSplit!$A$6:$J$332,5,FALSE)</f>
        <v>0</v>
      </c>
      <c r="F233" s="1351"/>
      <c r="G233" s="1351"/>
      <c r="H233" s="1351"/>
      <c r="I233" s="1351"/>
      <c r="J233" s="1351"/>
      <c r="K233" s="1351">
        <f>VLOOKUP($L$17,TierSplit!$A$6:$J$332,8,FALSE)</f>
        <v>0</v>
      </c>
      <c r="L233" s="1350"/>
      <c r="M233" s="1350"/>
      <c r="N233" s="1350"/>
      <c r="O233" s="1351" t="str">
        <f>VLOOKUP($L$17,TierSplit!$A$6:$AG$332,32,FALSE)</f>
        <v>No</v>
      </c>
      <c r="P233" s="1351" t="str">
        <f>IF(VLOOKUP($L$17,TierSplit!$A$6:$AG$332,10,FALSE)=1,"Yes","No")</f>
        <v>No</v>
      </c>
      <c r="Q233" s="1351">
        <f>VLOOKUP($L$17,TierSplit!$A$6:$AG$332,20,FALSE)</f>
        <v>0</v>
      </c>
      <c r="R233" s="1351">
        <f>VLOOKUP($L$17,TierSplit!$A$6:$AG$332,21,FALSE)</f>
        <v>0</v>
      </c>
      <c r="S233" s="1351">
        <f>VLOOKUP($L$17,TierSplit!$A$6:$AG$332,22,FALSE)</f>
        <v>0</v>
      </c>
      <c r="T233" s="1351">
        <f>VLOOKUP($L$17,TierSplit!$A$6:$AG$332,23,FALSE)</f>
        <v>0</v>
      </c>
      <c r="U233" s="1351">
        <f>VLOOKUP($L$17,TierSplit!$A$6:$AG$332,25,FALSE)</f>
        <v>0</v>
      </c>
      <c r="V233" s="1351">
        <f>VLOOKUP($L$17,TierSplit!$A$6:$AG$332,26,FALSE)</f>
        <v>0</v>
      </c>
      <c r="W233" s="1351">
        <f>VLOOKUP($L$17,TierSplit!$A$6:$AG$332,27,FALSE)</f>
        <v>0</v>
      </c>
      <c r="X233" s="1351"/>
      <c r="Y233" s="1351"/>
      <c r="Z233" s="1350"/>
      <c r="AA233" s="1350"/>
      <c r="AB233" s="1352"/>
      <c r="AQ233" s="1363"/>
    </row>
    <row r="234" spans="1:49" s="468" customFormat="1" x14ac:dyDescent="0.2">
      <c r="A234" s="1194"/>
      <c r="B234" s="1194"/>
      <c r="C234" s="1194"/>
      <c r="D234" s="1194"/>
      <c r="E234" s="1194"/>
      <c r="F234" s="1194"/>
      <c r="G234" s="1194"/>
      <c r="H234" s="1194"/>
      <c r="I234" s="1194"/>
      <c r="J234" s="1194"/>
      <c r="K234" s="1194"/>
      <c r="L234" s="1194"/>
      <c r="M234" s="1194"/>
      <c r="N234" s="1194"/>
      <c r="O234" s="1194"/>
      <c r="P234" s="1194"/>
      <c r="Q234" s="1194"/>
      <c r="R234" s="1194"/>
      <c r="S234" s="1194"/>
      <c r="T234" s="1194"/>
      <c r="U234" s="1194"/>
      <c r="V234" s="1194"/>
      <c r="W234" s="1194"/>
      <c r="X234" s="1194"/>
      <c r="Y234" s="1194"/>
      <c r="Z234" s="1348"/>
      <c r="AA234" s="1194"/>
      <c r="AB234" s="1349"/>
      <c r="AQ234" s="1359"/>
    </row>
    <row r="235" spans="1:49" s="468" customFormat="1" x14ac:dyDescent="0.2">
      <c r="A235" s="1194"/>
      <c r="B235" s="1194"/>
      <c r="C235" s="1194"/>
      <c r="D235" s="1194"/>
      <c r="E235" s="1194"/>
      <c r="F235" s="1194"/>
      <c r="G235" s="1194"/>
      <c r="H235" s="1194"/>
      <c r="I235" s="1194"/>
      <c r="J235" s="1194"/>
      <c r="K235" s="1194"/>
      <c r="L235" s="1194"/>
      <c r="M235" s="1194"/>
      <c r="N235" s="1194"/>
      <c r="O235" s="1194"/>
      <c r="P235" s="1194"/>
      <c r="Q235" s="1194"/>
      <c r="R235" s="1194"/>
      <c r="S235" s="1194"/>
      <c r="T235" s="1194"/>
      <c r="U235" s="1194"/>
      <c r="V235" s="1194"/>
      <c r="W235" s="1194"/>
      <c r="X235" s="1194"/>
      <c r="Y235" s="1194"/>
      <c r="Z235" s="1348"/>
      <c r="AA235" s="1194"/>
      <c r="AB235" s="1349"/>
      <c r="AQ235" s="1359"/>
    </row>
    <row r="236" spans="1:49" s="468" customFormat="1" x14ac:dyDescent="0.2">
      <c r="A236" s="1194"/>
      <c r="B236" s="1194"/>
      <c r="C236" s="1194"/>
      <c r="D236" s="1194"/>
      <c r="E236" s="1194"/>
      <c r="F236" s="1194"/>
      <c r="G236" s="1194"/>
      <c r="H236" s="1194"/>
      <c r="I236" s="1194"/>
      <c r="J236" s="1194"/>
      <c r="K236" s="1194"/>
      <c r="L236" s="1194"/>
      <c r="M236" s="1194"/>
      <c r="N236" s="1194"/>
      <c r="O236" s="1194"/>
      <c r="P236" s="1194"/>
      <c r="Q236" s="1194"/>
      <c r="R236" s="1194"/>
      <c r="S236" s="1194"/>
      <c r="T236" s="1194"/>
      <c r="U236" s="1194"/>
      <c r="V236" s="1194"/>
      <c r="W236" s="1194"/>
      <c r="X236" s="1353"/>
      <c r="Y236" s="1194"/>
      <c r="Z236" s="1348"/>
      <c r="AA236" s="1194"/>
      <c r="AB236" s="1349"/>
      <c r="AQ236" s="1359"/>
    </row>
    <row r="237" spans="1:49" s="468" customFormat="1" x14ac:dyDescent="0.2">
      <c r="A237" s="1194"/>
      <c r="B237" s="1194"/>
      <c r="C237" s="1194"/>
      <c r="D237" s="1194"/>
      <c r="E237" s="1194"/>
      <c r="F237" s="1194"/>
      <c r="G237" s="1194"/>
      <c r="H237" s="1194"/>
      <c r="I237" s="1194"/>
      <c r="J237" s="1194"/>
      <c r="K237" s="1194"/>
      <c r="L237" s="1194"/>
      <c r="M237" s="1194"/>
      <c r="N237" s="1194"/>
      <c r="O237" s="1194"/>
      <c r="P237" s="1194"/>
      <c r="Q237" s="1194"/>
      <c r="R237" s="1194"/>
      <c r="S237" s="1194"/>
      <c r="T237" s="1194"/>
      <c r="U237" s="1194"/>
      <c r="V237" s="1194"/>
      <c r="W237" s="1194"/>
      <c r="X237" s="1194"/>
      <c r="Y237" s="1194"/>
      <c r="Z237" s="1348"/>
      <c r="AA237" s="1194"/>
      <c r="AB237" s="1349"/>
      <c r="AQ237" s="1359"/>
    </row>
    <row r="238" spans="1:49" s="468" customFormat="1" x14ac:dyDescent="0.2">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c r="U238" s="1348"/>
      <c r="V238" s="1348"/>
      <c r="W238" s="1348"/>
      <c r="X238" s="1348"/>
      <c r="Y238" s="1348"/>
      <c r="Z238" s="1348"/>
      <c r="AA238" s="1194"/>
      <c r="AB238" s="1349"/>
      <c r="AQ238" s="1359"/>
    </row>
    <row r="239" spans="1:49" s="468" customFormat="1" x14ac:dyDescent="0.2">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c r="U239" s="1348"/>
      <c r="V239" s="1348"/>
      <c r="W239" s="1348"/>
      <c r="X239" s="1348"/>
      <c r="Y239" s="1348"/>
      <c r="Z239" s="1348"/>
      <c r="AA239" s="1194"/>
      <c r="AB239" s="1349"/>
      <c r="AQ239" s="1359"/>
    </row>
    <row r="240" spans="1:49" s="468" customFormat="1" x14ac:dyDescent="0.2">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c r="U240" s="1348"/>
      <c r="V240" s="1348"/>
      <c r="W240" s="1348"/>
      <c r="X240" s="1348"/>
      <c r="Y240" s="1348"/>
      <c r="Z240" s="1348"/>
      <c r="AA240" s="1194"/>
      <c r="AB240" s="1349"/>
      <c r="AQ240" s="1359"/>
    </row>
    <row r="241" spans="1:43" s="468" customFormat="1" x14ac:dyDescent="0.2">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c r="U241" s="1348"/>
      <c r="V241" s="1348"/>
      <c r="W241" s="1348"/>
      <c r="X241" s="1348"/>
      <c r="Y241" s="1348"/>
      <c r="Z241" s="1348"/>
      <c r="AA241" s="1194"/>
      <c r="AB241" s="1349"/>
      <c r="AQ241" s="1359"/>
    </row>
    <row r="242" spans="1:43" s="468" customFormat="1" x14ac:dyDescent="0.2">
      <c r="A242" s="1348"/>
      <c r="B242" s="1348"/>
      <c r="C242" s="1348"/>
      <c r="D242" s="1348"/>
      <c r="E242" s="1348"/>
      <c r="F242" s="1348"/>
      <c r="G242" s="1348"/>
      <c r="H242" s="1348"/>
      <c r="I242" s="1348"/>
      <c r="J242" s="1348"/>
      <c r="K242" s="1348"/>
      <c r="L242" s="1348"/>
      <c r="M242" s="1348"/>
      <c r="N242" s="1348"/>
      <c r="O242" s="1348"/>
      <c r="P242" s="1348"/>
      <c r="Q242" s="1348"/>
      <c r="R242" s="1348"/>
      <c r="S242" s="1348"/>
      <c r="T242" s="1348"/>
      <c r="U242" s="1348"/>
      <c r="V242" s="1348"/>
      <c r="W242" s="1348"/>
      <c r="X242" s="1348"/>
      <c r="Y242" s="1348"/>
      <c r="Z242" s="1348"/>
      <c r="AA242" s="1194"/>
      <c r="AB242" s="1349"/>
      <c r="AQ242" s="1359"/>
    </row>
    <row r="243" spans="1:43" s="468" customFormat="1" x14ac:dyDescent="0.2">
      <c r="A243" s="1348"/>
      <c r="B243" s="1348"/>
      <c r="C243" s="1348"/>
      <c r="D243" s="1348"/>
      <c r="E243" s="1348"/>
      <c r="F243" s="1348"/>
      <c r="G243" s="1348"/>
      <c r="H243" s="1348"/>
      <c r="I243" s="1348"/>
      <c r="J243" s="1348"/>
      <c r="K243" s="1348"/>
      <c r="L243" s="1348"/>
      <c r="M243" s="1348"/>
      <c r="N243" s="1348"/>
      <c r="O243" s="1348"/>
      <c r="P243" s="1348"/>
      <c r="Q243" s="1348"/>
      <c r="R243" s="1348"/>
      <c r="S243" s="1348"/>
      <c r="T243" s="1348"/>
      <c r="U243" s="1348"/>
      <c r="V243" s="1348"/>
      <c r="W243" s="1348"/>
      <c r="X243" s="1348"/>
      <c r="Y243" s="1348"/>
      <c r="Z243" s="1348"/>
      <c r="AA243" s="1194"/>
      <c r="AB243" s="1349"/>
      <c r="AQ243" s="1359"/>
    </row>
    <row r="244" spans="1:43" s="468" customFormat="1" x14ac:dyDescent="0.2">
      <c r="A244" s="1348"/>
      <c r="B244" s="1348"/>
      <c r="C244" s="1348"/>
      <c r="D244" s="1348"/>
      <c r="E244" s="1348"/>
      <c r="F244" s="1348"/>
      <c r="G244" s="1348"/>
      <c r="H244" s="1348"/>
      <c r="I244" s="1348"/>
      <c r="J244" s="1348"/>
      <c r="K244" s="1348"/>
      <c r="L244" s="1348"/>
      <c r="M244" s="1348"/>
      <c r="N244" s="1348"/>
      <c r="O244" s="1348"/>
      <c r="P244" s="1348"/>
      <c r="Q244" s="1348"/>
      <c r="R244" s="1348"/>
      <c r="S244" s="1348"/>
      <c r="T244" s="1348"/>
      <c r="U244" s="1348"/>
      <c r="V244" s="1348"/>
      <c r="W244" s="1348"/>
      <c r="X244" s="1348"/>
      <c r="Y244" s="1348"/>
      <c r="Z244" s="1348"/>
      <c r="AA244" s="1194"/>
      <c r="AB244" s="1349"/>
      <c r="AQ244" s="1359"/>
    </row>
    <row r="245" spans="1:43" s="487" customFormat="1" x14ac:dyDescent="0.2">
      <c r="A245" s="1354"/>
      <c r="B245" s="1354"/>
      <c r="C245" s="1354"/>
      <c r="D245" s="1354"/>
      <c r="E245" s="1354"/>
      <c r="F245" s="1354"/>
      <c r="G245" s="1354"/>
      <c r="H245" s="1354"/>
      <c r="I245" s="1354"/>
      <c r="J245" s="1354"/>
      <c r="K245" s="1354"/>
      <c r="L245" s="1354"/>
      <c r="M245" s="1354"/>
      <c r="N245" s="1354"/>
      <c r="O245" s="1354"/>
      <c r="P245" s="1354"/>
      <c r="Q245" s="1354"/>
      <c r="R245" s="1354"/>
      <c r="S245" s="1354"/>
      <c r="T245" s="1354"/>
      <c r="U245" s="1354"/>
      <c r="V245" s="1354"/>
      <c r="W245" s="1354"/>
      <c r="X245" s="1354"/>
      <c r="Y245" s="1354"/>
      <c r="Z245" s="1354"/>
      <c r="AA245" s="1355"/>
      <c r="AB245" s="1356"/>
      <c r="AQ245" s="1364"/>
    </row>
    <row r="246" spans="1:43" s="487" customFormat="1" x14ac:dyDescent="0.2">
      <c r="A246" s="1354"/>
      <c r="B246" s="1354"/>
      <c r="C246" s="1354"/>
      <c r="D246" s="1354"/>
      <c r="E246" s="1354"/>
      <c r="F246" s="1354"/>
      <c r="G246" s="1354"/>
      <c r="H246" s="1354"/>
      <c r="I246" s="1354"/>
      <c r="J246" s="1354"/>
      <c r="K246" s="1354"/>
      <c r="L246" s="1354"/>
      <c r="M246" s="1354"/>
      <c r="N246" s="1354"/>
      <c r="O246" s="1354"/>
      <c r="P246" s="1354"/>
      <c r="Q246" s="1354"/>
      <c r="R246" s="1354"/>
      <c r="S246" s="1354"/>
      <c r="T246" s="1354"/>
      <c r="U246" s="1354"/>
      <c r="V246" s="1354"/>
      <c r="W246" s="1354"/>
      <c r="X246" s="1354"/>
      <c r="Y246" s="1354"/>
      <c r="Z246" s="1354"/>
      <c r="AA246" s="1355"/>
      <c r="AB246" s="1356"/>
      <c r="AQ246" s="1364"/>
    </row>
    <row r="247" spans="1:43" s="487" customFormat="1" x14ac:dyDescent="0.2">
      <c r="A247" s="1354"/>
      <c r="B247" s="1354"/>
      <c r="C247" s="1354"/>
      <c r="D247" s="1354"/>
      <c r="E247" s="1354"/>
      <c r="F247" s="1354"/>
      <c r="G247" s="1354"/>
      <c r="H247" s="1354"/>
      <c r="I247" s="1354"/>
      <c r="J247" s="1354"/>
      <c r="K247" s="1354"/>
      <c r="L247" s="1354"/>
      <c r="M247" s="1354"/>
      <c r="N247" s="1354"/>
      <c r="O247" s="1354"/>
      <c r="P247" s="1354"/>
      <c r="Q247" s="1354"/>
      <c r="R247" s="1354"/>
      <c r="S247" s="1354"/>
      <c r="T247" s="1354"/>
      <c r="U247" s="1354"/>
      <c r="V247" s="1354"/>
      <c r="W247" s="1354"/>
      <c r="X247" s="1354"/>
      <c r="Y247" s="1354"/>
      <c r="Z247" s="1354"/>
      <c r="AA247" s="1355"/>
      <c r="AB247" s="1356"/>
      <c r="AQ247" s="1364"/>
    </row>
    <row r="248" spans="1:43" s="487" customFormat="1" x14ac:dyDescent="0.2">
      <c r="A248" s="1354"/>
      <c r="B248" s="1354"/>
      <c r="C248" s="1354"/>
      <c r="D248" s="1354"/>
      <c r="E248" s="1354"/>
      <c r="F248" s="1354"/>
      <c r="G248" s="1354"/>
      <c r="H248" s="1354"/>
      <c r="I248" s="1354"/>
      <c r="J248" s="1354"/>
      <c r="K248" s="1354"/>
      <c r="L248" s="1354"/>
      <c r="M248" s="1354"/>
      <c r="N248" s="1354"/>
      <c r="O248" s="1354"/>
      <c r="P248" s="1354"/>
      <c r="Q248" s="1354"/>
      <c r="R248" s="1354"/>
      <c r="S248" s="1354"/>
      <c r="T248" s="1354"/>
      <c r="U248" s="1354"/>
      <c r="V248" s="1354"/>
      <c r="W248" s="1354"/>
      <c r="X248" s="1354"/>
      <c r="Y248" s="1354"/>
      <c r="Z248" s="1354"/>
      <c r="AA248" s="1355"/>
      <c r="AB248" s="1356"/>
      <c r="AQ248" s="1364"/>
    </row>
    <row r="249" spans="1:43" s="487" customFormat="1" x14ac:dyDescent="0.2">
      <c r="A249" s="1354"/>
      <c r="B249" s="1354"/>
      <c r="C249" s="1354"/>
      <c r="D249" s="1354"/>
      <c r="E249" s="1354"/>
      <c r="F249" s="1354"/>
      <c r="G249" s="1354"/>
      <c r="H249" s="1354"/>
      <c r="I249" s="1354"/>
      <c r="J249" s="1354"/>
      <c r="K249" s="1354"/>
      <c r="L249" s="1354"/>
      <c r="M249" s="1354"/>
      <c r="N249" s="1354"/>
      <c r="O249" s="1354"/>
      <c r="P249" s="1354"/>
      <c r="Q249" s="1354"/>
      <c r="R249" s="1354"/>
      <c r="S249" s="1354"/>
      <c r="T249" s="1354"/>
      <c r="U249" s="1354"/>
      <c r="V249" s="1354"/>
      <c r="W249" s="1354"/>
      <c r="X249" s="1354"/>
      <c r="Y249" s="1354"/>
      <c r="Z249" s="1354"/>
      <c r="AA249" s="1355"/>
      <c r="AB249" s="1356"/>
      <c r="AQ249" s="1364"/>
    </row>
    <row r="250" spans="1:43" s="487" customFormat="1" x14ac:dyDescent="0.2">
      <c r="A250" s="1354"/>
      <c r="B250" s="1354"/>
      <c r="C250" s="1354"/>
      <c r="D250" s="1354"/>
      <c r="E250" s="1354"/>
      <c r="F250" s="1354"/>
      <c r="G250" s="1354"/>
      <c r="H250" s="1354"/>
      <c r="I250" s="1354"/>
      <c r="J250" s="1354"/>
      <c r="K250" s="1354"/>
      <c r="L250" s="1354"/>
      <c r="M250" s="1354"/>
      <c r="N250" s="1354"/>
      <c r="O250" s="1354"/>
      <c r="P250" s="1354"/>
      <c r="Q250" s="1354"/>
      <c r="R250" s="1354"/>
      <c r="S250" s="1354"/>
      <c r="T250" s="1354"/>
      <c r="U250" s="1354"/>
      <c r="V250" s="1354"/>
      <c r="W250" s="1354"/>
      <c r="X250" s="1354"/>
      <c r="Y250" s="1354"/>
      <c r="Z250" s="1354"/>
      <c r="AA250" s="1355"/>
      <c r="AB250" s="1356"/>
      <c r="AQ250" s="1364"/>
    </row>
    <row r="251" spans="1:43" s="487" customFormat="1" x14ac:dyDescent="0.2">
      <c r="A251" s="1354"/>
      <c r="B251" s="1354"/>
      <c r="C251" s="1354"/>
      <c r="D251" s="1354"/>
      <c r="E251" s="1354"/>
      <c r="F251" s="1354"/>
      <c r="G251" s="1354"/>
      <c r="H251" s="1354"/>
      <c r="I251" s="1354"/>
      <c r="J251" s="1354"/>
      <c r="K251" s="1354"/>
      <c r="L251" s="1354"/>
      <c r="M251" s="1354"/>
      <c r="N251" s="1354"/>
      <c r="O251" s="1354"/>
      <c r="P251" s="1354"/>
      <c r="Q251" s="1354"/>
      <c r="R251" s="1354"/>
      <c r="S251" s="1354"/>
      <c r="T251" s="1354"/>
      <c r="U251" s="1354"/>
      <c r="V251" s="1354"/>
      <c r="W251" s="1354"/>
      <c r="X251" s="1354"/>
      <c r="Y251" s="1354"/>
      <c r="Z251" s="1354"/>
      <c r="AA251" s="1355"/>
      <c r="AB251" s="1356"/>
      <c r="AQ251" s="1364"/>
    </row>
    <row r="252" spans="1:43" s="487" customFormat="1" x14ac:dyDescent="0.2">
      <c r="A252" s="1354"/>
      <c r="B252" s="1354"/>
      <c r="C252" s="1354"/>
      <c r="D252" s="1354"/>
      <c r="E252" s="1354"/>
      <c r="F252" s="1354"/>
      <c r="G252" s="1354"/>
      <c r="H252" s="1354"/>
      <c r="I252" s="1354"/>
      <c r="J252" s="1354"/>
      <c r="K252" s="1354"/>
      <c r="L252" s="1354"/>
      <c r="M252" s="1354"/>
      <c r="N252" s="1354"/>
      <c r="O252" s="1354"/>
      <c r="P252" s="1354"/>
      <c r="Q252" s="1354"/>
      <c r="R252" s="1354"/>
      <c r="S252" s="1354"/>
      <c r="T252" s="1354"/>
      <c r="U252" s="1354"/>
      <c r="V252" s="1354"/>
      <c r="W252" s="1354"/>
      <c r="X252" s="1354"/>
      <c r="Y252" s="1354"/>
      <c r="Z252" s="1354"/>
      <c r="AA252" s="1355"/>
      <c r="AB252" s="1356"/>
      <c r="AQ252" s="1364"/>
    </row>
  </sheetData>
  <mergeCells count="210">
    <mergeCell ref="B211:H211"/>
    <mergeCell ref="C215:X215"/>
    <mergeCell ref="C216:X218"/>
    <mergeCell ref="C192:X193"/>
    <mergeCell ref="C199:K199"/>
    <mergeCell ref="C201:K201"/>
    <mergeCell ref="C205:K205"/>
    <mergeCell ref="C207:K207"/>
    <mergeCell ref="C209:K209"/>
    <mergeCell ref="N188:O188"/>
    <mergeCell ref="Q188:R188"/>
    <mergeCell ref="T188:U188"/>
    <mergeCell ref="W188:X188"/>
    <mergeCell ref="N189:O189"/>
    <mergeCell ref="Q189:R189"/>
    <mergeCell ref="T189:U189"/>
    <mergeCell ref="W189:X189"/>
    <mergeCell ref="N182:O182"/>
    <mergeCell ref="Q182:R182"/>
    <mergeCell ref="T182:U182"/>
    <mergeCell ref="W182:X182"/>
    <mergeCell ref="N185:O185"/>
    <mergeCell ref="Q185:R185"/>
    <mergeCell ref="T185:U185"/>
    <mergeCell ref="W185:X185"/>
    <mergeCell ref="N173:O173"/>
    <mergeCell ref="Q173:R173"/>
    <mergeCell ref="T173:U173"/>
    <mergeCell ref="W173:X173"/>
    <mergeCell ref="N176:O176"/>
    <mergeCell ref="Q176:R176"/>
    <mergeCell ref="T176:U176"/>
    <mergeCell ref="W176:X176"/>
    <mergeCell ref="N168:O168"/>
    <mergeCell ref="Q168:R168"/>
    <mergeCell ref="T168:U168"/>
    <mergeCell ref="W168:X168"/>
    <mergeCell ref="N170:O170"/>
    <mergeCell ref="Q170:R170"/>
    <mergeCell ref="T170:U170"/>
    <mergeCell ref="W170:X170"/>
    <mergeCell ref="N164:O164"/>
    <mergeCell ref="Q164:R164"/>
    <mergeCell ref="T164:U164"/>
    <mergeCell ref="W164:X164"/>
    <mergeCell ref="N165:O165"/>
    <mergeCell ref="Q165:R165"/>
    <mergeCell ref="T165:U165"/>
    <mergeCell ref="W165:X165"/>
    <mergeCell ref="AB158:AB159"/>
    <mergeCell ref="N160:O160"/>
    <mergeCell ref="Q160:R160"/>
    <mergeCell ref="T160:U160"/>
    <mergeCell ref="W160:X160"/>
    <mergeCell ref="N161:O163"/>
    <mergeCell ref="Q161:R163"/>
    <mergeCell ref="T161:U163"/>
    <mergeCell ref="W161:X161"/>
    <mergeCell ref="C146:K146"/>
    <mergeCell ref="C148:K148"/>
    <mergeCell ref="C149:K149"/>
    <mergeCell ref="B151:H151"/>
    <mergeCell ref="C152:I152"/>
    <mergeCell ref="C158:X159"/>
    <mergeCell ref="C140:K140"/>
    <mergeCell ref="C141:K141"/>
    <mergeCell ref="C142:K142"/>
    <mergeCell ref="C143:K143"/>
    <mergeCell ref="C144:K144"/>
    <mergeCell ref="C145:K145"/>
    <mergeCell ref="C132:K132"/>
    <mergeCell ref="C133:K133"/>
    <mergeCell ref="C135:K135"/>
    <mergeCell ref="C136:K136"/>
    <mergeCell ref="C138:K138"/>
    <mergeCell ref="C139:K139"/>
    <mergeCell ref="K125:L125"/>
    <mergeCell ref="N125:O125"/>
    <mergeCell ref="Q125:R125"/>
    <mergeCell ref="T125:U125"/>
    <mergeCell ref="W125:X125"/>
    <mergeCell ref="K126:L126"/>
    <mergeCell ref="N126:O126"/>
    <mergeCell ref="Q126:R126"/>
    <mergeCell ref="T126:U126"/>
    <mergeCell ref="W126:X126"/>
    <mergeCell ref="W119:X119"/>
    <mergeCell ref="K122:L122"/>
    <mergeCell ref="N122:O122"/>
    <mergeCell ref="Q122:R122"/>
    <mergeCell ref="T122:U122"/>
    <mergeCell ref="W122:X122"/>
    <mergeCell ref="K118:L118"/>
    <mergeCell ref="N118:O118"/>
    <mergeCell ref="Q118:R118"/>
    <mergeCell ref="T118:U118"/>
    <mergeCell ref="W118:X118"/>
    <mergeCell ref="D119:I120"/>
    <mergeCell ref="K119:L119"/>
    <mergeCell ref="N119:O119"/>
    <mergeCell ref="Q119:R119"/>
    <mergeCell ref="T119:U119"/>
    <mergeCell ref="N114:O114"/>
    <mergeCell ref="Q114:R114"/>
    <mergeCell ref="T114:U114"/>
    <mergeCell ref="W114:X114"/>
    <mergeCell ref="N116:O116"/>
    <mergeCell ref="Q116:R116"/>
    <mergeCell ref="T116:U116"/>
    <mergeCell ref="W116:X116"/>
    <mergeCell ref="N110:O110"/>
    <mergeCell ref="Q110:R110"/>
    <mergeCell ref="T110:U110"/>
    <mergeCell ref="W110:X110"/>
    <mergeCell ref="N112:O112"/>
    <mergeCell ref="W112:X112"/>
    <mergeCell ref="N104:O104"/>
    <mergeCell ref="W104:X104"/>
    <mergeCell ref="N106:O106"/>
    <mergeCell ref="W106:X106"/>
    <mergeCell ref="N108:O108"/>
    <mergeCell ref="Q108:R108"/>
    <mergeCell ref="W108:X108"/>
    <mergeCell ref="K99:L99"/>
    <mergeCell ref="N99:O99"/>
    <mergeCell ref="Q99:R99"/>
    <mergeCell ref="T99:U99"/>
    <mergeCell ref="W99:X99"/>
    <mergeCell ref="K101:L101"/>
    <mergeCell ref="N101:O101"/>
    <mergeCell ref="Q101:R101"/>
    <mergeCell ref="T101:U101"/>
    <mergeCell ref="W101:X101"/>
    <mergeCell ref="D96:I97"/>
    <mergeCell ref="K96:L96"/>
    <mergeCell ref="N96:O96"/>
    <mergeCell ref="Q96:R96"/>
    <mergeCell ref="T96:U96"/>
    <mergeCell ref="W96:X96"/>
    <mergeCell ref="D92:I93"/>
    <mergeCell ref="K92:L92"/>
    <mergeCell ref="N92:O92"/>
    <mergeCell ref="Q92:R92"/>
    <mergeCell ref="T92:U92"/>
    <mergeCell ref="W92:X92"/>
    <mergeCell ref="AB89:AB90"/>
    <mergeCell ref="K91:L91"/>
    <mergeCell ref="N91:O91"/>
    <mergeCell ref="Q91:R91"/>
    <mergeCell ref="T91:U91"/>
    <mergeCell ref="W91:X91"/>
    <mergeCell ref="W87:X87"/>
    <mergeCell ref="K88:L90"/>
    <mergeCell ref="N88:O90"/>
    <mergeCell ref="Q88:R90"/>
    <mergeCell ref="T88:U90"/>
    <mergeCell ref="W88:X88"/>
    <mergeCell ref="C77:G77"/>
    <mergeCell ref="K87:L87"/>
    <mergeCell ref="N87:O87"/>
    <mergeCell ref="Q87:R87"/>
    <mergeCell ref="T87:U87"/>
    <mergeCell ref="C61:K61"/>
    <mergeCell ref="C63:K63"/>
    <mergeCell ref="C65:K65"/>
    <mergeCell ref="C67:K67"/>
    <mergeCell ref="C69:K69"/>
    <mergeCell ref="C71:K71"/>
    <mergeCell ref="AB35:AB36"/>
    <mergeCell ref="K36:L36"/>
    <mergeCell ref="K38:L38"/>
    <mergeCell ref="L19:P19"/>
    <mergeCell ref="L20:P20"/>
    <mergeCell ref="C23:G23"/>
    <mergeCell ref="K24:L24"/>
    <mergeCell ref="C25:I28"/>
    <mergeCell ref="K25:L25"/>
    <mergeCell ref="R1:S1"/>
    <mergeCell ref="A2:Z2"/>
    <mergeCell ref="A3:Z3"/>
    <mergeCell ref="A4:Z4"/>
    <mergeCell ref="A5:Z5"/>
    <mergeCell ref="A7:Z7"/>
    <mergeCell ref="C30:I30"/>
    <mergeCell ref="K31:L31"/>
    <mergeCell ref="K33:L33"/>
    <mergeCell ref="N179:O179"/>
    <mergeCell ref="Q179:R179"/>
    <mergeCell ref="T179:U179"/>
    <mergeCell ref="W179:X179"/>
    <mergeCell ref="A9:Z9"/>
    <mergeCell ref="A10:Z10"/>
    <mergeCell ref="E12:J12"/>
    <mergeCell ref="L16:P16"/>
    <mergeCell ref="L17:P17"/>
    <mergeCell ref="L18:P18"/>
    <mergeCell ref="K51:L51"/>
    <mergeCell ref="K53:L53"/>
    <mergeCell ref="K54:W54"/>
    <mergeCell ref="K56:L56"/>
    <mergeCell ref="N56:O56"/>
    <mergeCell ref="P56:R56"/>
    <mergeCell ref="K40:L40"/>
    <mergeCell ref="K43:L43"/>
    <mergeCell ref="C46:I47"/>
    <mergeCell ref="K46:L46"/>
    <mergeCell ref="Q47:W47"/>
    <mergeCell ref="C48:I49"/>
    <mergeCell ref="K48:L48"/>
    <mergeCell ref="B74:H74"/>
  </mergeCells>
  <conditionalFormatting sqref="K43:L43">
    <cfRule type="expression" dxfId="150" priority="41" stopIfTrue="1">
      <formula>AND($L$16&lt;&gt;"City of London")=TRUE</formula>
    </cfRule>
    <cfRule type="expression" dxfId="149" priority="42" stopIfTrue="1">
      <formula>AND($L$16="City of London")=TRUE</formula>
    </cfRule>
  </conditionalFormatting>
  <conditionalFormatting sqref="N112:O112">
    <cfRule type="expression" dxfId="148" priority="39" stopIfTrue="1">
      <formula>AND($L$16&lt;&gt;"City of London")=TRUE</formula>
    </cfRule>
    <cfRule type="expression" dxfId="147" priority="40" stopIfTrue="1">
      <formula>AND($L$16="City of London")=TRUE</formula>
    </cfRule>
  </conditionalFormatting>
  <conditionalFormatting sqref="W112:X112">
    <cfRule type="expression" dxfId="146" priority="37" stopIfTrue="1">
      <formula>AND($L$16&lt;&gt;"City of London")=TRUE</formula>
    </cfRule>
    <cfRule type="expression" dxfId="145" priority="38" stopIfTrue="1">
      <formula>AND($L$16="City of London")=TRUE</formula>
    </cfRule>
  </conditionalFormatting>
  <conditionalFormatting sqref="K38:L38">
    <cfRule type="cellIs" dxfId="144" priority="36" stopIfTrue="1" operator="lessThan">
      <formula>0</formula>
    </cfRule>
  </conditionalFormatting>
  <conditionalFormatting sqref="K53:L53">
    <cfRule type="expression" dxfId="143" priority="35" stopIfTrue="1">
      <formula>AND($U$233="Yes")=TRUE</formula>
    </cfRule>
  </conditionalFormatting>
  <conditionalFormatting sqref="Z25">
    <cfRule type="expression" dxfId="142" priority="34">
      <formula>AND($AB41=0)=FALSE</formula>
    </cfRule>
  </conditionalFormatting>
  <conditionalFormatting sqref="Y25">
    <cfRule type="expression" dxfId="141" priority="33">
      <formula>AND($AB41=0)=FALSE</formula>
    </cfRule>
  </conditionalFormatting>
  <conditionalFormatting sqref="Z31">
    <cfRule type="expression" dxfId="140" priority="32">
      <formula>AND($AB$43=0)=FALSE</formula>
    </cfRule>
  </conditionalFormatting>
  <conditionalFormatting sqref="Y31">
    <cfRule type="expression" dxfId="139" priority="31">
      <formula>AND($AB$43=0)=FALSE</formula>
    </cfRule>
  </conditionalFormatting>
  <conditionalFormatting sqref="Z33">
    <cfRule type="expression" dxfId="138" priority="30">
      <formula>AND($AB$43=0)=FALSE</formula>
    </cfRule>
  </conditionalFormatting>
  <conditionalFormatting sqref="Y33">
    <cfRule type="expression" dxfId="137" priority="29">
      <formula>AND($AB$43=0)=FALSE</formula>
    </cfRule>
  </conditionalFormatting>
  <conditionalFormatting sqref="Y36:Z36">
    <cfRule type="expression" dxfId="136" priority="27">
      <formula>AND(AB47=0)=FALSE</formula>
    </cfRule>
    <cfRule type="expression" dxfId="135" priority="28">
      <formula>AND($AB45=0)=FALSE</formula>
    </cfRule>
  </conditionalFormatting>
  <conditionalFormatting sqref="Y38:Z38">
    <cfRule type="expression" dxfId="134" priority="26">
      <formula>AND($AB47=0)=FALSE</formula>
    </cfRule>
  </conditionalFormatting>
  <conditionalFormatting sqref="Y40:Z40">
    <cfRule type="expression" dxfId="133" priority="25">
      <formula>AND($AB47=0)=FALSE</formula>
    </cfRule>
  </conditionalFormatting>
  <conditionalFormatting sqref="Y46:Z46">
    <cfRule type="expression" dxfId="132" priority="24">
      <formula>AND($AB49=0)=FALSE</formula>
    </cfRule>
  </conditionalFormatting>
  <conditionalFormatting sqref="Y48:Z48">
    <cfRule type="expression" dxfId="131" priority="23">
      <formula>AND($AB49=0)=FALSE</formula>
    </cfRule>
  </conditionalFormatting>
  <conditionalFormatting sqref="Y56:Z56">
    <cfRule type="expression" dxfId="130" priority="22">
      <formula>AND($AB53=0)=FALSE</formula>
    </cfRule>
  </conditionalFormatting>
  <conditionalFormatting sqref="Z165">
    <cfRule type="expression" dxfId="129" priority="21">
      <formula>AND($AB165=0)=FALSE</formula>
    </cfRule>
  </conditionalFormatting>
  <conditionalFormatting sqref="Z168">
    <cfRule type="expression" dxfId="128" priority="20">
      <formula>AND($AB168=0)=FALSE</formula>
    </cfRule>
  </conditionalFormatting>
  <conditionalFormatting sqref="Z170">
    <cfRule type="expression" dxfId="127" priority="19">
      <formula>AND($AB170=0)=FALSE</formula>
    </cfRule>
  </conditionalFormatting>
  <conditionalFormatting sqref="Z173">
    <cfRule type="expression" dxfId="126" priority="18">
      <formula>AND($AB173=0)=FALSE</formula>
    </cfRule>
  </conditionalFormatting>
  <conditionalFormatting sqref="Z176">
    <cfRule type="expression" dxfId="125" priority="17">
      <formula>AND($AB176=0)=FALSE</formula>
    </cfRule>
  </conditionalFormatting>
  <conditionalFormatting sqref="Z182:Z185">
    <cfRule type="expression" dxfId="124" priority="16">
      <formula>AND($AB182=0)=FALSE</formula>
    </cfRule>
  </conditionalFormatting>
  <conditionalFormatting sqref="Z189">
    <cfRule type="expression" dxfId="123" priority="15">
      <formula>AND($AB189=0)=FALSE</formula>
    </cfRule>
  </conditionalFormatting>
  <conditionalFormatting sqref="Z96">
    <cfRule type="expression" dxfId="122" priority="14">
      <formula>AND($AB96+AB98=0)=FALSE</formula>
    </cfRule>
  </conditionalFormatting>
  <conditionalFormatting sqref="Z112">
    <cfRule type="expression" dxfId="121" priority="13">
      <formula>AND($AB112=0)=FALSE</formula>
    </cfRule>
  </conditionalFormatting>
  <conditionalFormatting sqref="Z122">
    <cfRule type="expression" dxfId="120" priority="12">
      <formula>AND($AB122=0)=FALSE</formula>
    </cfRule>
  </conditionalFormatting>
  <conditionalFormatting sqref="Z126">
    <cfRule type="expression" dxfId="119" priority="11">
      <formula>AND($AB126=0)=FALSE</formula>
    </cfRule>
  </conditionalFormatting>
  <conditionalFormatting sqref="Z110">
    <cfRule type="expression" dxfId="118" priority="10">
      <formula>AND($AB110=0)=FALSE</formula>
    </cfRule>
  </conditionalFormatting>
  <conditionalFormatting sqref="Z108">
    <cfRule type="expression" dxfId="117" priority="9">
      <formula>AND($AB108=0)=FALSE</formula>
    </cfRule>
  </conditionalFormatting>
  <conditionalFormatting sqref="Z106">
    <cfRule type="expression" dxfId="116" priority="8">
      <formula>AND($AB106=0)=FALSE</formula>
    </cfRule>
  </conditionalFormatting>
  <conditionalFormatting sqref="Z104">
    <cfRule type="expression" dxfId="115" priority="7">
      <formula>AND($AB104=0)=FALSE</formula>
    </cfRule>
  </conditionalFormatting>
  <conditionalFormatting sqref="N116:O116">
    <cfRule type="expression" dxfId="114" priority="5">
      <formula>AND($L$16&lt;&gt;"North Somerset")=TRUE</formula>
    </cfRule>
  </conditionalFormatting>
  <conditionalFormatting sqref="W116:X116">
    <cfRule type="expression" dxfId="113" priority="4">
      <formula>AND($L$16&lt;&gt;"North Somerset")=TRUE</formula>
    </cfRule>
  </conditionalFormatting>
  <conditionalFormatting sqref="N110 Q110 T110 W110">
    <cfRule type="expression" dxfId="112" priority="3">
      <formula>AND($Q$233&lt;&gt;"Yes")=TRUE</formula>
    </cfRule>
  </conditionalFormatting>
  <conditionalFormatting sqref="Q185 W185 N185 T185">
    <cfRule type="expression" dxfId="111" priority="1">
      <formula>AND($P$233&lt;&gt;"Yes")=TRUE</formula>
    </cfRule>
  </conditionalFormatting>
  <dataValidations count="10">
    <dataValidation type="custom" allowBlank="1" showInputMessage="1" showErrorMessage="1" errorTitle="Data entry not allowed" sqref="K40:L40">
      <formula1>L16="N/A"</formula1>
    </dataValidation>
    <dataValidation type="custom" allowBlank="1" showInputMessage="1" showErrorMessage="1" errorTitle="Data entry not allowed" sqref="K25:L25">
      <formula1>L16="n/a"</formula1>
    </dataValidation>
    <dataValidation type="custom" allowBlank="1" showInputMessage="1" showErrorMessage="1" error="This cell is pre-filled from data in Part 3" sqref="K46:L46">
      <formula1>L16="n/a"</formula1>
    </dataValidation>
    <dataValidation type="custom" allowBlank="1" showInputMessage="1" showErrorMessage="1" error="This data is pre-filled from Part 3 of the form" sqref="K48:L48">
      <formula1>L16="n/a"</formula1>
    </dataValidation>
    <dataValidation type="custom" allowBlank="1" showInputMessage="1" showErrorMessage="1" sqref="N112:O112 W112:X112">
      <formula1>O85="n/a"</formula1>
    </dataValidation>
    <dataValidation type="custom" allowBlank="1" showInputMessage="1" showErrorMessage="1" error="Do not try to enter data here_x000a_" sqref="B233:N233">
      <formula1>"if(z217=""n/a"")"</formula1>
    </dataValidation>
    <dataValidation type="custom" allowBlank="1" showInputMessage="1" showErrorMessage="1" error="Data entry not allowed for this type of authority" sqref="K53:L53">
      <formula1>U233=0</formula1>
    </dataValidation>
    <dataValidation type="custom" allowBlank="1" showInputMessage="1" showErrorMessage="1" sqref="K56:L56">
      <formula1>$L$16="n/a"</formula1>
    </dataValidation>
    <dataValidation type="custom" allowBlank="1" showInputMessage="1" showErrorMessage="1" error="Data entry not allowed" sqref="K36:L36 K31:L31 K33:L33">
      <formula1>$L$16="n/a"</formula1>
    </dataValidation>
    <dataValidation type="whole" operator="greaterThanOrEqual" allowBlank="1" showInputMessage="1" showErrorMessage="1" errorTitle="Positive whole number required" error="This number MUST be a positive whole number. " sqref="K38:L38">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List Box 1">
              <controlPr locked="0" defaultSize="0" autoFill="0" autoLine="0" autoPict="0">
                <anchor moveWithCells="1">
                  <from>
                    <xdr:col>10</xdr:col>
                    <xdr:colOff>561975</xdr:colOff>
                    <xdr:row>10</xdr:row>
                    <xdr:rowOff>85725</xdr:rowOff>
                  </from>
                  <to>
                    <xdr:col>16</xdr:col>
                    <xdr:colOff>19050</xdr:colOff>
                    <xdr:row>13</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34" id="{49278B84-86C4-497F-B799-D595390C6CBE}">
            <xm:f>'Main Validation'!#REF!&gt;0</xm:f>
            <x14:dxf>
              <font>
                <b/>
                <i val="0"/>
                <color rgb="FFFF0000"/>
              </font>
            </x14:dxf>
          </x14:cfRule>
          <xm:sqref>A9:Z9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L197"/>
  <sheetViews>
    <sheetView workbookViewId="0"/>
  </sheetViews>
  <sheetFormatPr defaultRowHeight="15" x14ac:dyDescent="0.2"/>
  <cols>
    <col min="1" max="2" width="1.7109375" style="1411" customWidth="1"/>
    <col min="3" max="4" width="9.140625" style="1411"/>
    <col min="5" max="5" width="9.140625" style="1411" customWidth="1"/>
    <col min="6" max="6" width="8.5703125" style="1411" customWidth="1"/>
    <col min="7" max="7" width="14.28515625" style="1411" customWidth="1"/>
    <col min="8" max="9" width="3.85546875" style="1411" customWidth="1"/>
    <col min="10" max="11" width="11.42578125" style="1411" customWidth="1"/>
    <col min="12" max="13" width="2.7109375" style="1411" customWidth="1"/>
    <col min="14" max="15" width="11.42578125" style="1411" customWidth="1"/>
    <col min="16" max="17" width="2.7109375" style="1411" customWidth="1"/>
    <col min="18" max="19" width="11.42578125" style="1411" customWidth="1"/>
    <col min="20" max="21" width="1.7109375" style="1411" customWidth="1"/>
    <col min="23" max="23" width="11.28515625" style="9" hidden="1" customWidth="1"/>
    <col min="24" max="36" width="5.42578125" style="546" customWidth="1"/>
    <col min="37" max="37" width="5.42578125" customWidth="1"/>
    <col min="38" max="38" width="5.42578125" style="1536" customWidth="1"/>
  </cols>
  <sheetData>
    <row r="1" spans="1:38" x14ac:dyDescent="0.2">
      <c r="A1" s="1408"/>
      <c r="B1" s="1409"/>
      <c r="C1" s="1409"/>
      <c r="D1" s="1409"/>
      <c r="E1" s="1409"/>
      <c r="F1" s="1409"/>
      <c r="G1" s="1409"/>
      <c r="H1" s="1409"/>
      <c r="I1" s="1409"/>
      <c r="J1" s="1409"/>
      <c r="K1" s="1409"/>
      <c r="L1" s="1409"/>
      <c r="M1" s="1409"/>
      <c r="N1" s="1409"/>
      <c r="O1" s="1409"/>
      <c r="P1" s="1409"/>
      <c r="Q1" s="1409"/>
      <c r="R1" s="1409"/>
      <c r="S1" s="1409"/>
      <c r="T1" s="1409"/>
      <c r="U1" s="1410"/>
    </row>
    <row r="2" spans="1:38" ht="15.75" x14ac:dyDescent="0.25">
      <c r="A2" s="2484" t="s">
        <v>36</v>
      </c>
      <c r="B2" s="2485"/>
      <c r="C2" s="2485"/>
      <c r="D2" s="2485"/>
      <c r="E2" s="2485"/>
      <c r="F2" s="2485"/>
      <c r="G2" s="2485"/>
      <c r="H2" s="2485"/>
      <c r="I2" s="2485"/>
      <c r="J2" s="2485"/>
      <c r="K2" s="2485"/>
      <c r="L2" s="2485"/>
      <c r="M2" s="2485"/>
      <c r="N2" s="2485"/>
      <c r="O2" s="2485"/>
      <c r="P2" s="2485"/>
      <c r="Q2" s="2485"/>
      <c r="R2" s="2485"/>
      <c r="S2" s="2485"/>
      <c r="T2" s="2485"/>
      <c r="U2" s="2486"/>
    </row>
    <row r="3" spans="1:38" ht="15.75" x14ac:dyDescent="0.25">
      <c r="A3" s="2392" t="s">
        <v>2119</v>
      </c>
      <c r="B3" s="2487"/>
      <c r="C3" s="2487"/>
      <c r="D3" s="2487"/>
      <c r="E3" s="2487"/>
      <c r="F3" s="2487"/>
      <c r="G3" s="2487"/>
      <c r="H3" s="2487"/>
      <c r="I3" s="2487"/>
      <c r="J3" s="2487"/>
      <c r="K3" s="2487"/>
      <c r="L3" s="2487"/>
      <c r="M3" s="2487"/>
      <c r="N3" s="2487"/>
      <c r="O3" s="2487"/>
      <c r="P3" s="2487"/>
      <c r="Q3" s="2487"/>
      <c r="R3" s="2487"/>
      <c r="S3" s="2487"/>
      <c r="T3" s="2487"/>
      <c r="U3" s="2488"/>
    </row>
    <row r="4" spans="1:38" x14ac:dyDescent="0.2">
      <c r="A4" s="2365"/>
      <c r="B4" s="2366"/>
      <c r="C4" s="2366"/>
      <c r="D4" s="2366"/>
      <c r="E4" s="2366"/>
      <c r="F4" s="2366"/>
      <c r="G4" s="2366"/>
      <c r="H4" s="2366"/>
      <c r="I4" s="2366"/>
      <c r="J4" s="2366"/>
      <c r="K4" s="2366"/>
      <c r="L4" s="2366"/>
      <c r="M4" s="2366"/>
      <c r="N4" s="2366"/>
      <c r="O4" s="2366"/>
      <c r="P4" s="2366"/>
      <c r="Q4" s="2366"/>
      <c r="R4" s="2366"/>
      <c r="S4" s="2366"/>
      <c r="T4" s="2366"/>
      <c r="U4" s="2367"/>
    </row>
    <row r="5" spans="1:38" x14ac:dyDescent="0.2">
      <c r="A5" s="2365" t="s">
        <v>1070</v>
      </c>
      <c r="B5" s="2366"/>
      <c r="C5" s="2366"/>
      <c r="D5" s="2366"/>
      <c r="E5" s="2366"/>
      <c r="F5" s="2366"/>
      <c r="G5" s="2366"/>
      <c r="H5" s="2366"/>
      <c r="I5" s="2366"/>
      <c r="J5" s="2366"/>
      <c r="K5" s="2366"/>
      <c r="L5" s="2366"/>
      <c r="M5" s="2366"/>
      <c r="N5" s="2366"/>
      <c r="O5" s="2366"/>
      <c r="P5" s="2366"/>
      <c r="Q5" s="2366"/>
      <c r="R5" s="2366"/>
      <c r="S5" s="2366"/>
      <c r="T5" s="2366"/>
      <c r="U5" s="2367"/>
    </row>
    <row r="6" spans="1:38" x14ac:dyDescent="0.2">
      <c r="A6" s="2365"/>
      <c r="B6" s="2366"/>
      <c r="C6" s="2366"/>
      <c r="D6" s="2366"/>
      <c r="E6" s="2366"/>
      <c r="F6" s="2366"/>
      <c r="G6" s="2366"/>
      <c r="H6" s="2366"/>
      <c r="I6" s="2366"/>
      <c r="J6" s="2366"/>
      <c r="K6" s="2366"/>
      <c r="L6" s="2366"/>
      <c r="M6" s="2366"/>
      <c r="N6" s="2366"/>
      <c r="O6" s="2366"/>
      <c r="P6" s="2366"/>
      <c r="Q6" s="2366"/>
      <c r="R6" s="2366"/>
      <c r="S6" s="2366"/>
      <c r="T6" s="2366"/>
      <c r="U6" s="2367"/>
    </row>
    <row r="7" spans="1:38" x14ac:dyDescent="0.2">
      <c r="A7" s="2365" t="str">
        <f>+IF('Main Validation'!M8=0,"If you are content with your answers please return this form to DCLG as soon as possible","Please check the Validation tab and answer the validation queries that need to be answered")</f>
        <v>If you are content with your answers please return this form to DCLG as soon as possible</v>
      </c>
      <c r="B7" s="2366"/>
      <c r="C7" s="2366"/>
      <c r="D7" s="2366"/>
      <c r="E7" s="2366"/>
      <c r="F7" s="2366"/>
      <c r="G7" s="2366"/>
      <c r="H7" s="2366"/>
      <c r="I7" s="2366"/>
      <c r="J7" s="2366"/>
      <c r="K7" s="2366"/>
      <c r="L7" s="2366"/>
      <c r="M7" s="2366"/>
      <c r="N7" s="2366"/>
      <c r="O7" s="2366"/>
      <c r="P7" s="2366"/>
      <c r="Q7" s="2366"/>
      <c r="R7" s="2366"/>
      <c r="S7" s="2366"/>
      <c r="T7" s="2366"/>
      <c r="U7" s="2367"/>
    </row>
    <row r="8" spans="1:38" ht="15.75" thickBot="1" x14ac:dyDescent="0.25">
      <c r="A8" s="1412"/>
      <c r="B8" s="1413"/>
      <c r="C8" s="1413"/>
      <c r="D8" s="1413"/>
      <c r="E8" s="1413"/>
      <c r="F8" s="1413"/>
      <c r="G8" s="1413"/>
      <c r="H8" s="1413"/>
      <c r="I8" s="1413"/>
      <c r="J8" s="1413"/>
      <c r="K8" s="1413"/>
      <c r="L8" s="1413"/>
      <c r="M8" s="1413"/>
      <c r="N8" s="1413"/>
      <c r="O8" s="1413"/>
      <c r="P8" s="1413"/>
      <c r="Q8" s="1413"/>
      <c r="R8" s="1414" t="s">
        <v>1195</v>
      </c>
      <c r="S8" s="1415">
        <f>+'Part 1'!X21</f>
        <v>1</v>
      </c>
      <c r="T8" s="1413"/>
      <c r="U8" s="1416"/>
    </row>
    <row r="9" spans="1:38" x14ac:dyDescent="0.2">
      <c r="A9" s="1417"/>
      <c r="B9" s="1418"/>
      <c r="C9" s="2482"/>
      <c r="D9" s="2482"/>
      <c r="E9" s="2482"/>
      <c r="F9" s="2482"/>
      <c r="G9" s="2482"/>
      <c r="H9" s="2482"/>
      <c r="I9" s="1418"/>
      <c r="J9" s="1418"/>
      <c r="K9" s="1418"/>
      <c r="L9" s="1418"/>
      <c r="M9" s="1418"/>
      <c r="N9" s="1418"/>
      <c r="O9" s="1418"/>
      <c r="P9" s="1418"/>
      <c r="Q9" s="1418"/>
      <c r="R9" s="1418"/>
      <c r="S9" s="1418"/>
      <c r="T9" s="1418"/>
      <c r="U9" s="1419"/>
    </row>
    <row r="10" spans="1:38" s="37" customFormat="1" ht="18" x14ac:dyDescent="0.25">
      <c r="A10" s="1420"/>
      <c r="B10" s="1225"/>
      <c r="C10" s="1421" t="str">
        <f>+CONCATENATE("Local Authority : ",+'Part 1'!L16)</f>
        <v>Local Authority : ZZZZ</v>
      </c>
      <c r="D10" s="1421"/>
      <c r="E10" s="1421"/>
      <c r="F10" s="1422"/>
      <c r="G10" s="1422"/>
      <c r="H10" s="1422"/>
      <c r="I10" s="1225"/>
      <c r="J10" s="1225"/>
      <c r="K10" s="1225"/>
      <c r="L10" s="1225"/>
      <c r="M10" s="1225"/>
      <c r="N10" s="1225"/>
      <c r="O10" s="1225"/>
      <c r="P10" s="1225"/>
      <c r="Q10" s="1225"/>
      <c r="R10" s="1225"/>
      <c r="S10" s="1225"/>
      <c r="T10" s="1225"/>
      <c r="U10" s="1423"/>
      <c r="V10"/>
      <c r="W10" s="9"/>
      <c r="X10" s="442"/>
      <c r="Y10" s="442"/>
      <c r="Z10" s="442"/>
      <c r="AA10" s="442"/>
      <c r="AB10" s="442"/>
      <c r="AC10" s="442"/>
      <c r="AD10" s="442"/>
      <c r="AE10" s="442"/>
      <c r="AF10" s="442"/>
      <c r="AG10" s="442"/>
      <c r="AH10" s="442"/>
      <c r="AI10" s="442"/>
      <c r="AJ10" s="442"/>
      <c r="AL10" s="1537"/>
    </row>
    <row r="11" spans="1:38" s="37" customFormat="1" ht="18" x14ac:dyDescent="0.25">
      <c r="A11" s="1420"/>
      <c r="B11" s="1225"/>
      <c r="C11" s="1421"/>
      <c r="D11" s="1421"/>
      <c r="E11" s="1421"/>
      <c r="F11" s="1422"/>
      <c r="G11" s="1422"/>
      <c r="H11" s="1422"/>
      <c r="I11" s="1225"/>
      <c r="J11" s="1225"/>
      <c r="K11" s="1225"/>
      <c r="L11" s="1225"/>
      <c r="M11" s="1225"/>
      <c r="N11" s="1225"/>
      <c r="O11" s="1225"/>
      <c r="P11" s="1225"/>
      <c r="Q11" s="1225"/>
      <c r="R11" s="1225"/>
      <c r="S11" s="1225"/>
      <c r="T11" s="1225"/>
      <c r="U11" s="1423"/>
      <c r="V11"/>
      <c r="W11" s="2056" t="s">
        <v>1090</v>
      </c>
      <c r="X11" s="442"/>
      <c r="Y11" s="442"/>
      <c r="Z11" s="442"/>
      <c r="AA11" s="442"/>
      <c r="AB11" s="442"/>
      <c r="AC11" s="442"/>
      <c r="AD11" s="442"/>
      <c r="AE11" s="442"/>
      <c r="AF11" s="442"/>
      <c r="AG11" s="442"/>
      <c r="AH11" s="442"/>
      <c r="AI11" s="442"/>
      <c r="AJ11" s="442"/>
      <c r="AL11" s="1537"/>
    </row>
    <row r="12" spans="1:38" ht="15.75" x14ac:dyDescent="0.25">
      <c r="A12" s="1424"/>
      <c r="B12" s="1215"/>
      <c r="C12" s="2483" t="s">
        <v>283</v>
      </c>
      <c r="D12" s="2483"/>
      <c r="E12" s="2483"/>
      <c r="F12" s="2483"/>
      <c r="G12" s="2483"/>
      <c r="H12" s="2483"/>
      <c r="I12" s="1225"/>
      <c r="J12" s="2479"/>
      <c r="K12" s="2479"/>
      <c r="L12" s="1425"/>
      <c r="M12" s="1225"/>
      <c r="N12" s="2479"/>
      <c r="O12" s="2479"/>
      <c r="P12" s="1225"/>
      <c r="Q12" s="1225"/>
      <c r="R12" s="2479"/>
      <c r="S12" s="2479"/>
      <c r="T12" s="1426"/>
      <c r="U12" s="1216"/>
      <c r="W12" s="2057"/>
    </row>
    <row r="13" spans="1:38" ht="15.75" customHeight="1" x14ac:dyDescent="0.2">
      <c r="A13" s="1424"/>
      <c r="B13" s="1215"/>
      <c r="C13" s="2478" t="str">
        <f>+IF('Part 1'!Q233="Yes", "You should complete columns 1 &amp; 2 only","You should complete column 1 only")</f>
        <v>You should complete column 1 only</v>
      </c>
      <c r="D13" s="2478"/>
      <c r="E13" s="2478"/>
      <c r="F13" s="2478"/>
      <c r="G13" s="2478"/>
      <c r="H13" s="2478"/>
      <c r="I13" s="1225"/>
      <c r="J13" s="2479" t="s">
        <v>794</v>
      </c>
      <c r="K13" s="2479"/>
      <c r="L13" s="1425"/>
      <c r="M13" s="1225"/>
      <c r="N13" s="2479" t="s">
        <v>795</v>
      </c>
      <c r="O13" s="2479"/>
      <c r="P13" s="1225"/>
      <c r="Q13" s="1225"/>
      <c r="R13" s="2479" t="s">
        <v>796</v>
      </c>
      <c r="S13" s="2479"/>
      <c r="T13" s="1427"/>
      <c r="U13" s="1216"/>
      <c r="W13" s="321"/>
    </row>
    <row r="14" spans="1:38" ht="15.75" x14ac:dyDescent="0.25">
      <c r="A14" s="1424"/>
      <c r="B14" s="1215"/>
      <c r="C14" s="2475"/>
      <c r="D14" s="2475"/>
      <c r="E14" s="1225"/>
      <c r="F14" s="1225"/>
      <c r="G14" s="1225"/>
      <c r="H14" s="1225"/>
      <c r="I14" s="1225"/>
      <c r="J14" s="2480" t="s">
        <v>964</v>
      </c>
      <c r="K14" s="2481"/>
      <c r="L14" s="1428"/>
      <c r="M14" s="1225"/>
      <c r="N14" s="2480" t="s">
        <v>966</v>
      </c>
      <c r="O14" s="2481"/>
      <c r="P14" s="1225"/>
      <c r="Q14" s="1225"/>
      <c r="R14" s="2480" t="s">
        <v>35</v>
      </c>
      <c r="S14" s="2481"/>
      <c r="T14" s="1215"/>
      <c r="U14" s="1216"/>
      <c r="W14" s="321"/>
      <c r="Z14" s="1539"/>
      <c r="AA14" s="1540"/>
    </row>
    <row r="15" spans="1:38" ht="15.75" x14ac:dyDescent="0.25">
      <c r="A15" s="1424"/>
      <c r="B15" s="1215"/>
      <c r="C15" s="1225"/>
      <c r="D15" s="1225"/>
      <c r="E15" s="1225"/>
      <c r="F15" s="1225"/>
      <c r="G15" s="1225"/>
      <c r="H15" s="1225"/>
      <c r="I15" s="1225"/>
      <c r="J15" s="2481"/>
      <c r="K15" s="2481"/>
      <c r="L15" s="1428"/>
      <c r="M15" s="1225"/>
      <c r="N15" s="2481"/>
      <c r="O15" s="2481"/>
      <c r="P15" s="1225"/>
      <c r="Q15" s="1225"/>
      <c r="R15" s="2481"/>
      <c r="S15" s="2481"/>
      <c r="T15" s="1215"/>
      <c r="U15" s="1216"/>
      <c r="W15" s="321"/>
      <c r="Z15" s="1540"/>
      <c r="AA15" s="1540"/>
    </row>
    <row r="16" spans="1:38" ht="30" customHeight="1" x14ac:dyDescent="0.25">
      <c r="A16" s="1424"/>
      <c r="B16" s="1215"/>
      <c r="C16" s="2462" t="s">
        <v>1073</v>
      </c>
      <c r="D16" s="2462"/>
      <c r="E16" s="2462"/>
      <c r="F16" s="2462"/>
      <c r="G16" s="2462"/>
      <c r="H16" s="2462"/>
      <c r="I16" s="1225"/>
      <c r="J16" s="2474" t="s">
        <v>970</v>
      </c>
      <c r="K16" s="2474"/>
      <c r="L16" s="1428"/>
      <c r="M16" s="1225"/>
      <c r="N16" s="2475" t="str">
        <f>+IF('Part 1'!Q233="Yes", "Complete this column","Do not complete this column")</f>
        <v>Do not complete this column</v>
      </c>
      <c r="O16" s="2475"/>
      <c r="P16" s="1225"/>
      <c r="Q16" s="1225"/>
      <c r="R16" s="2475" t="s">
        <v>971</v>
      </c>
      <c r="S16" s="2475"/>
      <c r="T16" s="1215"/>
      <c r="U16" s="1216"/>
      <c r="W16" s="2191" t="s">
        <v>1034</v>
      </c>
      <c r="Y16" s="1541"/>
    </row>
    <row r="17" spans="1:38" ht="16.5" customHeight="1" thickBot="1" x14ac:dyDescent="0.3">
      <c r="A17" s="1424"/>
      <c r="B17" s="1215"/>
      <c r="C17" s="2462"/>
      <c r="D17" s="2462"/>
      <c r="E17" s="2462"/>
      <c r="F17" s="2462"/>
      <c r="G17" s="2462"/>
      <c r="H17" s="2462"/>
      <c r="I17" s="1225"/>
      <c r="J17" s="2476" t="s">
        <v>786</v>
      </c>
      <c r="K17" s="2476"/>
      <c r="L17" s="1225"/>
      <c r="M17" s="1225"/>
      <c r="N17" s="2476" t="s">
        <v>786</v>
      </c>
      <c r="O17" s="2476"/>
      <c r="P17" s="1225"/>
      <c r="Q17" s="1225"/>
      <c r="R17" s="2477" t="s">
        <v>786</v>
      </c>
      <c r="S17" s="2477"/>
      <c r="T17" s="1215"/>
      <c r="U17" s="1216"/>
      <c r="W17" s="2192"/>
    </row>
    <row r="18" spans="1:38" ht="16.5" thickBot="1" x14ac:dyDescent="0.25">
      <c r="A18" s="1424"/>
      <c r="B18" s="1215"/>
      <c r="C18" s="1225" t="s">
        <v>823</v>
      </c>
      <c r="D18" s="1225"/>
      <c r="E18" s="1225"/>
      <c r="F18" s="2472">
        <f>'Part 2'!F18</f>
        <v>0</v>
      </c>
      <c r="G18" s="2473"/>
      <c r="H18" s="1225"/>
      <c r="I18" s="1225"/>
      <c r="J18" s="2375">
        <f>'Part 2'!J18</f>
        <v>0</v>
      </c>
      <c r="K18" s="2376"/>
      <c r="L18" s="1429"/>
      <c r="M18" s="1225"/>
      <c r="N18" s="2375">
        <f>'Part 2'!N18</f>
        <v>0</v>
      </c>
      <c r="O18" s="2376"/>
      <c r="P18" s="1225"/>
      <c r="Q18" s="1429"/>
      <c r="R18" s="2445">
        <f>+J18+N18</f>
        <v>0</v>
      </c>
      <c r="S18" s="2446"/>
      <c r="T18" s="1215"/>
      <c r="U18" s="1216"/>
      <c r="W18" s="488">
        <f>IF(+J18+N18-R18=0,0,1)</f>
        <v>0</v>
      </c>
      <c r="X18" s="546">
        <f>IF(F18='Part 2'!F18,0,1)</f>
        <v>0</v>
      </c>
      <c r="Y18" s="1542"/>
      <c r="Z18" s="1543"/>
      <c r="AB18" s="546">
        <f>IF(J18='Part 2'!J18,0,1)</f>
        <v>0</v>
      </c>
      <c r="AF18" s="546">
        <f>IF(N18='Part 2'!N18,0,1)</f>
        <v>0</v>
      </c>
      <c r="AJ18" s="546">
        <f>IF(R18='Part 2'!R18,0,1)</f>
        <v>0</v>
      </c>
      <c r="AL18" s="1536">
        <f>IF(SUM(X18:AK18)&gt;0,1,0)</f>
        <v>0</v>
      </c>
    </row>
    <row r="19" spans="1:38" ht="15.75" thickBot="1" x14ac:dyDescent="0.25">
      <c r="A19" s="1424"/>
      <c r="B19" s="1215"/>
      <c r="C19" s="1225"/>
      <c r="D19" s="1225"/>
      <c r="E19" s="1225"/>
      <c r="F19" s="1425"/>
      <c r="G19" s="1225"/>
      <c r="H19" s="1225"/>
      <c r="I19" s="1425"/>
      <c r="J19" s="1429"/>
      <c r="K19" s="1429"/>
      <c r="L19" s="1429"/>
      <c r="M19" s="1225"/>
      <c r="N19" s="1429"/>
      <c r="O19" s="1429"/>
      <c r="P19" s="1225"/>
      <c r="Q19" s="1429"/>
      <c r="R19" s="1429"/>
      <c r="S19" s="1429"/>
      <c r="T19" s="1215"/>
      <c r="U19" s="1216"/>
      <c r="W19" s="489"/>
    </row>
    <row r="20" spans="1:38" ht="16.5" thickBot="1" x14ac:dyDescent="0.3">
      <c r="A20" s="1424"/>
      <c r="B20" s="1215"/>
      <c r="C20" s="2408" t="s">
        <v>2120</v>
      </c>
      <c r="D20" s="2454"/>
      <c r="E20" s="2454"/>
      <c r="F20" s="2454"/>
      <c r="G20" s="1430">
        <v>46.6</v>
      </c>
      <c r="H20" s="1272"/>
      <c r="I20" s="1225"/>
      <c r="J20" s="1429"/>
      <c r="K20" s="1429"/>
      <c r="L20" s="1429"/>
      <c r="M20" s="1225"/>
      <c r="N20" s="1429"/>
      <c r="O20" s="1429"/>
      <c r="P20" s="1225"/>
      <c r="Q20" s="1429"/>
      <c r="R20" s="1429"/>
      <c r="S20" s="1429"/>
      <c r="T20" s="1215"/>
      <c r="U20" s="1216"/>
      <c r="W20" s="489"/>
      <c r="X20" s="1542"/>
      <c r="Y20" s="546">
        <f>IF(G20='Part 2'!G20,0,1)</f>
        <v>0</v>
      </c>
      <c r="AL20" s="1536">
        <f>IF(SUM(X20:AK20)&gt;0,1,0)</f>
        <v>0</v>
      </c>
    </row>
    <row r="21" spans="1:38" ht="15.75" thickBot="1" x14ac:dyDescent="0.25">
      <c r="A21" s="1424"/>
      <c r="B21" s="1215"/>
      <c r="C21" s="2454"/>
      <c r="D21" s="2454"/>
      <c r="E21" s="2454"/>
      <c r="F21" s="2454"/>
      <c r="G21" s="1192"/>
      <c r="H21" s="1225"/>
      <c r="I21" s="1225"/>
      <c r="J21" s="1429"/>
      <c r="K21" s="1429"/>
      <c r="L21" s="1429"/>
      <c r="M21" s="1429"/>
      <c r="N21" s="1429"/>
      <c r="O21" s="1429"/>
      <c r="P21" s="1429"/>
      <c r="Q21" s="1429"/>
      <c r="R21" s="1429"/>
      <c r="S21" s="1429"/>
      <c r="T21" s="1215"/>
      <c r="U21" s="1216"/>
      <c r="W21" s="489"/>
    </row>
    <row r="22" spans="1:38" ht="15.75" thickBot="1" x14ac:dyDescent="0.25">
      <c r="A22" s="1424"/>
      <c r="B22" s="1215"/>
      <c r="C22" s="1192"/>
      <c r="D22" s="1192"/>
      <c r="E22" s="1192"/>
      <c r="F22" s="1192"/>
      <c r="G22" s="1192"/>
      <c r="H22" s="1225"/>
      <c r="I22" s="1431"/>
      <c r="J22" s="1432"/>
      <c r="K22" s="1432"/>
      <c r="L22" s="1433"/>
      <c r="M22" s="1432"/>
      <c r="N22" s="1432"/>
      <c r="O22" s="1432"/>
      <c r="P22" s="1433"/>
      <c r="Q22" s="1432"/>
      <c r="R22" s="1432"/>
      <c r="S22" s="1432"/>
      <c r="T22" s="1434"/>
      <c r="U22" s="1216"/>
      <c r="W22" s="489"/>
    </row>
    <row r="23" spans="1:38" ht="16.5" thickBot="1" x14ac:dyDescent="0.25">
      <c r="A23" s="1424"/>
      <c r="B23" s="1215"/>
      <c r="C23" s="1192" t="s">
        <v>2121</v>
      </c>
      <c r="D23" s="1192"/>
      <c r="E23" s="1192"/>
      <c r="F23" s="1192"/>
      <c r="G23" s="1192"/>
      <c r="H23" s="1225"/>
      <c r="I23" s="1435"/>
      <c r="J23" s="2445">
        <f>ROUND(+J18*($G20/100),0)</f>
        <v>0</v>
      </c>
      <c r="K23" s="2446"/>
      <c r="L23" s="1436"/>
      <c r="M23" s="1225"/>
      <c r="N23" s="2445">
        <f>ROUND(+N18*($G20/100),0)</f>
        <v>0</v>
      </c>
      <c r="O23" s="2446"/>
      <c r="P23" s="1436"/>
      <c r="Q23" s="1429"/>
      <c r="R23" s="1429"/>
      <c r="S23" s="1429"/>
      <c r="T23" s="1437"/>
      <c r="U23" s="1216"/>
      <c r="W23" s="488">
        <f>IF(+J23+J25-J28=0,0,1)</f>
        <v>0</v>
      </c>
      <c r="Y23" s="1542"/>
      <c r="Z23" s="1543"/>
      <c r="AB23" s="546">
        <f>IF(J23='Part 2'!J23,0,1)</f>
        <v>0</v>
      </c>
      <c r="AF23" s="546">
        <f>IF(N23='Part 2'!N23,0,1)</f>
        <v>0</v>
      </c>
      <c r="AJ23" s="546">
        <f>IF(R23='Part 2'!R23,0,1)</f>
        <v>0</v>
      </c>
      <c r="AL23" s="1536">
        <f>IF(SUM(X23:AK23)&gt;0,1,0)</f>
        <v>0</v>
      </c>
    </row>
    <row r="24" spans="1:38" ht="16.5" thickBot="1" x14ac:dyDescent="0.25">
      <c r="A24" s="1424"/>
      <c r="B24" s="1215"/>
      <c r="C24" s="1192"/>
      <c r="D24" s="1192"/>
      <c r="E24" s="1192"/>
      <c r="F24" s="1192"/>
      <c r="G24" s="1192"/>
      <c r="H24" s="1225"/>
      <c r="I24" s="1435"/>
      <c r="J24" s="1438"/>
      <c r="K24" s="1429"/>
      <c r="L24" s="1436"/>
      <c r="M24" s="1225"/>
      <c r="N24" s="1438"/>
      <c r="O24" s="1429"/>
      <c r="P24" s="1436"/>
      <c r="Q24" s="1429"/>
      <c r="R24" s="1429"/>
      <c r="S24" s="1429"/>
      <c r="T24" s="1437"/>
      <c r="U24" s="1216"/>
      <c r="W24" s="488"/>
    </row>
    <row r="25" spans="1:38" ht="16.5" thickBot="1" x14ac:dyDescent="0.25">
      <c r="A25" s="1424"/>
      <c r="B25" s="1215"/>
      <c r="C25" s="1192" t="s">
        <v>815</v>
      </c>
      <c r="D25" s="1192"/>
      <c r="E25" s="1192"/>
      <c r="F25" s="1192"/>
      <c r="G25" s="1192"/>
      <c r="H25" s="1225"/>
      <c r="I25" s="1435"/>
      <c r="J25" s="2375">
        <f>'Part 2'!J25</f>
        <v>0</v>
      </c>
      <c r="K25" s="2376"/>
      <c r="L25" s="1436"/>
      <c r="M25" s="1225"/>
      <c r="N25" s="2375">
        <f>'Part 2'!N25</f>
        <v>0</v>
      </c>
      <c r="O25" s="2376"/>
      <c r="P25" s="1436"/>
      <c r="Q25" s="1429"/>
      <c r="R25" s="1429"/>
      <c r="S25" s="1429"/>
      <c r="T25" s="1437"/>
      <c r="U25" s="1216"/>
      <c r="W25" s="488">
        <f>IF(+N23+N25-N28=0,0,1)</f>
        <v>0</v>
      </c>
      <c r="Y25" s="1542"/>
      <c r="Z25" s="1543"/>
      <c r="AB25" s="546">
        <f>IF(J25='Part 2'!J25,0,1)</f>
        <v>0</v>
      </c>
      <c r="AF25" s="546">
        <f>IF(N25='Part 2'!N25,0,1)</f>
        <v>0</v>
      </c>
      <c r="AJ25" s="546">
        <f>IF(R25='Part 2'!R25,0,1)</f>
        <v>0</v>
      </c>
      <c r="AL25" s="1536">
        <f>IF(SUM(X25:AK25)&gt;0,1,0)</f>
        <v>0</v>
      </c>
    </row>
    <row r="26" spans="1:38" ht="15.75" x14ac:dyDescent="0.2">
      <c r="A26" s="1424"/>
      <c r="B26" s="1215"/>
      <c r="C26" s="1192" t="s">
        <v>1024</v>
      </c>
      <c r="D26" s="1192"/>
      <c r="E26" s="1192"/>
      <c r="F26" s="1192"/>
      <c r="G26" s="1192"/>
      <c r="H26" s="1225"/>
      <c r="I26" s="1435"/>
      <c r="J26" s="1438"/>
      <c r="K26" s="1429"/>
      <c r="L26" s="1436"/>
      <c r="M26" s="1225"/>
      <c r="N26" s="1438"/>
      <c r="O26" s="1429"/>
      <c r="P26" s="1436"/>
      <c r="Q26" s="1429"/>
      <c r="R26" s="1438"/>
      <c r="S26" s="1429"/>
      <c r="T26" s="1437"/>
      <c r="U26" s="1216"/>
      <c r="W26" s="489"/>
    </row>
    <row r="27" spans="1:38" ht="16.5" thickBot="1" x14ac:dyDescent="0.25">
      <c r="A27" s="1424"/>
      <c r="B27" s="1215"/>
      <c r="C27" s="1192"/>
      <c r="D27" s="1192"/>
      <c r="E27" s="1192"/>
      <c r="F27" s="1192"/>
      <c r="G27" s="1192"/>
      <c r="H27" s="1225"/>
      <c r="I27" s="1435"/>
      <c r="J27" s="1438"/>
      <c r="K27" s="1429"/>
      <c r="L27" s="1436"/>
      <c r="M27" s="1225"/>
      <c r="N27" s="1438"/>
      <c r="O27" s="1429"/>
      <c r="P27" s="1436"/>
      <c r="Q27" s="1429"/>
      <c r="R27" s="1438"/>
      <c r="S27" s="1429"/>
      <c r="T27" s="1437"/>
      <c r="U27" s="1216"/>
      <c r="W27" s="489"/>
    </row>
    <row r="28" spans="1:38" ht="16.5" thickBot="1" x14ac:dyDescent="0.25">
      <c r="A28" s="1424"/>
      <c r="B28" s="1215"/>
      <c r="C28" s="1192" t="s">
        <v>2122</v>
      </c>
      <c r="D28" s="1192"/>
      <c r="E28" s="1192"/>
      <c r="F28" s="1192"/>
      <c r="G28" s="1192"/>
      <c r="H28" s="1225"/>
      <c r="I28" s="1435"/>
      <c r="J28" s="2445">
        <f>+J23+J25</f>
        <v>0</v>
      </c>
      <c r="K28" s="2446"/>
      <c r="L28" s="1436"/>
      <c r="M28" s="1225"/>
      <c r="N28" s="2445">
        <f>+N23+N25</f>
        <v>0</v>
      </c>
      <c r="O28" s="2446"/>
      <c r="P28" s="1436"/>
      <c r="Q28" s="1429"/>
      <c r="R28" s="2445">
        <f>+J28+N28</f>
        <v>0</v>
      </c>
      <c r="S28" s="2446"/>
      <c r="T28" s="1437"/>
      <c r="U28" s="1216"/>
      <c r="W28" s="488">
        <f>IF(+J28+N28-R28=0,0,1)</f>
        <v>0</v>
      </c>
      <c r="Y28" s="1542"/>
      <c r="Z28" s="1543"/>
      <c r="AB28" s="546">
        <f>IF(J28='Part 2'!J28,0,1)</f>
        <v>0</v>
      </c>
      <c r="AF28" s="546">
        <f>IF(N28='Part 2'!N28,0,1)</f>
        <v>0</v>
      </c>
      <c r="AJ28" s="546">
        <f>IF(R28='Part 2'!R28,0,1)</f>
        <v>0</v>
      </c>
      <c r="AL28" s="1536">
        <f>IF(SUM(X28:AK28)&gt;0,1,0)</f>
        <v>0</v>
      </c>
    </row>
    <row r="29" spans="1:38" ht="16.5" thickBot="1" x14ac:dyDescent="0.25">
      <c r="A29" s="1424"/>
      <c r="B29" s="1439"/>
      <c r="C29" s="1225"/>
      <c r="D29" s="1225"/>
      <c r="E29" s="1225"/>
      <c r="F29" s="1225"/>
      <c r="G29" s="1225"/>
      <c r="H29" s="1225"/>
      <c r="I29" s="1440"/>
      <c r="J29" s="1441"/>
      <c r="K29" s="1442"/>
      <c r="L29" s="1443"/>
      <c r="M29" s="1441"/>
      <c r="N29" s="1441"/>
      <c r="O29" s="1442"/>
      <c r="P29" s="1443"/>
      <c r="Q29" s="1442"/>
      <c r="R29" s="1441"/>
      <c r="S29" s="1442"/>
      <c r="T29" s="1444"/>
      <c r="U29" s="1216"/>
      <c r="W29" s="489"/>
    </row>
    <row r="30" spans="1:38" ht="15.75" x14ac:dyDescent="0.2">
      <c r="A30" s="1424"/>
      <c r="B30" s="1445"/>
      <c r="C30" s="1445"/>
      <c r="D30" s="1445"/>
      <c r="E30" s="1445"/>
      <c r="F30" s="1445"/>
      <c r="G30" s="1445"/>
      <c r="H30" s="1445"/>
      <c r="I30" s="1445"/>
      <c r="J30" s="1445"/>
      <c r="K30" s="1445"/>
      <c r="L30" s="1445"/>
      <c r="M30" s="1445"/>
      <c r="N30" s="1445"/>
      <c r="O30" s="1445"/>
      <c r="P30" s="1445"/>
      <c r="Q30" s="1446"/>
      <c r="R30" s="1447"/>
      <c r="S30" s="1446"/>
      <c r="T30" s="1215"/>
      <c r="U30" s="1216"/>
      <c r="W30" s="489"/>
      <c r="Z30" s="540"/>
      <c r="AA30" s="540"/>
      <c r="AB30" s="540"/>
      <c r="AC30" s="540"/>
      <c r="AD30" s="540"/>
      <c r="AE30" s="540"/>
      <c r="AF30" s="540"/>
      <c r="AG30" s="540"/>
    </row>
    <row r="31" spans="1:38" ht="16.5" customHeight="1" thickBot="1" x14ac:dyDescent="0.3">
      <c r="A31" s="1424"/>
      <c r="B31" s="1445"/>
      <c r="C31" s="1448" t="s">
        <v>2123</v>
      </c>
      <c r="D31" s="1449"/>
      <c r="E31" s="1449"/>
      <c r="F31" s="1449"/>
      <c r="G31" s="1449"/>
      <c r="H31" s="1449"/>
      <c r="I31" s="1449"/>
      <c r="J31" s="1449"/>
      <c r="K31" s="1449"/>
      <c r="L31" s="1449"/>
      <c r="M31" s="1449"/>
      <c r="N31" s="1447"/>
      <c r="O31" s="1446"/>
      <c r="P31" s="1449"/>
      <c r="Q31" s="1446"/>
      <c r="R31" s="1447"/>
      <c r="S31" s="1446"/>
      <c r="T31" s="1215"/>
      <c r="U31" s="1216"/>
      <c r="W31" s="489"/>
      <c r="Z31" s="1171"/>
      <c r="AA31" s="540"/>
      <c r="AB31" s="540"/>
      <c r="AC31" s="540"/>
      <c r="AD31" s="540"/>
      <c r="AE31" s="540"/>
      <c r="AF31" s="540"/>
      <c r="AG31" s="540"/>
    </row>
    <row r="32" spans="1:38" ht="16.5" thickBot="1" x14ac:dyDescent="0.25">
      <c r="A32" s="1424"/>
      <c r="B32" s="1445"/>
      <c r="C32" s="2468" t="s">
        <v>1025</v>
      </c>
      <c r="D32" s="2468"/>
      <c r="E32" s="2468"/>
      <c r="F32" s="2468"/>
      <c r="G32" s="2468"/>
      <c r="H32" s="1449"/>
      <c r="I32" s="1449"/>
      <c r="J32" s="2375">
        <f>'Part 2'!J32</f>
        <v>0</v>
      </c>
      <c r="K32" s="2376"/>
      <c r="L32" s="1446"/>
      <c r="M32" s="1449"/>
      <c r="N32" s="2375">
        <f>'Part 2'!N32</f>
        <v>0</v>
      </c>
      <c r="O32" s="2376"/>
      <c r="P32" s="1449"/>
      <c r="Q32" s="1446"/>
      <c r="R32" s="2465">
        <f>+J32+N32</f>
        <v>0</v>
      </c>
      <c r="S32" s="2466"/>
      <c r="T32" s="1215"/>
      <c r="U32" s="1216"/>
      <c r="W32" s="488">
        <f>IF(+J32+N32-R32=0,0,1)</f>
        <v>0</v>
      </c>
      <c r="Y32" s="1542"/>
      <c r="Z32" s="1543"/>
      <c r="AB32" s="546">
        <f>IF(J32='Part 2'!J32,0,1)</f>
        <v>0</v>
      </c>
      <c r="AF32" s="546">
        <f>IF(N32='Part 2'!N32,0,1)</f>
        <v>0</v>
      </c>
      <c r="AJ32" s="546">
        <f>IF(R32='Part 2'!R32,0,1)</f>
        <v>0</v>
      </c>
      <c r="AL32" s="1536">
        <f>IF(SUM(X32:AK32)&gt;0,1,0)</f>
        <v>0</v>
      </c>
    </row>
    <row r="33" spans="1:38" ht="15.75" customHeight="1" x14ac:dyDescent="0.2">
      <c r="A33" s="1424"/>
      <c r="B33" s="1445"/>
      <c r="C33" s="2469"/>
      <c r="D33" s="2469"/>
      <c r="E33" s="2469"/>
      <c r="F33" s="2469"/>
      <c r="G33" s="2469"/>
      <c r="H33" s="1449"/>
      <c r="I33" s="1449"/>
      <c r="J33" s="1449"/>
      <c r="K33" s="1449"/>
      <c r="L33" s="1449"/>
      <c r="M33" s="1449"/>
      <c r="N33" s="1449"/>
      <c r="O33" s="1449"/>
      <c r="P33" s="1449"/>
      <c r="Q33" s="1446"/>
      <c r="R33" s="1447"/>
      <c r="S33" s="1446"/>
      <c r="T33" s="1215"/>
      <c r="U33" s="1216"/>
      <c r="W33" s="489"/>
      <c r="Z33" s="1171"/>
      <c r="AA33" s="540"/>
      <c r="AB33" s="540"/>
      <c r="AC33" s="540"/>
      <c r="AD33" s="540"/>
      <c r="AE33" s="540"/>
      <c r="AF33" s="540"/>
      <c r="AG33" s="540"/>
    </row>
    <row r="34" spans="1:38" ht="16.5" customHeight="1" thickBot="1" x14ac:dyDescent="0.25">
      <c r="A34" s="1424"/>
      <c r="B34" s="1445"/>
      <c r="C34" s="1449"/>
      <c r="D34" s="1449"/>
      <c r="E34" s="1449"/>
      <c r="F34" s="1449"/>
      <c r="G34" s="1449"/>
      <c r="H34" s="1449"/>
      <c r="I34" s="1449"/>
      <c r="J34" s="1449"/>
      <c r="K34" s="1449"/>
      <c r="L34" s="1449"/>
      <c r="M34" s="1449"/>
      <c r="N34" s="1449"/>
      <c r="O34" s="1449"/>
      <c r="P34" s="1449"/>
      <c r="Q34" s="1446"/>
      <c r="R34" s="1447"/>
      <c r="S34" s="1446"/>
      <c r="T34" s="1215"/>
      <c r="U34" s="1216"/>
      <c r="W34" s="489"/>
      <c r="Z34" s="1171"/>
      <c r="AA34" s="540"/>
      <c r="AB34" s="540"/>
      <c r="AC34" s="540"/>
      <c r="AD34" s="540"/>
      <c r="AE34" s="540"/>
      <c r="AF34" s="540"/>
      <c r="AG34" s="540"/>
    </row>
    <row r="35" spans="1:38" ht="16.5" customHeight="1" thickBot="1" x14ac:dyDescent="0.25">
      <c r="A35" s="1424"/>
      <c r="B35" s="1445"/>
      <c r="C35" s="2470" t="s">
        <v>1039</v>
      </c>
      <c r="D35" s="2471"/>
      <c r="E35" s="2471"/>
      <c r="F35" s="2471"/>
      <c r="G35" s="2471"/>
      <c r="H35" s="1449"/>
      <c r="I35" s="1449"/>
      <c r="J35" s="2375">
        <f>'Part 2'!J35</f>
        <v>0</v>
      </c>
      <c r="K35" s="2376"/>
      <c r="L35" s="1446"/>
      <c r="M35" s="1449"/>
      <c r="N35" s="2375">
        <f>'Part 2'!N35</f>
        <v>0</v>
      </c>
      <c r="O35" s="2376"/>
      <c r="P35" s="1449"/>
      <c r="Q35" s="1446"/>
      <c r="R35" s="2465">
        <f>+J35+N35</f>
        <v>0</v>
      </c>
      <c r="S35" s="2466"/>
      <c r="T35" s="1215"/>
      <c r="U35" s="1216"/>
      <c r="W35" s="488">
        <f>IF(+J35+N35-R35=0,0,1)</f>
        <v>0</v>
      </c>
      <c r="Y35" s="1542"/>
      <c r="Z35" s="1543"/>
      <c r="AB35" s="546">
        <f>IF(J35='Part 2'!J35,0,1)</f>
        <v>0</v>
      </c>
      <c r="AF35" s="546">
        <f>IF(N35='Part 2'!N35,0,1)</f>
        <v>0</v>
      </c>
      <c r="AJ35" s="546">
        <f>IF(R35='Part 2'!R35,0,1)</f>
        <v>0</v>
      </c>
      <c r="AL35" s="1536">
        <f>IF(SUM(X35:AK35)&gt;0,1,0)</f>
        <v>0</v>
      </c>
    </row>
    <row r="36" spans="1:38" ht="15.75" customHeight="1" x14ac:dyDescent="0.2">
      <c r="A36" s="1424"/>
      <c r="B36" s="1445"/>
      <c r="C36" s="2471"/>
      <c r="D36" s="2471"/>
      <c r="E36" s="2471"/>
      <c r="F36" s="2471"/>
      <c r="G36" s="2471"/>
      <c r="H36" s="1449"/>
      <c r="I36" s="1449"/>
      <c r="J36" s="1446"/>
      <c r="K36" s="1446"/>
      <c r="L36" s="1446"/>
      <c r="M36" s="1446"/>
      <c r="N36" s="1446"/>
      <c r="O36" s="1446"/>
      <c r="P36" s="1446"/>
      <c r="Q36" s="1446"/>
      <c r="R36" s="1446"/>
      <c r="S36" s="1446"/>
      <c r="T36" s="1215"/>
      <c r="U36" s="1216"/>
      <c r="W36" s="489"/>
      <c r="Z36" s="1171"/>
      <c r="AA36" s="540"/>
      <c r="AB36" s="540"/>
      <c r="AC36" s="540"/>
      <c r="AD36" s="540"/>
      <c r="AE36" s="540"/>
      <c r="AF36" s="540"/>
      <c r="AG36" s="540"/>
    </row>
    <row r="37" spans="1:38" ht="15.75" customHeight="1" thickBot="1" x14ac:dyDescent="0.25">
      <c r="A37" s="1424"/>
      <c r="B37" s="1445"/>
      <c r="C37" s="2471"/>
      <c r="D37" s="2471"/>
      <c r="E37" s="2471"/>
      <c r="F37" s="2471"/>
      <c r="G37" s="2471"/>
      <c r="H37" s="1449"/>
      <c r="I37" s="1450"/>
      <c r="J37" s="1451"/>
      <c r="K37" s="1451"/>
      <c r="L37" s="1451"/>
      <c r="M37" s="1451"/>
      <c r="N37" s="1451"/>
      <c r="O37" s="1451"/>
      <c r="P37" s="1451"/>
      <c r="Q37" s="1451"/>
      <c r="R37" s="1451"/>
      <c r="S37" s="1451"/>
      <c r="T37" s="1452"/>
      <c r="U37" s="1216"/>
      <c r="W37" s="489"/>
      <c r="Z37" s="540"/>
      <c r="AA37" s="1544"/>
      <c r="AB37" s="540"/>
      <c r="AC37" s="540"/>
      <c r="AD37" s="540"/>
      <c r="AE37" s="540"/>
      <c r="AF37" s="540"/>
      <c r="AG37" s="1544"/>
    </row>
    <row r="38" spans="1:38" ht="15.75" customHeight="1" thickBot="1" x14ac:dyDescent="0.25">
      <c r="A38" s="1424"/>
      <c r="B38" s="1445"/>
      <c r="C38" s="1453"/>
      <c r="D38" s="1453"/>
      <c r="E38" s="1453"/>
      <c r="F38" s="1453"/>
      <c r="G38" s="1453"/>
      <c r="H38" s="1449"/>
      <c r="I38" s="1454"/>
      <c r="J38" s="1446"/>
      <c r="K38" s="1446"/>
      <c r="L38" s="1455"/>
      <c r="M38" s="1446"/>
      <c r="N38" s="1446"/>
      <c r="O38" s="1446"/>
      <c r="P38" s="1455"/>
      <c r="Q38" s="1446"/>
      <c r="R38" s="1446"/>
      <c r="S38" s="1446"/>
      <c r="T38" s="1456"/>
      <c r="U38" s="1216"/>
      <c r="W38" s="489"/>
      <c r="Z38" s="540"/>
      <c r="AA38" s="1544"/>
      <c r="AB38" s="540"/>
      <c r="AC38" s="540"/>
      <c r="AD38" s="540"/>
      <c r="AE38" s="540"/>
      <c r="AF38" s="540"/>
      <c r="AG38" s="1544"/>
    </row>
    <row r="39" spans="1:38" ht="16.5" thickBot="1" x14ac:dyDescent="0.25">
      <c r="A39" s="1424"/>
      <c r="B39" s="1445"/>
      <c r="C39" s="1453" t="s">
        <v>831</v>
      </c>
      <c r="D39" s="1453"/>
      <c r="E39" s="1453"/>
      <c r="F39" s="1453"/>
      <c r="G39" s="1453"/>
      <c r="H39" s="1449"/>
      <c r="I39" s="1454"/>
      <c r="J39" s="2465">
        <f>+J32+J35</f>
        <v>0</v>
      </c>
      <c r="K39" s="2466"/>
      <c r="L39" s="1455"/>
      <c r="M39" s="1449"/>
      <c r="N39" s="2465">
        <f>+N32+N35</f>
        <v>0</v>
      </c>
      <c r="O39" s="2466"/>
      <c r="P39" s="1455"/>
      <c r="Q39" s="1446"/>
      <c r="R39" s="1446"/>
      <c r="S39" s="1446"/>
      <c r="T39" s="1456"/>
      <c r="U39" s="1216"/>
      <c r="W39" s="488">
        <f>IF(+J39+J41-J45=0,0,1)</f>
        <v>0</v>
      </c>
      <c r="Y39" s="1542"/>
      <c r="Z39" s="1543"/>
      <c r="AB39" s="546">
        <f>IF(J39='Part 2'!J39,0,1)</f>
        <v>0</v>
      </c>
      <c r="AF39" s="546">
        <f>IF(N39='Part 2'!N39,0,1)</f>
        <v>0</v>
      </c>
      <c r="AJ39" s="546">
        <f>IF(R39='Part 2'!R39,0,1)</f>
        <v>0</v>
      </c>
      <c r="AL39" s="1536">
        <f>IF(SUM(X39:AK39)&gt;0,1,0)</f>
        <v>0</v>
      </c>
    </row>
    <row r="40" spans="1:38" ht="16.5" customHeight="1" thickBot="1" x14ac:dyDescent="0.25">
      <c r="A40" s="1424"/>
      <c r="B40" s="1445"/>
      <c r="C40" s="1453"/>
      <c r="D40" s="1453"/>
      <c r="E40" s="1453"/>
      <c r="F40" s="1453"/>
      <c r="G40" s="1453"/>
      <c r="H40" s="1449"/>
      <c r="I40" s="1454"/>
      <c r="J40" s="1447"/>
      <c r="K40" s="1446"/>
      <c r="L40" s="1455"/>
      <c r="M40" s="1449"/>
      <c r="N40" s="1447"/>
      <c r="O40" s="1446"/>
      <c r="P40" s="1455"/>
      <c r="Q40" s="1446"/>
      <c r="R40" s="1446"/>
      <c r="S40" s="1446"/>
      <c r="T40" s="1456"/>
      <c r="U40" s="1216"/>
      <c r="W40" s="488"/>
      <c r="Z40" s="540"/>
      <c r="AA40" s="540"/>
      <c r="AB40" s="540"/>
      <c r="AC40" s="540"/>
      <c r="AD40" s="540"/>
      <c r="AE40" s="540"/>
      <c r="AF40" s="540"/>
      <c r="AG40" s="540"/>
    </row>
    <row r="41" spans="1:38" ht="16.5" thickBot="1" x14ac:dyDescent="0.25">
      <c r="A41" s="1424"/>
      <c r="B41" s="1445"/>
      <c r="C41" s="2467" t="s">
        <v>1071</v>
      </c>
      <c r="D41" s="2468"/>
      <c r="E41" s="2468"/>
      <c r="F41" s="2468"/>
      <c r="G41" s="2468"/>
      <c r="H41" s="1449"/>
      <c r="I41" s="1454"/>
      <c r="J41" s="2375">
        <f>'Part 2'!J41</f>
        <v>0</v>
      </c>
      <c r="K41" s="2376"/>
      <c r="L41" s="1455"/>
      <c r="M41" s="1449"/>
      <c r="N41" s="2375">
        <f>'Part 2'!N41</f>
        <v>0</v>
      </c>
      <c r="O41" s="2376"/>
      <c r="P41" s="1455"/>
      <c r="Q41" s="1446"/>
      <c r="R41" s="1446"/>
      <c r="S41" s="1446"/>
      <c r="T41" s="1456"/>
      <c r="U41" s="1216"/>
      <c r="W41" s="488">
        <f>IF(+N39+N41-N45=0,0,1)</f>
        <v>0</v>
      </c>
      <c r="Y41" s="1542"/>
      <c r="Z41" s="1543"/>
      <c r="AB41" s="546">
        <f>IF(J41='Part 2'!J41,0,1)</f>
        <v>0</v>
      </c>
      <c r="AF41" s="546">
        <f>IF(N41='Part 2'!N41,0,1)</f>
        <v>0</v>
      </c>
      <c r="AJ41" s="546">
        <f>IF(R41='Part 2'!R41,0,1)</f>
        <v>0</v>
      </c>
      <c r="AL41" s="1536">
        <f>IF(SUM(X41:AK41)&gt;0,1,0)</f>
        <v>0</v>
      </c>
    </row>
    <row r="42" spans="1:38" ht="15.75" customHeight="1" x14ac:dyDescent="0.2">
      <c r="A42" s="1424"/>
      <c r="B42" s="1445"/>
      <c r="C42" s="2468"/>
      <c r="D42" s="2468"/>
      <c r="E42" s="2468"/>
      <c r="F42" s="2468"/>
      <c r="G42" s="2468"/>
      <c r="H42" s="1449"/>
      <c r="I42" s="1454"/>
      <c r="J42" s="1447"/>
      <c r="K42" s="1446"/>
      <c r="L42" s="1455"/>
      <c r="M42" s="1449"/>
      <c r="N42" s="1447"/>
      <c r="O42" s="1446"/>
      <c r="P42" s="1455"/>
      <c r="Q42" s="1446"/>
      <c r="R42" s="1447"/>
      <c r="S42" s="1446"/>
      <c r="T42" s="1456"/>
      <c r="U42" s="1216"/>
      <c r="W42" s="489"/>
      <c r="Z42" s="540"/>
      <c r="AA42" s="540"/>
      <c r="AB42" s="540"/>
      <c r="AC42" s="540"/>
      <c r="AD42" s="540"/>
      <c r="AE42" s="540"/>
      <c r="AF42" s="540"/>
      <c r="AG42" s="540"/>
    </row>
    <row r="43" spans="1:38" ht="15.75" customHeight="1" x14ac:dyDescent="0.2">
      <c r="A43" s="1424"/>
      <c r="B43" s="1445"/>
      <c r="C43" s="2469"/>
      <c r="D43" s="2469"/>
      <c r="E43" s="2469"/>
      <c r="F43" s="2469"/>
      <c r="G43" s="2469"/>
      <c r="H43" s="1449"/>
      <c r="I43" s="1454"/>
      <c r="J43" s="1447"/>
      <c r="K43" s="1446"/>
      <c r="L43" s="1455"/>
      <c r="M43" s="1449"/>
      <c r="N43" s="1447"/>
      <c r="O43" s="1446"/>
      <c r="P43" s="1455"/>
      <c r="Q43" s="1446"/>
      <c r="R43" s="1447"/>
      <c r="S43" s="1446"/>
      <c r="T43" s="1456"/>
      <c r="U43" s="1216"/>
      <c r="W43" s="489"/>
      <c r="Z43" s="540"/>
      <c r="AA43" s="540"/>
      <c r="AB43" s="540"/>
      <c r="AC43" s="540"/>
      <c r="AD43" s="540"/>
      <c r="AE43" s="540"/>
      <c r="AF43" s="540"/>
      <c r="AG43" s="540"/>
    </row>
    <row r="44" spans="1:38" ht="16.5" thickBot="1" x14ac:dyDescent="0.25">
      <c r="A44" s="1424"/>
      <c r="B44" s="1445"/>
      <c r="C44" s="1457"/>
      <c r="D44" s="1457"/>
      <c r="E44" s="1457"/>
      <c r="F44" s="1457"/>
      <c r="G44" s="1457"/>
      <c r="H44" s="1449"/>
      <c r="I44" s="1454"/>
      <c r="J44" s="1447"/>
      <c r="K44" s="1446"/>
      <c r="L44" s="1455"/>
      <c r="M44" s="1449"/>
      <c r="N44" s="1447"/>
      <c r="O44" s="1446"/>
      <c r="P44" s="1455"/>
      <c r="Q44" s="1446"/>
      <c r="R44" s="1447"/>
      <c r="S44" s="1446"/>
      <c r="T44" s="1456"/>
      <c r="U44" s="1216"/>
      <c r="W44" s="489"/>
      <c r="Z44" s="540"/>
      <c r="AA44" s="540"/>
      <c r="AB44" s="540"/>
      <c r="AC44" s="540"/>
      <c r="AD44" s="540"/>
      <c r="AE44" s="540"/>
      <c r="AF44" s="540"/>
      <c r="AG44" s="540"/>
    </row>
    <row r="45" spans="1:38" ht="16.5" thickBot="1" x14ac:dyDescent="0.25">
      <c r="A45" s="1424"/>
      <c r="B45" s="1445"/>
      <c r="C45" s="1453" t="s">
        <v>832</v>
      </c>
      <c r="D45" s="1453"/>
      <c r="E45" s="1453"/>
      <c r="F45" s="1453"/>
      <c r="G45" s="1453"/>
      <c r="H45" s="1449"/>
      <c r="I45" s="1454"/>
      <c r="J45" s="2465">
        <f>+J39+J41</f>
        <v>0</v>
      </c>
      <c r="K45" s="2466"/>
      <c r="L45" s="1455"/>
      <c r="M45" s="1449"/>
      <c r="N45" s="2465">
        <f>+N39+N41</f>
        <v>0</v>
      </c>
      <c r="O45" s="2466"/>
      <c r="P45" s="1455"/>
      <c r="Q45" s="1446"/>
      <c r="R45" s="2465">
        <f>+J45+N45</f>
        <v>0</v>
      </c>
      <c r="S45" s="2466"/>
      <c r="T45" s="1456"/>
      <c r="U45" s="1216"/>
      <c r="W45" s="488">
        <f>IF(+J45+N45-R45=0,0,1)</f>
        <v>0</v>
      </c>
      <c r="Y45" s="1542"/>
      <c r="Z45" s="1543"/>
      <c r="AB45" s="546">
        <f>IF(J45='Part 2'!J45,0,1)</f>
        <v>0</v>
      </c>
      <c r="AF45" s="546">
        <f>IF(N45='Part 2'!N45,0,1)</f>
        <v>0</v>
      </c>
      <c r="AJ45" s="546">
        <f>IF(R45='Part 2'!R45,0,1)</f>
        <v>0</v>
      </c>
      <c r="AL45" s="1536">
        <f>IF(SUM(X45:AK45)&gt;0,1,0)</f>
        <v>0</v>
      </c>
    </row>
    <row r="46" spans="1:38" ht="16.5" thickBot="1" x14ac:dyDescent="0.25">
      <c r="A46" s="1424"/>
      <c r="B46" s="1445"/>
      <c r="C46" s="1445"/>
      <c r="D46" s="1445"/>
      <c r="E46" s="1445"/>
      <c r="F46" s="1445"/>
      <c r="G46" s="1445"/>
      <c r="H46" s="1449"/>
      <c r="I46" s="1458"/>
      <c r="J46" s="1459"/>
      <c r="K46" s="1451"/>
      <c r="L46" s="1460"/>
      <c r="M46" s="1459"/>
      <c r="N46" s="1459"/>
      <c r="O46" s="1451"/>
      <c r="P46" s="1461"/>
      <c r="Q46" s="1451"/>
      <c r="R46" s="1459"/>
      <c r="S46" s="1451"/>
      <c r="T46" s="1462"/>
      <c r="U46" s="1216"/>
      <c r="W46" s="489"/>
      <c r="Z46" s="540"/>
      <c r="AA46" s="540"/>
      <c r="AB46" s="540"/>
      <c r="AC46" s="540"/>
      <c r="AD46" s="540"/>
      <c r="AE46" s="540"/>
      <c r="AF46" s="540"/>
      <c r="AG46" s="540"/>
    </row>
    <row r="47" spans="1:38" ht="16.5" thickBot="1" x14ac:dyDescent="0.25">
      <c r="A47" s="1424"/>
      <c r="B47" s="1445"/>
      <c r="C47" s="1449"/>
      <c r="D47" s="1449"/>
      <c r="E47" s="1449"/>
      <c r="F47" s="1449"/>
      <c r="G47" s="1449"/>
      <c r="H47" s="1449"/>
      <c r="I47" s="1449"/>
      <c r="J47" s="1447"/>
      <c r="K47" s="1446"/>
      <c r="L47" s="1446"/>
      <c r="M47" s="1446"/>
      <c r="N47" s="1446"/>
      <c r="O47" s="1446"/>
      <c r="P47" s="1446"/>
      <c r="Q47" s="1446"/>
      <c r="R47" s="1447"/>
      <c r="S47" s="1446"/>
      <c r="T47" s="1215"/>
      <c r="U47" s="1216"/>
      <c r="W47" s="489"/>
      <c r="Z47" s="540"/>
      <c r="AA47" s="540"/>
      <c r="AB47" s="540"/>
      <c r="AC47" s="540"/>
      <c r="AD47" s="540"/>
      <c r="AE47" s="540"/>
      <c r="AF47" s="540"/>
      <c r="AG47" s="540"/>
    </row>
    <row r="48" spans="1:38" ht="15.75" x14ac:dyDescent="0.2">
      <c r="A48" s="1424"/>
      <c r="B48" s="1463"/>
      <c r="C48" s="1464"/>
      <c r="D48" s="1464"/>
      <c r="E48" s="1464"/>
      <c r="F48" s="1464"/>
      <c r="G48" s="1464"/>
      <c r="H48" s="1464"/>
      <c r="I48" s="1464"/>
      <c r="J48" s="1465"/>
      <c r="K48" s="1466"/>
      <c r="L48" s="1466"/>
      <c r="M48" s="1466"/>
      <c r="N48" s="1466"/>
      <c r="O48" s="1466"/>
      <c r="P48" s="1466"/>
      <c r="Q48" s="1466"/>
      <c r="R48" s="1465"/>
      <c r="S48" s="1466"/>
      <c r="T48" s="1467"/>
      <c r="U48" s="1216"/>
      <c r="W48" s="489"/>
      <c r="Z48" s="540"/>
      <c r="AA48" s="540"/>
      <c r="AB48" s="540"/>
      <c r="AC48" s="540"/>
      <c r="AD48" s="540"/>
      <c r="AE48" s="540"/>
      <c r="AF48" s="540"/>
      <c r="AG48" s="540"/>
    </row>
    <row r="49" spans="1:38" ht="16.5" thickBot="1" x14ac:dyDescent="0.3">
      <c r="A49" s="1424"/>
      <c r="B49" s="1468"/>
      <c r="C49" s="1448" t="s">
        <v>2124</v>
      </c>
      <c r="D49" s="1469"/>
      <c r="E49" s="1469"/>
      <c r="F49" s="1469"/>
      <c r="G49" s="1469"/>
      <c r="H49" s="1449"/>
      <c r="I49" s="1449"/>
      <c r="J49" s="1447"/>
      <c r="K49" s="1446"/>
      <c r="L49" s="1446"/>
      <c r="M49" s="1446"/>
      <c r="N49" s="1446"/>
      <c r="O49" s="1446"/>
      <c r="P49" s="1446"/>
      <c r="Q49" s="1446"/>
      <c r="R49" s="1447"/>
      <c r="S49" s="1446"/>
      <c r="T49" s="1470"/>
      <c r="U49" s="1216"/>
      <c r="W49" s="489"/>
    </row>
    <row r="50" spans="1:38" ht="16.5" thickBot="1" x14ac:dyDescent="0.25">
      <c r="A50" s="1424"/>
      <c r="B50" s="1468"/>
      <c r="C50" s="1471" t="s">
        <v>833</v>
      </c>
      <c r="D50" s="1469"/>
      <c r="E50" s="1469"/>
      <c r="F50" s="1469"/>
      <c r="G50" s="1469"/>
      <c r="H50" s="1449"/>
      <c r="I50" s="1449"/>
      <c r="J50" s="2465">
        <f>+J45*-1</f>
        <v>0</v>
      </c>
      <c r="K50" s="2466"/>
      <c r="L50" s="1446"/>
      <c r="M50" s="1446"/>
      <c r="N50" s="2465">
        <f>+N45*-1</f>
        <v>0</v>
      </c>
      <c r="O50" s="2466"/>
      <c r="P50" s="1446"/>
      <c r="Q50" s="1446"/>
      <c r="R50" s="2465">
        <f>+J50+N50</f>
        <v>0</v>
      </c>
      <c r="S50" s="2466"/>
      <c r="T50" s="1470"/>
      <c r="U50" s="1216"/>
      <c r="W50" s="488">
        <f>IF(+J50+N50-R50=0,0,1)</f>
        <v>0</v>
      </c>
      <c r="Y50" s="1542"/>
      <c r="Z50" s="1543"/>
      <c r="AB50" s="546">
        <f>IF(J50='Part 2'!J50,0,1)</f>
        <v>0</v>
      </c>
      <c r="AF50" s="546">
        <f>IF(N50='Part 2'!N50,0,1)</f>
        <v>0</v>
      </c>
      <c r="AJ50" s="546">
        <f>IF(R50='Part 2'!R50,0,1)</f>
        <v>0</v>
      </c>
      <c r="AL50" s="1536">
        <f>IF(SUM(X50:AK50)&gt;0,1,0)</f>
        <v>0</v>
      </c>
    </row>
    <row r="51" spans="1:38" ht="16.5" thickBot="1" x14ac:dyDescent="0.3">
      <c r="A51" s="1424"/>
      <c r="B51" s="1472"/>
      <c r="C51" s="1473"/>
      <c r="D51" s="1474"/>
      <c r="E51" s="1474"/>
      <c r="F51" s="1474"/>
      <c r="G51" s="1474"/>
      <c r="H51" s="1474"/>
      <c r="I51" s="1474"/>
      <c r="J51" s="1475"/>
      <c r="K51" s="1476"/>
      <c r="L51" s="1476"/>
      <c r="M51" s="1476"/>
      <c r="N51" s="1476"/>
      <c r="O51" s="1476"/>
      <c r="P51" s="1476"/>
      <c r="Q51" s="1476"/>
      <c r="R51" s="1475"/>
      <c r="S51" s="1476"/>
      <c r="T51" s="1477"/>
      <c r="U51" s="1216"/>
      <c r="W51" s="489"/>
    </row>
    <row r="52" spans="1:38" x14ac:dyDescent="0.2">
      <c r="A52" s="1424"/>
      <c r="B52" s="1215"/>
      <c r="C52" s="1215"/>
      <c r="D52" s="1215"/>
      <c r="E52" s="1215"/>
      <c r="F52" s="1215"/>
      <c r="G52" s="1215"/>
      <c r="H52" s="1215"/>
      <c r="I52" s="1215"/>
      <c r="J52" s="1215"/>
      <c r="K52" s="1215"/>
      <c r="L52" s="1215"/>
      <c r="M52" s="1225"/>
      <c r="N52" s="1215"/>
      <c r="O52" s="1215"/>
      <c r="P52" s="1215"/>
      <c r="Q52" s="1215"/>
      <c r="R52" s="1215"/>
      <c r="S52" s="1215"/>
      <c r="T52" s="1215"/>
      <c r="U52" s="1216"/>
      <c r="W52" s="489"/>
    </row>
    <row r="53" spans="1:38" ht="15.75" customHeight="1" x14ac:dyDescent="0.25">
      <c r="A53" s="1478"/>
      <c r="B53" s="1429"/>
      <c r="C53" s="1228" t="s">
        <v>1072</v>
      </c>
      <c r="D53" s="1228"/>
      <c r="E53" s="1228"/>
      <c r="F53" s="1228"/>
      <c r="G53" s="1228"/>
      <c r="H53" s="1228"/>
      <c r="I53" s="1429"/>
      <c r="J53" s="1429"/>
      <c r="K53" s="1429"/>
      <c r="L53" s="1429"/>
      <c r="M53" s="1225"/>
      <c r="N53" s="1429"/>
      <c r="O53" s="1429"/>
      <c r="P53" s="1429"/>
      <c r="Q53" s="1429"/>
      <c r="R53" s="1429"/>
      <c r="S53" s="1429"/>
      <c r="T53" s="1215"/>
      <c r="U53" s="1216"/>
      <c r="W53" s="489"/>
    </row>
    <row r="54" spans="1:38" x14ac:dyDescent="0.2">
      <c r="A54" s="1424"/>
      <c r="B54" s="1215"/>
      <c r="C54" s="1192"/>
      <c r="D54" s="1225"/>
      <c r="E54" s="1225"/>
      <c r="F54" s="1225"/>
      <c r="G54" s="1225"/>
      <c r="H54" s="1225"/>
      <c r="I54" s="1225"/>
      <c r="J54" s="1429"/>
      <c r="K54" s="1429"/>
      <c r="L54" s="1429"/>
      <c r="M54" s="1225"/>
      <c r="N54" s="1429"/>
      <c r="O54" s="1429"/>
      <c r="P54" s="1429"/>
      <c r="Q54" s="1429"/>
      <c r="R54" s="1429"/>
      <c r="S54" s="1429"/>
      <c r="T54" s="1215"/>
      <c r="U54" s="1216"/>
      <c r="W54" s="489"/>
    </row>
    <row r="55" spans="1:38" ht="16.5" thickBot="1" x14ac:dyDescent="0.3">
      <c r="A55" s="1424"/>
      <c r="B55" s="1215"/>
      <c r="C55" s="1271" t="s">
        <v>798</v>
      </c>
      <c r="D55" s="1192"/>
      <c r="E55" s="1192"/>
      <c r="F55" s="1192"/>
      <c r="G55" s="1192"/>
      <c r="H55" s="1225"/>
      <c r="I55" s="1225"/>
      <c r="J55" s="1429"/>
      <c r="K55" s="1429"/>
      <c r="L55" s="1429"/>
      <c r="M55" s="1225"/>
      <c r="N55" s="1429"/>
      <c r="O55" s="1429"/>
      <c r="P55" s="1429"/>
      <c r="Q55" s="1429"/>
      <c r="R55" s="1429"/>
      <c r="S55" s="1429"/>
      <c r="T55" s="1215"/>
      <c r="U55" s="1216"/>
      <c r="W55" s="489"/>
    </row>
    <row r="56" spans="1:38" ht="16.5" thickBot="1" x14ac:dyDescent="0.25">
      <c r="A56" s="1424"/>
      <c r="B56" s="1215"/>
      <c r="C56" s="1192" t="s">
        <v>2125</v>
      </c>
      <c r="D56" s="1192"/>
      <c r="E56" s="1192"/>
      <c r="F56" s="1192"/>
      <c r="G56" s="1192"/>
      <c r="H56" s="1225"/>
      <c r="I56" s="1225"/>
      <c r="J56" s="2375">
        <f>'Part 2'!J56</f>
        <v>0</v>
      </c>
      <c r="K56" s="2376"/>
      <c r="L56" s="1429"/>
      <c r="M56" s="1225"/>
      <c r="N56" s="2375">
        <f>'Part 2'!N56</f>
        <v>0</v>
      </c>
      <c r="O56" s="2376"/>
      <c r="P56" s="1429"/>
      <c r="Q56" s="1429"/>
      <c r="R56" s="2445">
        <f>+J56+N56</f>
        <v>0</v>
      </c>
      <c r="S56" s="2446"/>
      <c r="T56" s="1215"/>
      <c r="U56" s="1216"/>
      <c r="W56" s="488">
        <f>IF(+J56+N56-R56=0,0,1)</f>
        <v>0</v>
      </c>
      <c r="Y56" s="1542"/>
      <c r="Z56" s="1543"/>
      <c r="AB56" s="546">
        <f>IF(J56='Part 2'!J56,0,1)</f>
        <v>0</v>
      </c>
      <c r="AF56" s="546">
        <f>IF(N56='Part 2'!N56,0,1)</f>
        <v>0</v>
      </c>
      <c r="AJ56" s="546">
        <f>IF(R56='Part 2'!R56,0,1)</f>
        <v>0</v>
      </c>
      <c r="AL56" s="1536">
        <f>IF(SUM(X56:AK56)&gt;0,1,0)</f>
        <v>0</v>
      </c>
    </row>
    <row r="57" spans="1:38" ht="16.5" thickBot="1" x14ac:dyDescent="0.3">
      <c r="A57" s="1424"/>
      <c r="B57" s="1215"/>
      <c r="C57" s="1192"/>
      <c r="D57" s="1192"/>
      <c r="E57" s="1192"/>
      <c r="F57" s="1192"/>
      <c r="G57" s="1192"/>
      <c r="H57" s="1225"/>
      <c r="I57" s="1225"/>
      <c r="J57" s="1479">
        <f>+IF(OR(J58&lt;J56,N58&lt;N56),1,0)</f>
        <v>0</v>
      </c>
      <c r="K57" s="1480"/>
      <c r="L57" s="1480"/>
      <c r="M57" s="1272"/>
      <c r="N57" s="1481">
        <f>+IF(OR(N58&lt;N56,R58&lt;R56),1,0)</f>
        <v>0</v>
      </c>
      <c r="O57" s="1480"/>
      <c r="P57" s="1480" t="s">
        <v>1089</v>
      </c>
      <c r="Q57" s="1480"/>
      <c r="R57" s="1480"/>
      <c r="S57" s="1480"/>
      <c r="T57" s="1215"/>
      <c r="U57" s="1216"/>
      <c r="W57" s="489"/>
    </row>
    <row r="58" spans="1:38" ht="16.5" thickBot="1" x14ac:dyDescent="0.25">
      <c r="A58" s="1424"/>
      <c r="B58" s="1215"/>
      <c r="C58" s="2408" t="s">
        <v>822</v>
      </c>
      <c r="D58" s="2408"/>
      <c r="E58" s="2408"/>
      <c r="F58" s="2408"/>
      <c r="G58" s="2408"/>
      <c r="H58" s="1225"/>
      <c r="I58" s="1225"/>
      <c r="J58" s="2375">
        <f>'Part 2'!J58</f>
        <v>0</v>
      </c>
      <c r="K58" s="2376"/>
      <c r="L58" s="1429"/>
      <c r="M58" s="1225"/>
      <c r="N58" s="2375">
        <f>'Part 2'!N58</f>
        <v>0</v>
      </c>
      <c r="O58" s="2376"/>
      <c r="P58" s="1429"/>
      <c r="Q58" s="1429"/>
      <c r="R58" s="2445">
        <f>+J58+N58</f>
        <v>0</v>
      </c>
      <c r="S58" s="2446"/>
      <c r="T58" s="1215"/>
      <c r="U58" s="1216"/>
      <c r="W58" s="488">
        <f>IF(+J58+N58-R58=0,0,1)</f>
        <v>0</v>
      </c>
      <c r="Y58" s="1542"/>
      <c r="Z58" s="1543"/>
      <c r="AB58" s="546">
        <f>IF(J58='Part 2'!J58,0,1)</f>
        <v>0</v>
      </c>
      <c r="AF58" s="546">
        <f>IF(N58='Part 2'!N58,0,1)</f>
        <v>0</v>
      </c>
      <c r="AJ58" s="546">
        <f>IF(R58='Part 2'!R58,0,1)</f>
        <v>0</v>
      </c>
      <c r="AL58" s="1536">
        <f>IF(SUM(X58:AK58)&gt;0,1,0)</f>
        <v>0</v>
      </c>
    </row>
    <row r="59" spans="1:38" ht="15.75" x14ac:dyDescent="0.2">
      <c r="A59" s="1424"/>
      <c r="B59" s="1215"/>
      <c r="C59" s="2408"/>
      <c r="D59" s="2408"/>
      <c r="E59" s="2408"/>
      <c r="F59" s="2408"/>
      <c r="G59" s="2408"/>
      <c r="H59" s="1225"/>
      <c r="I59" s="1225"/>
      <c r="J59" s="1482" t="str">
        <f>+IF(J57+N57&gt;0,"Line 13 must be less than Line 12. Check your data","")</f>
        <v/>
      </c>
      <c r="K59" s="1483"/>
      <c r="L59" s="1483"/>
      <c r="M59" s="1483"/>
      <c r="N59" s="1482"/>
      <c r="O59" s="1483"/>
      <c r="P59" s="1429"/>
      <c r="Q59" s="1429"/>
      <c r="R59" s="1438"/>
      <c r="S59" s="1429"/>
      <c r="T59" s="1215"/>
      <c r="U59" s="1216"/>
      <c r="W59" s="489"/>
    </row>
    <row r="60" spans="1:38" ht="16.5" thickBot="1" x14ac:dyDescent="0.25">
      <c r="A60" s="1424"/>
      <c r="B60" s="1215"/>
      <c r="C60" s="1192"/>
      <c r="D60" s="1192"/>
      <c r="E60" s="1192"/>
      <c r="F60" s="1192"/>
      <c r="G60" s="1192"/>
      <c r="H60" s="1225"/>
      <c r="I60" s="1225"/>
      <c r="J60" s="1438"/>
      <c r="K60" s="1429"/>
      <c r="L60" s="1429"/>
      <c r="M60" s="1225"/>
      <c r="N60" s="1438"/>
      <c r="O60" s="1429"/>
      <c r="P60" s="1429"/>
      <c r="Q60" s="1429"/>
      <c r="R60" s="1438"/>
      <c r="S60" s="1429"/>
      <c r="T60" s="1215"/>
      <c r="U60" s="1216"/>
      <c r="W60" s="489"/>
    </row>
    <row r="61" spans="1:38" ht="16.5" thickBot="1" x14ac:dyDescent="0.25">
      <c r="A61" s="1424"/>
      <c r="B61" s="1215"/>
      <c r="C61" s="2408" t="s">
        <v>1027</v>
      </c>
      <c r="D61" s="2408"/>
      <c r="E61" s="2408"/>
      <c r="F61" s="2408"/>
      <c r="G61" s="2408"/>
      <c r="H61" s="1225"/>
      <c r="I61" s="1225"/>
      <c r="J61" s="2375">
        <f>'Part 2'!J61</f>
        <v>0</v>
      </c>
      <c r="K61" s="2376"/>
      <c r="L61" s="1429"/>
      <c r="M61" s="1225"/>
      <c r="N61" s="2375">
        <f>'Part 2'!N61</f>
        <v>0</v>
      </c>
      <c r="O61" s="2376"/>
      <c r="P61" s="1429"/>
      <c r="Q61" s="1429"/>
      <c r="R61" s="2445">
        <f>+J61+N61</f>
        <v>0</v>
      </c>
      <c r="S61" s="2446"/>
      <c r="T61" s="1215"/>
      <c r="U61" s="1216"/>
      <c r="W61" s="488">
        <f>IF(+J61+N61-R61=0,0,1)</f>
        <v>0</v>
      </c>
      <c r="Y61" s="1542"/>
      <c r="Z61" s="1543"/>
      <c r="AB61" s="546">
        <f>IF(J61='Part 2'!J61,0,1)</f>
        <v>0</v>
      </c>
      <c r="AF61" s="546">
        <f>IF(N61='Part 2'!N61,0,1)</f>
        <v>0</v>
      </c>
      <c r="AJ61" s="546">
        <f>IF(R61='Part 2'!R61,0,1)</f>
        <v>0</v>
      </c>
      <c r="AL61" s="1536">
        <f>IF(SUM(X61:AK61)&gt;0,1,0)</f>
        <v>0</v>
      </c>
    </row>
    <row r="62" spans="1:38" ht="15.75" customHeight="1" x14ac:dyDescent="0.2">
      <c r="A62" s="1424"/>
      <c r="B62" s="1215"/>
      <c r="C62" s="2454"/>
      <c r="D62" s="2454"/>
      <c r="E62" s="2454"/>
      <c r="F62" s="2454"/>
      <c r="G62" s="2454"/>
      <c r="H62" s="1225"/>
      <c r="I62" s="1225"/>
      <c r="J62" s="1438"/>
      <c r="K62" s="1429"/>
      <c r="L62" s="1429"/>
      <c r="M62" s="1225"/>
      <c r="N62" s="1438"/>
      <c r="O62" s="1429"/>
      <c r="P62" s="1429"/>
      <c r="Q62" s="1429"/>
      <c r="R62" s="1438"/>
      <c r="S62" s="1429"/>
      <c r="T62" s="1215"/>
      <c r="U62" s="1216"/>
      <c r="W62" s="489"/>
    </row>
    <row r="63" spans="1:38" ht="16.5" thickBot="1" x14ac:dyDescent="0.25">
      <c r="A63" s="1424"/>
      <c r="B63" s="1215"/>
      <c r="C63" s="1276"/>
      <c r="D63" s="1276"/>
      <c r="E63" s="1276"/>
      <c r="F63" s="1276"/>
      <c r="G63" s="1276"/>
      <c r="H63" s="1225"/>
      <c r="I63" s="1225"/>
      <c r="J63" s="1438"/>
      <c r="K63" s="1429"/>
      <c r="L63" s="1429"/>
      <c r="M63" s="1225"/>
      <c r="N63" s="1438"/>
      <c r="O63" s="1429"/>
      <c r="P63" s="1429"/>
      <c r="Q63" s="1429"/>
      <c r="R63" s="1438"/>
      <c r="S63" s="1429"/>
      <c r="T63" s="1215"/>
      <c r="U63" s="1216"/>
      <c r="W63" s="493">
        <f>+IF(J56+J61-J64=0,0,1)</f>
        <v>0</v>
      </c>
    </row>
    <row r="64" spans="1:38" ht="16.5" thickBot="1" x14ac:dyDescent="0.25">
      <c r="A64" s="1424"/>
      <c r="B64" s="1215"/>
      <c r="C64" s="1192" t="s">
        <v>1138</v>
      </c>
      <c r="D64" s="1192"/>
      <c r="E64" s="1192"/>
      <c r="F64" s="1192"/>
      <c r="G64" s="1192"/>
      <c r="H64" s="1225"/>
      <c r="I64" s="1225"/>
      <c r="J64" s="2445">
        <f>+J56+J61</f>
        <v>0</v>
      </c>
      <c r="K64" s="2446"/>
      <c r="L64" s="1429"/>
      <c r="M64" s="1225"/>
      <c r="N64" s="2445">
        <f>+N56+N61</f>
        <v>0</v>
      </c>
      <c r="O64" s="2446"/>
      <c r="P64" s="1429"/>
      <c r="Q64" s="1429"/>
      <c r="R64" s="2445">
        <f>+J64+N64</f>
        <v>0</v>
      </c>
      <c r="S64" s="2446"/>
      <c r="T64" s="1215"/>
      <c r="U64" s="1216"/>
      <c r="W64" s="488">
        <f>IF(+J64+N64-R64=0,0,1)</f>
        <v>0</v>
      </c>
      <c r="Y64" s="1542"/>
      <c r="Z64" s="1543"/>
      <c r="AB64" s="546">
        <f>IF(J64='Part 2'!J64,0,1)</f>
        <v>0</v>
      </c>
      <c r="AF64" s="546">
        <f>IF(N64='Part 2'!N64,0,1)</f>
        <v>0</v>
      </c>
      <c r="AJ64" s="546">
        <f>IF(R64='Part 2'!R64,0,1)</f>
        <v>0</v>
      </c>
      <c r="AL64" s="1536">
        <f>IF(SUM(X64:AK64)&gt;0,1,0)</f>
        <v>0</v>
      </c>
    </row>
    <row r="65" spans="1:38" x14ac:dyDescent="0.2">
      <c r="A65" s="1424"/>
      <c r="B65" s="1215"/>
      <c r="C65" s="1192"/>
      <c r="D65" s="1192"/>
      <c r="E65" s="1192"/>
      <c r="F65" s="1192"/>
      <c r="G65" s="1192"/>
      <c r="H65" s="1225"/>
      <c r="I65" s="1225"/>
      <c r="J65" s="1429"/>
      <c r="K65" s="1429"/>
      <c r="L65" s="1429"/>
      <c r="M65" s="1225"/>
      <c r="N65" s="1429"/>
      <c r="O65" s="1429"/>
      <c r="P65" s="1429"/>
      <c r="Q65" s="1429"/>
      <c r="R65" s="1429"/>
      <c r="S65" s="1429"/>
      <c r="T65" s="1215"/>
      <c r="U65" s="1216"/>
      <c r="W65" s="493">
        <f>+IF(N56+N61-N64=0,0,1)</f>
        <v>0</v>
      </c>
    </row>
    <row r="66" spans="1:38" ht="16.5" thickBot="1" x14ac:dyDescent="0.3">
      <c r="A66" s="1424"/>
      <c r="B66" s="1215"/>
      <c r="C66" s="1271" t="s">
        <v>816</v>
      </c>
      <c r="D66" s="1192"/>
      <c r="E66" s="1192"/>
      <c r="F66" s="1192"/>
      <c r="G66" s="1192"/>
      <c r="H66" s="1225"/>
      <c r="I66" s="1225"/>
      <c r="J66" s="1429"/>
      <c r="K66" s="1429"/>
      <c r="L66" s="1429"/>
      <c r="M66" s="1225"/>
      <c r="N66" s="1429"/>
      <c r="O66" s="1429"/>
      <c r="P66" s="1429"/>
      <c r="Q66" s="1429"/>
      <c r="R66" s="1429"/>
      <c r="S66" s="1429"/>
      <c r="T66" s="1215"/>
      <c r="U66" s="1216"/>
      <c r="W66" s="489"/>
    </row>
    <row r="67" spans="1:38" ht="16.5" thickBot="1" x14ac:dyDescent="0.25">
      <c r="A67" s="1424"/>
      <c r="B67" s="1215"/>
      <c r="C67" s="1192" t="s">
        <v>2126</v>
      </c>
      <c r="D67" s="1192"/>
      <c r="E67" s="1192"/>
      <c r="F67" s="1192"/>
      <c r="G67" s="1192"/>
      <c r="H67" s="1225"/>
      <c r="I67" s="1225"/>
      <c r="J67" s="2375">
        <f>'Part 2'!J67</f>
        <v>0</v>
      </c>
      <c r="K67" s="2376"/>
      <c r="L67" s="1429"/>
      <c r="M67" s="1225"/>
      <c r="N67" s="2375">
        <f>'Part 2'!N67</f>
        <v>0</v>
      </c>
      <c r="O67" s="2376"/>
      <c r="P67" s="1429"/>
      <c r="Q67" s="1429"/>
      <c r="R67" s="2445">
        <f>+J67+N67</f>
        <v>0</v>
      </c>
      <c r="S67" s="2446"/>
      <c r="T67" s="1215"/>
      <c r="U67" s="1216"/>
      <c r="W67" s="488">
        <f>IF(+J67+N67-R67=0,0,1)</f>
        <v>0</v>
      </c>
      <c r="Y67" s="1542"/>
      <c r="Z67" s="1543"/>
      <c r="AB67" s="546">
        <f>IF(J67='Part 2'!J67,0,1)</f>
        <v>0</v>
      </c>
      <c r="AF67" s="546">
        <f>IF(N67='Part 2'!N67,0,1)</f>
        <v>0</v>
      </c>
      <c r="AJ67" s="546">
        <f>IF(R67='Part 2'!R67,0,1)</f>
        <v>0</v>
      </c>
      <c r="AL67" s="1536">
        <f>IF(SUM(X67:AK67)&gt;0,1,0)</f>
        <v>0</v>
      </c>
    </row>
    <row r="68" spans="1:38" x14ac:dyDescent="0.2">
      <c r="A68" s="1424"/>
      <c r="B68" s="1215"/>
      <c r="C68" s="1192"/>
      <c r="D68" s="1192"/>
      <c r="E68" s="1192"/>
      <c r="F68" s="1192"/>
      <c r="G68" s="1192"/>
      <c r="H68" s="1225"/>
      <c r="I68" s="1225"/>
      <c r="J68" s="1429"/>
      <c r="K68" s="1429"/>
      <c r="L68" s="1429"/>
      <c r="M68" s="1225"/>
      <c r="N68" s="1429"/>
      <c r="O68" s="1429"/>
      <c r="P68" s="1429"/>
      <c r="Q68" s="1429"/>
      <c r="R68" s="1429"/>
      <c r="S68" s="1429"/>
      <c r="T68" s="1215"/>
      <c r="U68" s="1216"/>
      <c r="W68" s="489"/>
    </row>
    <row r="69" spans="1:38" ht="16.5" thickBot="1" x14ac:dyDescent="0.3">
      <c r="A69" s="1424"/>
      <c r="B69" s="1215"/>
      <c r="C69" s="1271" t="s">
        <v>799</v>
      </c>
      <c r="D69" s="1192"/>
      <c r="E69" s="1192"/>
      <c r="F69" s="1192"/>
      <c r="G69" s="1192"/>
      <c r="H69" s="1225"/>
      <c r="I69" s="1225"/>
      <c r="J69" s="1429"/>
      <c r="K69" s="1429"/>
      <c r="L69" s="1429"/>
      <c r="M69" s="1225"/>
      <c r="N69" s="1429"/>
      <c r="O69" s="1429"/>
      <c r="P69" s="1429"/>
      <c r="Q69" s="1429"/>
      <c r="R69" s="1429"/>
      <c r="S69" s="1429"/>
      <c r="T69" s="1215"/>
      <c r="U69" s="1216"/>
      <c r="W69" s="489"/>
    </row>
    <row r="70" spans="1:38" ht="16.5" thickBot="1" x14ac:dyDescent="0.25">
      <c r="A70" s="1424"/>
      <c r="B70" s="1215"/>
      <c r="C70" s="1192" t="s">
        <v>2127</v>
      </c>
      <c r="D70" s="1192"/>
      <c r="E70" s="1192"/>
      <c r="F70" s="1192"/>
      <c r="G70" s="1192"/>
      <c r="H70" s="1225"/>
      <c r="I70" s="1225"/>
      <c r="J70" s="2375">
        <f>'Part 2'!J70</f>
        <v>0</v>
      </c>
      <c r="K70" s="2376"/>
      <c r="L70" s="1429"/>
      <c r="M70" s="1225"/>
      <c r="N70" s="2375">
        <f>'Part 2'!N70</f>
        <v>0</v>
      </c>
      <c r="O70" s="2376"/>
      <c r="P70" s="1429"/>
      <c r="Q70" s="1429"/>
      <c r="R70" s="2445">
        <f>+J70+N70</f>
        <v>0</v>
      </c>
      <c r="S70" s="2446"/>
      <c r="T70" s="1215"/>
      <c r="U70" s="1216"/>
      <c r="W70" s="488">
        <f>IF(+J70+N70-R70=0,0,1)</f>
        <v>0</v>
      </c>
      <c r="Y70" s="1542"/>
      <c r="Z70" s="1543"/>
      <c r="AB70" s="546">
        <f>IF(J70='Part 2'!J70,0,1)</f>
        <v>0</v>
      </c>
      <c r="AF70" s="546">
        <f>IF(N70='Part 2'!N70,0,1)</f>
        <v>0</v>
      </c>
      <c r="AJ70" s="546">
        <f>IF(R70='Part 2'!R70,0,1)</f>
        <v>0</v>
      </c>
      <c r="AL70" s="1536">
        <f>IF(SUM(X70:AK70)&gt;0,1,0)</f>
        <v>0</v>
      </c>
    </row>
    <row r="71" spans="1:38" ht="15.75" x14ac:dyDescent="0.2">
      <c r="A71" s="1424"/>
      <c r="B71" s="1215"/>
      <c r="C71" s="1225"/>
      <c r="D71" s="1225"/>
      <c r="E71" s="1225"/>
      <c r="F71" s="1225"/>
      <c r="G71" s="1225"/>
      <c r="H71" s="1225"/>
      <c r="I71" s="1225"/>
      <c r="J71" s="1438"/>
      <c r="K71" s="1429"/>
      <c r="L71" s="1429"/>
      <c r="M71" s="1225"/>
      <c r="N71" s="1438"/>
      <c r="O71" s="1429"/>
      <c r="P71" s="1429"/>
      <c r="Q71" s="1429"/>
      <c r="R71" s="1438"/>
      <c r="S71" s="1429"/>
      <c r="T71" s="1215"/>
      <c r="U71" s="1216"/>
      <c r="W71" s="489"/>
    </row>
    <row r="72" spans="1:38" ht="16.5" thickBot="1" x14ac:dyDescent="0.3">
      <c r="A72" s="1424"/>
      <c r="B72" s="1215"/>
      <c r="C72" s="1274" t="s">
        <v>818</v>
      </c>
      <c r="D72" s="1225"/>
      <c r="E72" s="1225"/>
      <c r="F72" s="1225"/>
      <c r="G72" s="1225"/>
      <c r="H72" s="1225"/>
      <c r="I72" s="1225"/>
      <c r="J72" s="1429"/>
      <c r="K72" s="1429"/>
      <c r="L72" s="1429"/>
      <c r="M72" s="1225"/>
      <c r="N72" s="1429"/>
      <c r="O72" s="1429"/>
      <c r="P72" s="1429"/>
      <c r="Q72" s="1429"/>
      <c r="R72" s="1429"/>
      <c r="S72" s="1429"/>
      <c r="T72" s="1215"/>
      <c r="U72" s="1216"/>
      <c r="W72" s="489"/>
    </row>
    <row r="73" spans="1:38" ht="16.5" thickBot="1" x14ac:dyDescent="0.25">
      <c r="A73" s="1424"/>
      <c r="B73" s="1215"/>
      <c r="C73" s="1192" t="s">
        <v>2128</v>
      </c>
      <c r="D73" s="1225"/>
      <c r="E73" s="1225"/>
      <c r="F73" s="1225"/>
      <c r="G73" s="1225"/>
      <c r="H73" s="1225"/>
      <c r="I73" s="1225"/>
      <c r="J73" s="2375">
        <f>'Part 2'!J73</f>
        <v>0</v>
      </c>
      <c r="K73" s="2376"/>
      <c r="L73" s="1429"/>
      <c r="M73" s="1225"/>
      <c r="N73" s="2375">
        <f>'Part 2'!N73</f>
        <v>0</v>
      </c>
      <c r="O73" s="2376"/>
      <c r="P73" s="1429"/>
      <c r="Q73" s="1429"/>
      <c r="R73" s="2445">
        <f>+J73+N73</f>
        <v>0</v>
      </c>
      <c r="S73" s="2446"/>
      <c r="T73" s="1215"/>
      <c r="U73" s="1216"/>
      <c r="W73" s="488">
        <f>IF(+J73+N73-R73=0,0,1)</f>
        <v>0</v>
      </c>
      <c r="Y73" s="1542"/>
      <c r="Z73" s="1543"/>
      <c r="AB73" s="546">
        <f>IF(J73='Part 2'!J73,0,1)</f>
        <v>0</v>
      </c>
      <c r="AF73" s="546">
        <f>IF(N73='Part 2'!N73,0,1)</f>
        <v>0</v>
      </c>
      <c r="AJ73" s="546">
        <f>IF(R73='Part 2'!R73,0,1)</f>
        <v>0</v>
      </c>
      <c r="AL73" s="1536">
        <f>IF(SUM(X73:AK73)&gt;0,1,0)</f>
        <v>0</v>
      </c>
    </row>
    <row r="74" spans="1:38" ht="16.5" thickBot="1" x14ac:dyDescent="0.25">
      <c r="A74" s="1484"/>
      <c r="B74" s="1345"/>
      <c r="C74" s="1344"/>
      <c r="D74" s="1344"/>
      <c r="E74" s="1344"/>
      <c r="F74" s="1344"/>
      <c r="G74" s="1344"/>
      <c r="H74" s="1344"/>
      <c r="I74" s="1344"/>
      <c r="J74" s="1485"/>
      <c r="K74" s="1486"/>
      <c r="L74" s="1486"/>
      <c r="M74" s="1486"/>
      <c r="N74" s="1485"/>
      <c r="O74" s="1486"/>
      <c r="P74" s="1486"/>
      <c r="Q74" s="1486"/>
      <c r="R74" s="1485"/>
      <c r="S74" s="1486"/>
      <c r="T74" s="1345"/>
      <c r="U74" s="1487"/>
      <c r="W74" s="489"/>
    </row>
    <row r="75" spans="1:38" ht="16.5" thickBot="1" x14ac:dyDescent="0.25">
      <c r="A75" s="1424"/>
      <c r="B75" s="1215"/>
      <c r="C75" s="1225"/>
      <c r="D75" s="1225"/>
      <c r="E75" s="1225"/>
      <c r="F75" s="1225"/>
      <c r="G75" s="1225"/>
      <c r="H75" s="1225"/>
      <c r="I75" s="1225"/>
      <c r="J75" s="1438"/>
      <c r="K75" s="1429"/>
      <c r="L75" s="1429"/>
      <c r="M75" s="1429"/>
      <c r="N75" s="1438"/>
      <c r="O75" s="1429"/>
      <c r="P75" s="1429"/>
      <c r="Q75" s="1429"/>
      <c r="R75" s="1438"/>
      <c r="S75" s="1429"/>
      <c r="T75" s="1215"/>
      <c r="U75" s="1216"/>
      <c r="W75" s="489"/>
    </row>
    <row r="76" spans="1:38" ht="16.5" thickBot="1" x14ac:dyDescent="0.25">
      <c r="A76" s="1424"/>
      <c r="B76" s="1488"/>
      <c r="C76" s="1489"/>
      <c r="D76" s="1489"/>
      <c r="E76" s="1489"/>
      <c r="F76" s="1489"/>
      <c r="G76" s="1489"/>
      <c r="H76" s="1489"/>
      <c r="I76" s="1489"/>
      <c r="J76" s="1490"/>
      <c r="K76" s="1491"/>
      <c r="L76" s="1491"/>
      <c r="M76" s="1491"/>
      <c r="N76" s="1490"/>
      <c r="O76" s="1491"/>
      <c r="P76" s="1491"/>
      <c r="Q76" s="1491"/>
      <c r="R76" s="1490"/>
      <c r="S76" s="1491"/>
      <c r="T76" s="1492"/>
      <c r="U76" s="1216"/>
      <c r="W76" s="489"/>
    </row>
    <row r="77" spans="1:38" ht="16.5" thickBot="1" x14ac:dyDescent="0.25">
      <c r="A77" s="1424"/>
      <c r="B77" s="1493"/>
      <c r="C77" s="1225"/>
      <c r="D77" s="1225"/>
      <c r="E77" s="1225"/>
      <c r="F77" s="1225"/>
      <c r="G77" s="1225"/>
      <c r="H77" s="1225"/>
      <c r="I77" s="1494"/>
      <c r="J77" s="1495"/>
      <c r="K77" s="1496"/>
      <c r="L77" s="1497"/>
      <c r="M77" s="1496"/>
      <c r="N77" s="1495"/>
      <c r="O77" s="1496"/>
      <c r="P77" s="1497"/>
      <c r="Q77" s="1496"/>
      <c r="R77" s="1495"/>
      <c r="S77" s="1496"/>
      <c r="T77" s="1498"/>
      <c r="U77" s="1216"/>
      <c r="W77" s="489"/>
    </row>
    <row r="78" spans="1:38" ht="16.5" thickBot="1" x14ac:dyDescent="0.25">
      <c r="A78" s="1424"/>
      <c r="B78" s="1493"/>
      <c r="C78" s="2408" t="s">
        <v>2129</v>
      </c>
      <c r="D78" s="2408"/>
      <c r="E78" s="2408"/>
      <c r="F78" s="2408"/>
      <c r="G78" s="2408"/>
      <c r="H78" s="1225"/>
      <c r="I78" s="1499"/>
      <c r="J78" s="2445">
        <f>+J64+J67+J70+J73</f>
        <v>0</v>
      </c>
      <c r="K78" s="2463"/>
      <c r="L78" s="1436"/>
      <c r="M78" s="1225"/>
      <c r="N78" s="2445">
        <f>+N64+N67+N70+N73</f>
        <v>0</v>
      </c>
      <c r="O78" s="2463"/>
      <c r="P78" s="1436"/>
      <c r="Q78" s="1429"/>
      <c r="R78" s="1429"/>
      <c r="S78" s="1429"/>
      <c r="T78" s="1456"/>
      <c r="U78" s="1216"/>
      <c r="W78" s="488">
        <f>IF(+J78+J81-J85=0,0,1)</f>
        <v>0</v>
      </c>
      <c r="Y78" s="1542"/>
      <c r="Z78" s="1543"/>
      <c r="AB78" s="546">
        <f>IF(J78='Part 2'!J78,0,1)</f>
        <v>0</v>
      </c>
      <c r="AF78" s="546">
        <f>IF(N78='Part 2'!N78,0,1)</f>
        <v>0</v>
      </c>
      <c r="AJ78" s="546">
        <f>IF(R78='Part 2'!R78,0,1)</f>
        <v>0</v>
      </c>
      <c r="AL78" s="1536">
        <f>IF(SUM(X78:AK78)&gt;0,1,0)</f>
        <v>0</v>
      </c>
    </row>
    <row r="79" spans="1:38" ht="15.75" x14ac:dyDescent="0.2">
      <c r="A79" s="1424"/>
      <c r="B79" s="1493"/>
      <c r="C79" s="2408"/>
      <c r="D79" s="2408"/>
      <c r="E79" s="2408"/>
      <c r="F79" s="2408"/>
      <c r="G79" s="2408"/>
      <c r="H79" s="1225"/>
      <c r="I79" s="1499"/>
      <c r="J79" s="1438"/>
      <c r="K79" s="1429"/>
      <c r="L79" s="1436"/>
      <c r="M79" s="1225"/>
      <c r="N79" s="1438"/>
      <c r="O79" s="1429"/>
      <c r="P79" s="1436"/>
      <c r="Q79" s="1429"/>
      <c r="R79" s="1429"/>
      <c r="S79" s="1429"/>
      <c r="T79" s="1456"/>
      <c r="U79" s="1216"/>
      <c r="W79" s="488"/>
    </row>
    <row r="80" spans="1:38" ht="16.5" thickBot="1" x14ac:dyDescent="0.25">
      <c r="A80" s="1424"/>
      <c r="B80" s="1493"/>
      <c r="C80" s="1225"/>
      <c r="D80" s="1225"/>
      <c r="E80" s="1225"/>
      <c r="F80" s="1225"/>
      <c r="G80" s="1225"/>
      <c r="H80" s="1225"/>
      <c r="I80" s="1499"/>
      <c r="J80" s="1438"/>
      <c r="K80" s="1429"/>
      <c r="L80" s="1436"/>
      <c r="M80" s="1225"/>
      <c r="N80" s="1438"/>
      <c r="O80" s="1429"/>
      <c r="P80" s="1436"/>
      <c r="Q80" s="1429"/>
      <c r="R80" s="1429"/>
      <c r="S80" s="1429"/>
      <c r="T80" s="1456"/>
      <c r="U80" s="1216"/>
      <c r="W80" s="488"/>
    </row>
    <row r="81" spans="1:38" ht="16.5" customHeight="1" thickBot="1" x14ac:dyDescent="0.25">
      <c r="A81" s="1424"/>
      <c r="B81" s="1493"/>
      <c r="C81" s="2384" t="s">
        <v>1040</v>
      </c>
      <c r="D81" s="2464"/>
      <c r="E81" s="2464"/>
      <c r="F81" s="2464"/>
      <c r="G81" s="2464"/>
      <c r="H81" s="1225"/>
      <c r="I81" s="1499"/>
      <c r="J81" s="2375">
        <f>'Part 2'!J81</f>
        <v>0</v>
      </c>
      <c r="K81" s="2376"/>
      <c r="L81" s="1436"/>
      <c r="M81" s="1225"/>
      <c r="N81" s="2375">
        <f>'Part 2'!N81</f>
        <v>0</v>
      </c>
      <c r="O81" s="2376"/>
      <c r="P81" s="1436"/>
      <c r="Q81" s="1429"/>
      <c r="R81" s="1429"/>
      <c r="S81" s="1429"/>
      <c r="T81" s="1456"/>
      <c r="U81" s="1216"/>
      <c r="W81" s="488">
        <f>IF(+N78+N81-N85=0,0,1)</f>
        <v>0</v>
      </c>
      <c r="Y81" s="1542"/>
      <c r="Z81" s="1543"/>
      <c r="AB81" s="546">
        <f>IF(J81='Part 2'!J81,0,1)</f>
        <v>0</v>
      </c>
      <c r="AF81" s="546">
        <f>IF(N81='Part 2'!N81,0,1)</f>
        <v>0</v>
      </c>
      <c r="AJ81" s="546">
        <f>IF(R81='Part 2'!R81,0,1)</f>
        <v>0</v>
      </c>
      <c r="AL81" s="1536">
        <f>IF(SUM(X81:AK81)&gt;0,1,0)</f>
        <v>0</v>
      </c>
    </row>
    <row r="82" spans="1:38" ht="15.75" customHeight="1" x14ac:dyDescent="0.2">
      <c r="A82" s="1424"/>
      <c r="B82" s="1493"/>
      <c r="C82" s="2464"/>
      <c r="D82" s="2464"/>
      <c r="E82" s="2464"/>
      <c r="F82" s="2464"/>
      <c r="G82" s="2464"/>
      <c r="H82" s="1225"/>
      <c r="I82" s="1499"/>
      <c r="J82" s="1438"/>
      <c r="K82" s="1429"/>
      <c r="L82" s="1436"/>
      <c r="M82" s="1225"/>
      <c r="N82" s="1438"/>
      <c r="O82" s="1429"/>
      <c r="P82" s="1436"/>
      <c r="Q82" s="1429"/>
      <c r="R82" s="1438"/>
      <c r="S82" s="1429"/>
      <c r="T82" s="1456"/>
      <c r="U82" s="1216"/>
      <c r="W82" s="489"/>
    </row>
    <row r="83" spans="1:38" ht="15.75" customHeight="1" x14ac:dyDescent="0.2">
      <c r="A83" s="1424"/>
      <c r="B83" s="1493"/>
      <c r="C83" s="2464"/>
      <c r="D83" s="2464"/>
      <c r="E83" s="2464"/>
      <c r="F83" s="2464"/>
      <c r="G83" s="2464"/>
      <c r="H83" s="1225"/>
      <c r="I83" s="1499"/>
      <c r="J83" s="1438"/>
      <c r="K83" s="1429"/>
      <c r="L83" s="1436"/>
      <c r="M83" s="1225"/>
      <c r="N83" s="1438"/>
      <c r="O83" s="1429"/>
      <c r="P83" s="1436"/>
      <c r="Q83" s="1429"/>
      <c r="R83" s="1438"/>
      <c r="S83" s="1429"/>
      <c r="T83" s="1456"/>
      <c r="U83" s="1216"/>
      <c r="W83" s="489"/>
    </row>
    <row r="84" spans="1:38" ht="16.5" thickBot="1" x14ac:dyDescent="0.25">
      <c r="A84" s="1424"/>
      <c r="B84" s="1493"/>
      <c r="C84" s="1500"/>
      <c r="D84" s="1500"/>
      <c r="E84" s="1500"/>
      <c r="F84" s="1500"/>
      <c r="G84" s="1500"/>
      <c r="H84" s="1225"/>
      <c r="I84" s="1499"/>
      <c r="J84" s="1438"/>
      <c r="K84" s="1429"/>
      <c r="L84" s="1436"/>
      <c r="M84" s="1225"/>
      <c r="N84" s="1438"/>
      <c r="O84" s="1429"/>
      <c r="P84" s="1436"/>
      <c r="Q84" s="1429"/>
      <c r="R84" s="1438"/>
      <c r="S84" s="1429"/>
      <c r="T84" s="1456"/>
      <c r="U84" s="1216"/>
      <c r="W84" s="489"/>
    </row>
    <row r="85" spans="1:38" ht="16.5" thickBot="1" x14ac:dyDescent="0.25">
      <c r="A85" s="1424"/>
      <c r="B85" s="1493"/>
      <c r="C85" s="2460" t="s">
        <v>2130</v>
      </c>
      <c r="D85" s="2455"/>
      <c r="E85" s="2455"/>
      <c r="F85" s="2455"/>
      <c r="G85" s="2455"/>
      <c r="H85" s="1225"/>
      <c r="I85" s="1499"/>
      <c r="J85" s="2445">
        <f>+J78+J81</f>
        <v>0</v>
      </c>
      <c r="K85" s="2463"/>
      <c r="L85" s="1436"/>
      <c r="M85" s="1225"/>
      <c r="N85" s="2445">
        <f>+N78+N81</f>
        <v>0</v>
      </c>
      <c r="O85" s="2463"/>
      <c r="P85" s="1436"/>
      <c r="Q85" s="1429"/>
      <c r="R85" s="2445">
        <f>+J85+N85</f>
        <v>0</v>
      </c>
      <c r="S85" s="2446"/>
      <c r="T85" s="1456"/>
      <c r="U85" s="1216"/>
      <c r="W85" s="488">
        <f>IF(+J85+N85-R85=0,0,1)</f>
        <v>0</v>
      </c>
      <c r="Y85" s="1542"/>
      <c r="Z85" s="1543"/>
      <c r="AB85" s="546">
        <f>IF(J85='Part 2'!J85,0,1)</f>
        <v>0</v>
      </c>
      <c r="AF85" s="546">
        <f>IF(N85='Part 2'!N85,0,1)</f>
        <v>0</v>
      </c>
      <c r="AJ85" s="546">
        <f>IF(R85='Part 2'!R85,0,1)</f>
        <v>0</v>
      </c>
      <c r="AL85" s="1536">
        <f>IF(SUM(X85:AK85)&gt;0,1,0)</f>
        <v>0</v>
      </c>
    </row>
    <row r="86" spans="1:38" ht="16.5" thickBot="1" x14ac:dyDescent="0.25">
      <c r="A86" s="1424"/>
      <c r="B86" s="1493"/>
      <c r="C86" s="2454"/>
      <c r="D86" s="2454"/>
      <c r="E86" s="2454"/>
      <c r="F86" s="2454"/>
      <c r="G86" s="2454"/>
      <c r="H86" s="1225"/>
      <c r="I86" s="1501"/>
      <c r="J86" s="1502"/>
      <c r="K86" s="1503"/>
      <c r="L86" s="1504"/>
      <c r="M86" s="1502"/>
      <c r="N86" s="1502"/>
      <c r="O86" s="1503"/>
      <c r="P86" s="1504"/>
      <c r="Q86" s="1503"/>
      <c r="R86" s="1502"/>
      <c r="S86" s="1503"/>
      <c r="T86" s="1462"/>
      <c r="U86" s="1216"/>
      <c r="W86" s="489"/>
    </row>
    <row r="87" spans="1:38" ht="16.5" thickBot="1" x14ac:dyDescent="0.25">
      <c r="A87" s="1424"/>
      <c r="B87" s="1505"/>
      <c r="C87" s="1506"/>
      <c r="D87" s="1506"/>
      <c r="E87" s="1506"/>
      <c r="F87" s="1506"/>
      <c r="G87" s="1506"/>
      <c r="H87" s="1506"/>
      <c r="I87" s="1506"/>
      <c r="J87" s="1507"/>
      <c r="K87" s="1508"/>
      <c r="L87" s="1508"/>
      <c r="M87" s="1508"/>
      <c r="N87" s="1507"/>
      <c r="O87" s="1508"/>
      <c r="P87" s="1508"/>
      <c r="Q87" s="1508"/>
      <c r="R87" s="1507"/>
      <c r="S87" s="1507"/>
      <c r="T87" s="1509"/>
      <c r="U87" s="1216"/>
      <c r="W87" s="489"/>
    </row>
    <row r="88" spans="1:38" ht="16.5" thickBot="1" x14ac:dyDescent="0.25">
      <c r="A88" s="1484"/>
      <c r="B88" s="1345"/>
      <c r="C88" s="1344"/>
      <c r="D88" s="1344"/>
      <c r="E88" s="1344"/>
      <c r="F88" s="1344"/>
      <c r="G88" s="1344"/>
      <c r="H88" s="1344"/>
      <c r="I88" s="1344"/>
      <c r="J88" s="1485"/>
      <c r="K88" s="1486"/>
      <c r="L88" s="1486"/>
      <c r="M88" s="1486"/>
      <c r="N88" s="1485"/>
      <c r="O88" s="1486"/>
      <c r="P88" s="1486"/>
      <c r="Q88" s="1486"/>
      <c r="R88" s="1485"/>
      <c r="S88" s="1486"/>
      <c r="T88" s="1345"/>
      <c r="U88" s="1487"/>
      <c r="W88" s="489"/>
    </row>
    <row r="89" spans="1:38" ht="15.75" hidden="1" customHeight="1" x14ac:dyDescent="0.2">
      <c r="A89" s="1424"/>
      <c r="B89" s="1215"/>
      <c r="C89" s="1225"/>
      <c r="D89" s="1225"/>
      <c r="E89" s="1225"/>
      <c r="F89" s="1225"/>
      <c r="G89" s="1225"/>
      <c r="H89" s="1225"/>
      <c r="I89" s="1225"/>
      <c r="J89" s="1438"/>
      <c r="K89" s="1429"/>
      <c r="L89" s="1429"/>
      <c r="M89" s="1225"/>
      <c r="N89" s="1438"/>
      <c r="O89" s="1429"/>
      <c r="P89" s="1429"/>
      <c r="Q89" s="1429"/>
      <c r="R89" s="1438"/>
      <c r="S89" s="1429"/>
      <c r="T89" s="1215"/>
      <c r="U89" s="1216"/>
      <c r="W89" s="489"/>
    </row>
    <row r="90" spans="1:38" ht="15.75" x14ac:dyDescent="0.25">
      <c r="A90" s="1424"/>
      <c r="B90" s="1215"/>
      <c r="C90" s="1271" t="s">
        <v>1074</v>
      </c>
      <c r="D90" s="1225"/>
      <c r="E90" s="1225"/>
      <c r="F90" s="1225"/>
      <c r="G90" s="1225"/>
      <c r="H90" s="1225"/>
      <c r="I90" s="1225"/>
      <c r="J90" s="1429"/>
      <c r="K90" s="1429"/>
      <c r="L90" s="1429"/>
      <c r="M90" s="1225"/>
      <c r="N90" s="1429"/>
      <c r="O90" s="1429"/>
      <c r="P90" s="1429"/>
      <c r="Q90" s="1429"/>
      <c r="R90" s="1429"/>
      <c r="S90" s="1429"/>
      <c r="T90" s="1215"/>
      <c r="U90" s="1216"/>
      <c r="W90" s="489"/>
    </row>
    <row r="91" spans="1:38" x14ac:dyDescent="0.2">
      <c r="A91" s="1424"/>
      <c r="B91" s="1215"/>
      <c r="C91" s="1225"/>
      <c r="D91" s="1225"/>
      <c r="E91" s="1225"/>
      <c r="F91" s="1225"/>
      <c r="G91" s="1225"/>
      <c r="H91" s="1225"/>
      <c r="I91" s="1225"/>
      <c r="J91" s="1429"/>
      <c r="K91" s="1429"/>
      <c r="L91" s="1429"/>
      <c r="M91" s="1225"/>
      <c r="N91" s="1429"/>
      <c r="O91" s="1429"/>
      <c r="P91" s="1429"/>
      <c r="Q91" s="1429"/>
      <c r="R91" s="1429"/>
      <c r="S91" s="1429"/>
      <c r="T91" s="1215"/>
      <c r="U91" s="1216"/>
      <c r="W91" s="489"/>
    </row>
    <row r="92" spans="1:38" ht="16.5" thickBot="1" x14ac:dyDescent="0.3">
      <c r="A92" s="1424"/>
      <c r="B92" s="1215"/>
      <c r="C92" s="1271" t="s">
        <v>589</v>
      </c>
      <c r="D92" s="1192"/>
      <c r="E92" s="1192"/>
      <c r="F92" s="1192"/>
      <c r="G92" s="1192"/>
      <c r="H92" s="1225"/>
      <c r="I92" s="1225"/>
      <c r="J92" s="1429"/>
      <c r="K92" s="1429"/>
      <c r="L92" s="1429"/>
      <c r="M92" s="1225"/>
      <c r="N92" s="1429"/>
      <c r="O92" s="1429"/>
      <c r="P92" s="1429"/>
      <c r="Q92" s="1429"/>
      <c r="R92" s="1429"/>
      <c r="S92" s="1429"/>
      <c r="T92" s="1215"/>
      <c r="U92" s="1216"/>
      <c r="W92" s="489"/>
    </row>
    <row r="93" spans="1:38" ht="16.5" thickBot="1" x14ac:dyDescent="0.25">
      <c r="A93" s="1424"/>
      <c r="B93" s="1215"/>
      <c r="C93" s="1192" t="s">
        <v>2131</v>
      </c>
      <c r="D93" s="1192"/>
      <c r="E93" s="1192"/>
      <c r="F93" s="1192"/>
      <c r="G93" s="1192"/>
      <c r="H93" s="1225"/>
      <c r="I93" s="1225"/>
      <c r="J93" s="2375">
        <f>'Part 2'!J93</f>
        <v>0</v>
      </c>
      <c r="K93" s="2376"/>
      <c r="L93" s="1429"/>
      <c r="M93" s="1225"/>
      <c r="N93" s="2375">
        <f>'Part 2'!N93</f>
        <v>0</v>
      </c>
      <c r="O93" s="2376"/>
      <c r="P93" s="1429"/>
      <c r="Q93" s="1429"/>
      <c r="R93" s="2445">
        <f>+J93+N93</f>
        <v>0</v>
      </c>
      <c r="S93" s="2463"/>
      <c r="T93" s="1215"/>
      <c r="U93" s="1216"/>
      <c r="W93" s="488">
        <f>IF(+J93+N93-R93=0,0,1)</f>
        <v>0</v>
      </c>
      <c r="Y93" s="1542"/>
      <c r="Z93" s="1543"/>
      <c r="AB93" s="546">
        <f>IF(J93='Part 2'!J93,0,1)</f>
        <v>0</v>
      </c>
      <c r="AF93" s="546">
        <f>IF(N93='Part 2'!N93,0,1)</f>
        <v>0</v>
      </c>
      <c r="AJ93" s="546">
        <f>IF(R93='Part 2'!R93,0,1)</f>
        <v>0</v>
      </c>
      <c r="AL93" s="1536">
        <f>IF(SUM(X93:AK93)&gt;0,1,0)</f>
        <v>0</v>
      </c>
    </row>
    <row r="94" spans="1:38" ht="15" customHeight="1" x14ac:dyDescent="0.2">
      <c r="A94" s="1424"/>
      <c r="B94" s="1215"/>
      <c r="C94" s="1192"/>
      <c r="D94" s="1192"/>
      <c r="E94" s="1192"/>
      <c r="F94" s="1192"/>
      <c r="G94" s="1192"/>
      <c r="H94" s="1225"/>
      <c r="I94" s="1225"/>
      <c r="J94" s="1429"/>
      <c r="K94" s="1429"/>
      <c r="L94" s="1429"/>
      <c r="M94" s="1429"/>
      <c r="N94" s="1429"/>
      <c r="O94" s="1429"/>
      <c r="P94" s="1429"/>
      <c r="Q94" s="1429"/>
      <c r="R94" s="1429"/>
      <c r="S94" s="1429"/>
      <c r="T94" s="1215"/>
      <c r="U94" s="1216"/>
      <c r="W94" s="489"/>
    </row>
    <row r="95" spans="1:38" ht="16.5" thickBot="1" x14ac:dyDescent="0.3">
      <c r="A95" s="1424"/>
      <c r="B95" s="1215"/>
      <c r="C95" s="1271" t="s">
        <v>590</v>
      </c>
      <c r="D95" s="1192"/>
      <c r="E95" s="1192"/>
      <c r="F95" s="1192"/>
      <c r="G95" s="1192"/>
      <c r="H95" s="1225"/>
      <c r="I95" s="1225"/>
      <c r="J95" s="1429"/>
      <c r="K95" s="1429"/>
      <c r="L95" s="1429"/>
      <c r="M95" s="1429"/>
      <c r="N95" s="1429"/>
      <c r="O95" s="1429"/>
      <c r="P95" s="1429"/>
      <c r="Q95" s="1429"/>
      <c r="R95" s="1429"/>
      <c r="S95" s="1429"/>
      <c r="T95" s="1215"/>
      <c r="U95" s="1216"/>
      <c r="W95" s="489"/>
    </row>
    <row r="96" spans="1:38" ht="16.5" customHeight="1" thickBot="1" x14ac:dyDescent="0.25">
      <c r="A96" s="1424"/>
      <c r="B96" s="1215"/>
      <c r="C96" s="1192" t="s">
        <v>2132</v>
      </c>
      <c r="D96" s="1192"/>
      <c r="E96" s="1192"/>
      <c r="F96" s="1192"/>
      <c r="G96" s="1192"/>
      <c r="H96" s="1225"/>
      <c r="I96" s="1225"/>
      <c r="J96" s="2375">
        <f>'Part 2'!J96</f>
        <v>0</v>
      </c>
      <c r="K96" s="2376"/>
      <c r="L96" s="1429"/>
      <c r="M96" s="1225"/>
      <c r="N96" s="2375">
        <f>'Part 2'!N96</f>
        <v>0</v>
      </c>
      <c r="O96" s="2376"/>
      <c r="P96" s="1429"/>
      <c r="Q96" s="1429"/>
      <c r="R96" s="2445">
        <f>+J96+N96</f>
        <v>0</v>
      </c>
      <c r="S96" s="2446"/>
      <c r="T96" s="1215"/>
      <c r="U96" s="1216"/>
      <c r="W96" s="488">
        <f>IF(+J96+N96-R96=0,0,1)</f>
        <v>0</v>
      </c>
      <c r="Y96" s="1542"/>
      <c r="Z96" s="1543"/>
      <c r="AB96" s="546">
        <f>IF(J96='Part 2'!J96,0,1)</f>
        <v>0</v>
      </c>
      <c r="AF96" s="546">
        <f>IF(N96='Part 2'!N96,0,1)</f>
        <v>0</v>
      </c>
      <c r="AJ96" s="546">
        <f>IF(R96='Part 2'!R96,0,1)</f>
        <v>0</v>
      </c>
      <c r="AL96" s="1536">
        <f>IF(SUM(X96:AK96)&gt;0,1,0)</f>
        <v>0</v>
      </c>
    </row>
    <row r="97" spans="1:38" ht="15" customHeight="1" x14ac:dyDescent="0.2">
      <c r="A97" s="1424"/>
      <c r="B97" s="1215"/>
      <c r="C97" s="1192"/>
      <c r="D97" s="1192"/>
      <c r="E97" s="1192"/>
      <c r="F97" s="1192"/>
      <c r="G97" s="1192"/>
      <c r="H97" s="1225"/>
      <c r="I97" s="1425"/>
      <c r="J97" s="1429"/>
      <c r="K97" s="1429"/>
      <c r="L97" s="1429"/>
      <c r="M97" s="1429"/>
      <c r="N97" s="1429"/>
      <c r="O97" s="1429"/>
      <c r="P97" s="1429"/>
      <c r="Q97" s="1429"/>
      <c r="R97" s="1429"/>
      <c r="S97" s="1429"/>
      <c r="T97" s="1215"/>
      <c r="U97" s="1216"/>
      <c r="W97" s="489"/>
    </row>
    <row r="98" spans="1:38" ht="16.5" thickBot="1" x14ac:dyDescent="0.25">
      <c r="A98" s="1424"/>
      <c r="B98" s="1215"/>
      <c r="C98" s="1192"/>
      <c r="D98" s="1192"/>
      <c r="E98" s="1192"/>
      <c r="F98" s="1192"/>
      <c r="G98" s="1192"/>
      <c r="H98" s="1225"/>
      <c r="I98" s="1225"/>
      <c r="J98" s="1438"/>
      <c r="K98" s="1438"/>
      <c r="L98" s="1438"/>
      <c r="M98" s="1438"/>
      <c r="N98" s="1438"/>
      <c r="O98" s="1438"/>
      <c r="P98" s="1438"/>
      <c r="Q98" s="1429"/>
      <c r="R98" s="1438"/>
      <c r="S98" s="1429"/>
      <c r="T98" s="1215"/>
      <c r="U98" s="1216"/>
      <c r="W98" s="489"/>
    </row>
    <row r="99" spans="1:38" ht="16.5" thickBot="1" x14ac:dyDescent="0.25">
      <c r="A99" s="1424"/>
      <c r="B99" s="1488"/>
      <c r="C99" s="1510"/>
      <c r="D99" s="1510"/>
      <c r="E99" s="1510"/>
      <c r="F99" s="1510"/>
      <c r="G99" s="1510"/>
      <c r="H99" s="1489"/>
      <c r="I99" s="1489"/>
      <c r="J99" s="1490"/>
      <c r="K99" s="1490"/>
      <c r="L99" s="1490"/>
      <c r="M99" s="1490"/>
      <c r="N99" s="1490"/>
      <c r="O99" s="1490"/>
      <c r="P99" s="1490"/>
      <c r="Q99" s="1491"/>
      <c r="R99" s="1490"/>
      <c r="S99" s="1491"/>
      <c r="T99" s="1492"/>
      <c r="U99" s="1216"/>
      <c r="W99" s="489"/>
    </row>
    <row r="100" spans="1:38" ht="16.5" thickBot="1" x14ac:dyDescent="0.25">
      <c r="A100" s="1424"/>
      <c r="B100" s="1493"/>
      <c r="C100" s="2408" t="s">
        <v>2133</v>
      </c>
      <c r="D100" s="2408"/>
      <c r="E100" s="2408"/>
      <c r="F100" s="2408"/>
      <c r="G100" s="2408"/>
      <c r="H100" s="1225"/>
      <c r="I100" s="1225"/>
      <c r="J100" s="2445">
        <f>+J93+J96</f>
        <v>0</v>
      </c>
      <c r="K100" s="2446"/>
      <c r="L100" s="1429"/>
      <c r="M100" s="1225"/>
      <c r="N100" s="2445">
        <f>+N93+N96</f>
        <v>0</v>
      </c>
      <c r="O100" s="2446"/>
      <c r="P100" s="1429"/>
      <c r="Q100" s="1429"/>
      <c r="R100" s="1429"/>
      <c r="S100" s="1429"/>
      <c r="T100" s="1511"/>
      <c r="U100" s="1216"/>
      <c r="W100" s="488">
        <f>IF(+J100+J103-J107=0,0,1)</f>
        <v>0</v>
      </c>
      <c r="Y100" s="1542"/>
      <c r="Z100" s="1543"/>
      <c r="AB100" s="546">
        <f>IF(J100='Part 2'!J100,0,1)</f>
        <v>0</v>
      </c>
      <c r="AF100" s="546">
        <f>IF(N100='Part 2'!N100,0,1)</f>
        <v>0</v>
      </c>
      <c r="AJ100" s="546">
        <f>IF(R100='Part 2'!R100,0,1)</f>
        <v>0</v>
      </c>
      <c r="AL100" s="1536">
        <f>IF(SUM(X100:AK100)&gt;0,1,0)</f>
        <v>0</v>
      </c>
    </row>
    <row r="101" spans="1:38" ht="15.75" x14ac:dyDescent="0.2">
      <c r="A101" s="1424"/>
      <c r="B101" s="1493"/>
      <c r="C101" s="2408"/>
      <c r="D101" s="2408"/>
      <c r="E101" s="2408"/>
      <c r="F101" s="2408"/>
      <c r="G101" s="2408"/>
      <c r="H101" s="1225"/>
      <c r="I101" s="1225"/>
      <c r="J101" s="1438"/>
      <c r="K101" s="1429"/>
      <c r="L101" s="1429"/>
      <c r="M101" s="1429"/>
      <c r="N101" s="1438"/>
      <c r="O101" s="1429"/>
      <c r="P101" s="1429"/>
      <c r="Q101" s="1429"/>
      <c r="R101" s="1429"/>
      <c r="S101" s="1429"/>
      <c r="T101" s="1511"/>
      <c r="U101" s="1216"/>
      <c r="W101" s="488"/>
    </row>
    <row r="102" spans="1:38" ht="16.5" thickBot="1" x14ac:dyDescent="0.25">
      <c r="A102" s="1424"/>
      <c r="B102" s="1493"/>
      <c r="C102" s="1276"/>
      <c r="D102" s="1276"/>
      <c r="E102" s="1276"/>
      <c r="F102" s="1276"/>
      <c r="G102" s="1276"/>
      <c r="H102" s="1225"/>
      <c r="I102" s="1225"/>
      <c r="J102" s="1438"/>
      <c r="K102" s="1429"/>
      <c r="L102" s="1429"/>
      <c r="M102" s="1429"/>
      <c r="N102" s="1438"/>
      <c r="O102" s="1429"/>
      <c r="P102" s="1429"/>
      <c r="Q102" s="1429"/>
      <c r="R102" s="1429"/>
      <c r="S102" s="1429"/>
      <c r="T102" s="1511"/>
      <c r="U102" s="1216"/>
      <c r="W102" s="488"/>
      <c r="Z102" s="1543"/>
    </row>
    <row r="103" spans="1:38" ht="15.75" customHeight="1" thickBot="1" x14ac:dyDescent="0.25">
      <c r="A103" s="1424"/>
      <c r="B103" s="1493"/>
      <c r="C103" s="2456" t="s">
        <v>1026</v>
      </c>
      <c r="D103" s="2456"/>
      <c r="E103" s="2456"/>
      <c r="F103" s="2456"/>
      <c r="G103" s="2456"/>
      <c r="H103" s="1225"/>
      <c r="I103" s="1225"/>
      <c r="J103" s="2375">
        <f>'Part 2'!J103</f>
        <v>0</v>
      </c>
      <c r="K103" s="2376"/>
      <c r="L103" s="1429"/>
      <c r="M103" s="1225"/>
      <c r="N103" s="2375">
        <f>'Part 2'!N103</f>
        <v>0</v>
      </c>
      <c r="O103" s="2376"/>
      <c r="P103" s="1429"/>
      <c r="Q103" s="1429"/>
      <c r="R103" s="1429"/>
      <c r="S103" s="1429"/>
      <c r="T103" s="1511"/>
      <c r="U103" s="1216"/>
      <c r="W103" s="488">
        <f>IF(+N100+N103-N107=0,0,1)</f>
        <v>0</v>
      </c>
      <c r="Y103" s="1542"/>
      <c r="Z103" s="1543"/>
      <c r="AB103" s="546">
        <f>IF(J103='Part 2'!J103,0,1)</f>
        <v>0</v>
      </c>
      <c r="AF103" s="546">
        <f>IF(N103='Part 2'!N103,0,1)</f>
        <v>0</v>
      </c>
      <c r="AJ103" s="546">
        <f>IF(R103='Part 2'!R103,0,1)</f>
        <v>0</v>
      </c>
      <c r="AL103" s="1536">
        <f>IF(SUM(X103:AK103)&gt;0,1,0)</f>
        <v>0</v>
      </c>
    </row>
    <row r="104" spans="1:38" ht="15.75" customHeight="1" x14ac:dyDescent="0.2">
      <c r="A104" s="1424"/>
      <c r="B104" s="1493"/>
      <c r="C104" s="2456"/>
      <c r="D104" s="2456"/>
      <c r="E104" s="2456"/>
      <c r="F104" s="2456"/>
      <c r="G104" s="2456"/>
      <c r="H104" s="1225"/>
      <c r="I104" s="1225"/>
      <c r="J104" s="1438"/>
      <c r="K104" s="1429"/>
      <c r="L104" s="1429"/>
      <c r="M104" s="1225"/>
      <c r="N104" s="1438"/>
      <c r="O104" s="1429"/>
      <c r="P104" s="1429"/>
      <c r="Q104" s="1429"/>
      <c r="R104" s="1438"/>
      <c r="S104" s="1429"/>
      <c r="T104" s="1511"/>
      <c r="U104" s="1216"/>
      <c r="W104" s="489"/>
    </row>
    <row r="105" spans="1:38" ht="15.75" customHeight="1" x14ac:dyDescent="0.2">
      <c r="A105" s="1424"/>
      <c r="B105" s="1493"/>
      <c r="C105" s="2456"/>
      <c r="D105" s="2456"/>
      <c r="E105" s="2456"/>
      <c r="F105" s="2456"/>
      <c r="G105" s="2456"/>
      <c r="H105" s="1225"/>
      <c r="I105" s="1225"/>
      <c r="J105" s="1438"/>
      <c r="K105" s="1429"/>
      <c r="L105" s="1429"/>
      <c r="M105" s="1225"/>
      <c r="N105" s="1438"/>
      <c r="O105" s="1429"/>
      <c r="P105" s="1429"/>
      <c r="Q105" s="1429"/>
      <c r="R105" s="1438"/>
      <c r="S105" s="1429"/>
      <c r="T105" s="1511"/>
      <c r="U105" s="1216"/>
      <c r="W105" s="489"/>
    </row>
    <row r="106" spans="1:38" ht="16.5" thickBot="1" x14ac:dyDescent="0.25">
      <c r="A106" s="1424"/>
      <c r="B106" s="1493"/>
      <c r="C106" s="1276"/>
      <c r="D106" s="1276"/>
      <c r="E106" s="1276"/>
      <c r="F106" s="1276"/>
      <c r="G106" s="1276"/>
      <c r="H106" s="1225"/>
      <c r="I106" s="1225"/>
      <c r="J106" s="1438"/>
      <c r="K106" s="1429"/>
      <c r="L106" s="1429"/>
      <c r="M106" s="1225"/>
      <c r="N106" s="1438"/>
      <c r="O106" s="1429"/>
      <c r="P106" s="1429"/>
      <c r="Q106" s="1429"/>
      <c r="R106" s="1438"/>
      <c r="S106" s="1429"/>
      <c r="T106" s="1511"/>
      <c r="U106" s="1216"/>
      <c r="W106" s="489"/>
    </row>
    <row r="107" spans="1:38" ht="16.5" thickBot="1" x14ac:dyDescent="0.25">
      <c r="A107" s="1424"/>
      <c r="B107" s="1493"/>
      <c r="C107" s="2460" t="s">
        <v>2134</v>
      </c>
      <c r="D107" s="2455"/>
      <c r="E107" s="2455"/>
      <c r="F107" s="2455"/>
      <c r="G107" s="2455"/>
      <c r="H107" s="1225"/>
      <c r="I107" s="1225"/>
      <c r="J107" s="2445">
        <f>+J100+J103</f>
        <v>0</v>
      </c>
      <c r="K107" s="2446"/>
      <c r="L107" s="1429"/>
      <c r="M107" s="1225"/>
      <c r="N107" s="2445">
        <f>+N100+N103</f>
        <v>0</v>
      </c>
      <c r="O107" s="2446"/>
      <c r="P107" s="1429"/>
      <c r="Q107" s="1429"/>
      <c r="R107" s="2445">
        <f>+J107+N107</f>
        <v>0</v>
      </c>
      <c r="S107" s="2446"/>
      <c r="T107" s="1511"/>
      <c r="U107" s="1216"/>
      <c r="W107" s="488">
        <f>IF(+J107+N107-R107=0,0,1)</f>
        <v>0</v>
      </c>
      <c r="Y107" s="1542"/>
      <c r="Z107" s="1543"/>
      <c r="AB107" s="546">
        <f>IF(J107='Part 2'!J107,0,1)</f>
        <v>0</v>
      </c>
      <c r="AF107" s="546">
        <f>IF(N107='Part 2'!N107,0,1)</f>
        <v>0</v>
      </c>
      <c r="AJ107" s="546">
        <f>IF(R107='Part 2'!R107,0,1)</f>
        <v>0</v>
      </c>
      <c r="AL107" s="1536">
        <f>IF(SUM(X107:AK107)&gt;0,1,0)</f>
        <v>0</v>
      </c>
    </row>
    <row r="108" spans="1:38" x14ac:dyDescent="0.2">
      <c r="A108" s="1424"/>
      <c r="B108" s="1493"/>
      <c r="C108" s="2454"/>
      <c r="D108" s="2454"/>
      <c r="E108" s="2454"/>
      <c r="F108" s="2454"/>
      <c r="G108" s="2454"/>
      <c r="H108" s="1225"/>
      <c r="I108" s="1225"/>
      <c r="J108" s="1225"/>
      <c r="K108" s="1225"/>
      <c r="L108" s="1225"/>
      <c r="M108" s="1225"/>
      <c r="N108" s="1225"/>
      <c r="O108" s="1225"/>
      <c r="P108" s="1429"/>
      <c r="Q108" s="1225"/>
      <c r="R108" s="1225"/>
      <c r="S108" s="1225"/>
      <c r="T108" s="1511"/>
      <c r="U108" s="1216"/>
      <c r="W108" s="490"/>
    </row>
    <row r="109" spans="1:38" ht="16.5" thickBot="1" x14ac:dyDescent="0.25">
      <c r="A109" s="1424"/>
      <c r="B109" s="1505"/>
      <c r="C109" s="1506"/>
      <c r="D109" s="1506"/>
      <c r="E109" s="1506"/>
      <c r="F109" s="1506"/>
      <c r="G109" s="1506"/>
      <c r="H109" s="1506"/>
      <c r="I109" s="1506"/>
      <c r="J109" s="1507"/>
      <c r="K109" s="1508"/>
      <c r="L109" s="1508"/>
      <c r="M109" s="1508"/>
      <c r="N109" s="1508"/>
      <c r="O109" s="1508"/>
      <c r="P109" s="1508"/>
      <c r="Q109" s="1508"/>
      <c r="R109" s="1507"/>
      <c r="S109" s="1508"/>
      <c r="T109" s="1509"/>
      <c r="U109" s="1216"/>
      <c r="W109" s="489"/>
    </row>
    <row r="110" spans="1:38" x14ac:dyDescent="0.2">
      <c r="A110" s="1424"/>
      <c r="B110" s="1215"/>
      <c r="C110" s="1225"/>
      <c r="D110" s="1225"/>
      <c r="E110" s="1225"/>
      <c r="F110" s="1225"/>
      <c r="G110" s="1225"/>
      <c r="H110" s="1225"/>
      <c r="I110" s="1225"/>
      <c r="J110" s="1429"/>
      <c r="K110" s="1429"/>
      <c r="L110" s="1429"/>
      <c r="M110" s="1429"/>
      <c r="N110" s="1429"/>
      <c r="O110" s="1429"/>
      <c r="P110" s="1429"/>
      <c r="Q110" s="1429"/>
      <c r="R110" s="1429"/>
      <c r="S110" s="1429"/>
      <c r="T110" s="1215"/>
      <c r="U110" s="1216"/>
      <c r="W110" s="489"/>
    </row>
    <row r="111" spans="1:38" ht="15.75" x14ac:dyDescent="0.25">
      <c r="A111" s="1424"/>
      <c r="B111" s="1215"/>
      <c r="C111" s="1271" t="s">
        <v>1075</v>
      </c>
      <c r="D111" s="1225"/>
      <c r="E111" s="1225"/>
      <c r="F111" s="1225"/>
      <c r="G111" s="1225"/>
      <c r="H111" s="1225"/>
      <c r="I111" s="1225"/>
      <c r="J111" s="1429"/>
      <c r="K111" s="1429"/>
      <c r="L111" s="1429"/>
      <c r="M111" s="1225"/>
      <c r="N111" s="1429"/>
      <c r="O111" s="1429"/>
      <c r="P111" s="1429"/>
      <c r="Q111" s="1429"/>
      <c r="R111" s="1429"/>
      <c r="S111" s="1429"/>
      <c r="T111" s="1215"/>
      <c r="U111" s="1216"/>
      <c r="W111" s="489"/>
    </row>
    <row r="112" spans="1:38" ht="16.5" thickBot="1" x14ac:dyDescent="0.3">
      <c r="A112" s="1424"/>
      <c r="B112" s="1215"/>
      <c r="C112" s="1271" t="s">
        <v>816</v>
      </c>
      <c r="D112" s="1225"/>
      <c r="E112" s="1225"/>
      <c r="F112" s="1225"/>
      <c r="G112" s="1225"/>
      <c r="H112" s="1225"/>
      <c r="I112" s="1225"/>
      <c r="J112" s="1429"/>
      <c r="K112" s="1429"/>
      <c r="L112" s="1429"/>
      <c r="M112" s="1225"/>
      <c r="N112" s="1429"/>
      <c r="O112" s="1429"/>
      <c r="P112" s="1429"/>
      <c r="Q112" s="1429"/>
      <c r="R112" s="1429"/>
      <c r="S112" s="1429"/>
      <c r="T112" s="1215"/>
      <c r="U112" s="1216"/>
      <c r="W112" s="489"/>
    </row>
    <row r="113" spans="1:38" ht="16.5" thickBot="1" x14ac:dyDescent="0.25">
      <c r="A113" s="1424"/>
      <c r="B113" s="1215"/>
      <c r="C113" s="1192" t="s">
        <v>2135</v>
      </c>
      <c r="D113" s="1225"/>
      <c r="E113" s="1225"/>
      <c r="F113" s="1225"/>
      <c r="G113" s="1225"/>
      <c r="H113" s="1225"/>
      <c r="I113" s="1225"/>
      <c r="J113" s="2375">
        <f>'Part 2'!J113</f>
        <v>0</v>
      </c>
      <c r="K113" s="2376"/>
      <c r="L113" s="1429"/>
      <c r="M113" s="1225"/>
      <c r="N113" s="2375">
        <f>'Part 2'!N113</f>
        <v>0</v>
      </c>
      <c r="O113" s="2376"/>
      <c r="P113" s="1429"/>
      <c r="Q113" s="1429"/>
      <c r="R113" s="2445">
        <f>+J113+N113</f>
        <v>0</v>
      </c>
      <c r="S113" s="2446"/>
      <c r="T113" s="1215"/>
      <c r="U113" s="1216"/>
      <c r="W113" s="488">
        <f>IF(+J113+N113-R113=0,0,1)</f>
        <v>0</v>
      </c>
      <c r="Y113" s="1542"/>
      <c r="Z113" s="1543"/>
      <c r="AB113" s="546">
        <f>IF(J113='Part 2'!J113,0,1)</f>
        <v>0</v>
      </c>
      <c r="AF113" s="546">
        <f>IF(N113='Part 2'!N113,0,1)</f>
        <v>0</v>
      </c>
      <c r="AJ113" s="546">
        <f>IF(R113='Part 2'!R113,0,1)</f>
        <v>0</v>
      </c>
      <c r="AL113" s="1536">
        <f>IF(SUM(X113:AK113)&gt;0,1,0)</f>
        <v>0</v>
      </c>
    </row>
    <row r="114" spans="1:38" ht="15.75" x14ac:dyDescent="0.25">
      <c r="A114" s="1424"/>
      <c r="B114" s="1215"/>
      <c r="C114" s="1271"/>
      <c r="D114" s="1225"/>
      <c r="E114" s="1225"/>
      <c r="F114" s="1225"/>
      <c r="G114" s="1225"/>
      <c r="H114" s="1225"/>
      <c r="I114" s="1225"/>
      <c r="J114" s="1429"/>
      <c r="K114" s="1429"/>
      <c r="L114" s="1429"/>
      <c r="M114" s="1429"/>
      <c r="N114" s="1429"/>
      <c r="O114" s="1429"/>
      <c r="P114" s="1429"/>
      <c r="Q114" s="1429"/>
      <c r="R114" s="1429"/>
      <c r="S114" s="1429"/>
      <c r="T114" s="1215"/>
      <c r="U114" s="1216"/>
      <c r="W114" s="489"/>
    </row>
    <row r="115" spans="1:38" ht="16.5" thickBot="1" x14ac:dyDescent="0.3">
      <c r="A115" s="1424"/>
      <c r="B115" s="1215"/>
      <c r="C115" s="1271" t="s">
        <v>800</v>
      </c>
      <c r="D115" s="1225"/>
      <c r="E115" s="1225"/>
      <c r="F115" s="1225"/>
      <c r="G115" s="1225"/>
      <c r="H115" s="1225"/>
      <c r="I115" s="1225"/>
      <c r="J115" s="1429"/>
      <c r="K115" s="1429"/>
      <c r="L115" s="1429"/>
      <c r="M115" s="1429"/>
      <c r="N115" s="1429"/>
      <c r="O115" s="1429"/>
      <c r="P115" s="1429"/>
      <c r="Q115" s="1429"/>
      <c r="R115" s="1429"/>
      <c r="S115" s="1429"/>
      <c r="T115" s="1215"/>
      <c r="U115" s="1216"/>
      <c r="W115" s="489"/>
    </row>
    <row r="116" spans="1:38" ht="16.5" thickBot="1" x14ac:dyDescent="0.25">
      <c r="A116" s="1424"/>
      <c r="B116" s="1215"/>
      <c r="C116" s="1192" t="s">
        <v>2136</v>
      </c>
      <c r="D116" s="1225"/>
      <c r="E116" s="1225"/>
      <c r="F116" s="1225"/>
      <c r="G116" s="1225"/>
      <c r="H116" s="1225"/>
      <c r="I116" s="1225"/>
      <c r="J116" s="2375">
        <f>'Part 2'!J116</f>
        <v>0</v>
      </c>
      <c r="K116" s="2376"/>
      <c r="L116" s="1429"/>
      <c r="M116" s="1225"/>
      <c r="N116" s="2375">
        <f>'Part 2'!N116</f>
        <v>0</v>
      </c>
      <c r="O116" s="2376"/>
      <c r="P116" s="1429"/>
      <c r="Q116" s="1429"/>
      <c r="R116" s="2445">
        <f>+J116+N116</f>
        <v>0</v>
      </c>
      <c r="S116" s="2446"/>
      <c r="T116" s="1215"/>
      <c r="U116" s="1216"/>
      <c r="W116" s="488">
        <f>IF(+J116+N116-R116=0,0,1)</f>
        <v>0</v>
      </c>
      <c r="Y116" s="1542"/>
      <c r="Z116" s="1543"/>
      <c r="AB116" s="546">
        <f>IF(J116='Part 2'!J116,0,1)</f>
        <v>0</v>
      </c>
      <c r="AF116" s="546">
        <f>IF(N116='Part 2'!N116,0,1)</f>
        <v>0</v>
      </c>
      <c r="AJ116" s="546">
        <f>IF(R116='Part 2'!R116,0,1)</f>
        <v>0</v>
      </c>
      <c r="AL116" s="1536">
        <f>IF(SUM(X116:AK116)&gt;0,1,0)</f>
        <v>0</v>
      </c>
    </row>
    <row r="117" spans="1:38" x14ac:dyDescent="0.2">
      <c r="A117" s="1424"/>
      <c r="B117" s="1215"/>
      <c r="C117" s="1192"/>
      <c r="D117" s="1225"/>
      <c r="E117" s="1225"/>
      <c r="F117" s="1225"/>
      <c r="G117" s="1225"/>
      <c r="H117" s="1225"/>
      <c r="I117" s="1225"/>
      <c r="J117" s="1429"/>
      <c r="K117" s="1429"/>
      <c r="L117" s="1429"/>
      <c r="M117" s="1225"/>
      <c r="N117" s="1429"/>
      <c r="O117" s="1429"/>
      <c r="P117" s="1429"/>
      <c r="Q117" s="1429"/>
      <c r="R117" s="1429"/>
      <c r="S117" s="1429"/>
      <c r="T117" s="1215"/>
      <c r="U117" s="1216"/>
      <c r="W117" s="489"/>
    </row>
    <row r="118" spans="1:38" ht="16.5" thickBot="1" x14ac:dyDescent="0.3">
      <c r="A118" s="1424"/>
      <c r="B118" s="1215"/>
      <c r="C118" s="1271" t="s">
        <v>799</v>
      </c>
      <c r="D118" s="1225"/>
      <c r="E118" s="1225"/>
      <c r="F118" s="1225"/>
      <c r="G118" s="1225"/>
      <c r="H118" s="1225"/>
      <c r="I118" s="1225"/>
      <c r="J118" s="1429"/>
      <c r="K118" s="1429"/>
      <c r="L118" s="1429"/>
      <c r="M118" s="1225"/>
      <c r="N118" s="1429"/>
      <c r="O118" s="1429"/>
      <c r="P118" s="1429"/>
      <c r="Q118" s="1429"/>
      <c r="R118" s="1429"/>
      <c r="S118" s="1429"/>
      <c r="T118" s="1215"/>
      <c r="U118" s="1216"/>
      <c r="W118" s="489"/>
    </row>
    <row r="119" spans="1:38" ht="16.5" thickBot="1" x14ac:dyDescent="0.25">
      <c r="A119" s="1424"/>
      <c r="B119" s="1215"/>
      <c r="C119" s="1192" t="s">
        <v>2137</v>
      </c>
      <c r="D119" s="1225"/>
      <c r="E119" s="1225"/>
      <c r="F119" s="1225"/>
      <c r="G119" s="1225"/>
      <c r="H119" s="1225"/>
      <c r="I119" s="1225"/>
      <c r="J119" s="2375">
        <f>'Part 2'!J119</f>
        <v>0</v>
      </c>
      <c r="K119" s="2376"/>
      <c r="L119" s="1429"/>
      <c r="M119" s="1225"/>
      <c r="N119" s="2375">
        <f>'Part 2'!N119</f>
        <v>0</v>
      </c>
      <c r="O119" s="2376"/>
      <c r="P119" s="1429"/>
      <c r="Q119" s="1429"/>
      <c r="R119" s="2445">
        <f>+J119+N119</f>
        <v>0</v>
      </c>
      <c r="S119" s="2446"/>
      <c r="T119" s="1215"/>
      <c r="U119" s="1216"/>
      <c r="W119" s="488">
        <f>IF(+J119+N119-R119=0,0,1)</f>
        <v>0</v>
      </c>
      <c r="Y119" s="1542"/>
      <c r="Z119" s="1543"/>
      <c r="AB119" s="546">
        <f>IF(J119='Part 2'!J119,0,1)</f>
        <v>0</v>
      </c>
      <c r="AF119" s="546">
        <f>IF(N119='Part 2'!N119,0,1)</f>
        <v>0</v>
      </c>
      <c r="AJ119" s="546">
        <f>IF(R119='Part 2'!R119,0,1)</f>
        <v>0</v>
      </c>
      <c r="AL119" s="1536">
        <f>IF(SUM(X119:AK119)&gt;0,1,0)</f>
        <v>0</v>
      </c>
    </row>
    <row r="120" spans="1:38" x14ac:dyDescent="0.2">
      <c r="A120" s="1424"/>
      <c r="B120" s="1215"/>
      <c r="C120" s="1192"/>
      <c r="D120" s="1225"/>
      <c r="E120" s="1225"/>
      <c r="F120" s="1225"/>
      <c r="G120" s="1225"/>
      <c r="H120" s="1225"/>
      <c r="I120" s="1225"/>
      <c r="J120" s="1429"/>
      <c r="K120" s="1429"/>
      <c r="L120" s="1429"/>
      <c r="M120" s="1429"/>
      <c r="N120" s="1429"/>
      <c r="O120" s="1429"/>
      <c r="P120" s="1429"/>
      <c r="Q120" s="1429"/>
      <c r="R120" s="1429"/>
      <c r="S120" s="1429"/>
      <c r="T120" s="1215"/>
      <c r="U120" s="1216"/>
      <c r="W120" s="489"/>
    </row>
    <row r="121" spans="1:38" ht="16.5" thickBot="1" x14ac:dyDescent="0.3">
      <c r="A121" s="1424"/>
      <c r="B121" s="1215"/>
      <c r="C121" s="1271" t="s">
        <v>817</v>
      </c>
      <c r="D121" s="1225"/>
      <c r="E121" s="1225"/>
      <c r="F121" s="1225"/>
      <c r="G121" s="1225"/>
      <c r="H121" s="1225"/>
      <c r="I121" s="1225"/>
      <c r="J121" s="1429"/>
      <c r="K121" s="1429"/>
      <c r="L121" s="1429"/>
      <c r="M121" s="1429"/>
      <c r="N121" s="1429"/>
      <c r="O121" s="1429"/>
      <c r="P121" s="1429"/>
      <c r="Q121" s="1429"/>
      <c r="R121" s="1429"/>
      <c r="S121" s="1429"/>
      <c r="T121" s="1215"/>
      <c r="U121" s="1216"/>
      <c r="W121" s="488"/>
    </row>
    <row r="122" spans="1:38" ht="16.5" thickBot="1" x14ac:dyDescent="0.25">
      <c r="A122" s="1424"/>
      <c r="B122" s="1215"/>
      <c r="C122" s="1192" t="s">
        <v>2138</v>
      </c>
      <c r="D122" s="1225"/>
      <c r="E122" s="1225"/>
      <c r="F122" s="1225"/>
      <c r="G122" s="1225"/>
      <c r="H122" s="1225"/>
      <c r="I122" s="1225"/>
      <c r="J122" s="2375">
        <f>'Part 2'!J122</f>
        <v>0</v>
      </c>
      <c r="K122" s="2376"/>
      <c r="L122" s="1429"/>
      <c r="M122" s="1225"/>
      <c r="N122" s="2375">
        <f>'Part 2'!N122</f>
        <v>0</v>
      </c>
      <c r="O122" s="2376"/>
      <c r="P122" s="1429"/>
      <c r="Q122" s="1429"/>
      <c r="R122" s="2445">
        <f>+J122+N122</f>
        <v>0</v>
      </c>
      <c r="S122" s="2446"/>
      <c r="T122" s="1215"/>
      <c r="U122" s="1216"/>
      <c r="W122" s="488">
        <f>IF(+J122+N122-R122=0,0,1)</f>
        <v>0</v>
      </c>
      <c r="Y122" s="1542"/>
      <c r="Z122" s="1543"/>
      <c r="AB122" s="546">
        <f>IF(J122='Part 2'!J122,0,1)</f>
        <v>0</v>
      </c>
      <c r="AF122" s="546">
        <f>IF(N122='Part 2'!N122,0,1)</f>
        <v>0</v>
      </c>
      <c r="AJ122" s="546">
        <f>IF(R122='Part 2'!R122,0,1)</f>
        <v>0</v>
      </c>
      <c r="AL122" s="1536">
        <f>IF(SUM(X122:AK122)&gt;0,1,0)</f>
        <v>0</v>
      </c>
    </row>
    <row r="123" spans="1:38" x14ac:dyDescent="0.2">
      <c r="A123" s="1424"/>
      <c r="B123" s="1215"/>
      <c r="C123" s="1192"/>
      <c r="D123" s="1225"/>
      <c r="E123" s="1225"/>
      <c r="F123" s="1225"/>
      <c r="G123" s="1225"/>
      <c r="H123" s="1225"/>
      <c r="I123" s="1225"/>
      <c r="J123" s="1512"/>
      <c r="K123" s="1512"/>
      <c r="L123" s="1512"/>
      <c r="M123" s="1225"/>
      <c r="N123" s="1512"/>
      <c r="O123" s="1512"/>
      <c r="P123" s="1429"/>
      <c r="Q123" s="1429"/>
      <c r="R123" s="1429"/>
      <c r="S123" s="1429"/>
      <c r="T123" s="1215"/>
      <c r="U123" s="1216"/>
      <c r="W123" s="489"/>
    </row>
    <row r="124" spans="1:38" ht="16.5" thickBot="1" x14ac:dyDescent="0.3">
      <c r="A124" s="1424"/>
      <c r="B124" s="1215"/>
      <c r="C124" s="1271" t="s">
        <v>801</v>
      </c>
      <c r="D124" s="1225"/>
      <c r="E124" s="1225"/>
      <c r="F124" s="1225"/>
      <c r="G124" s="1225"/>
      <c r="H124" s="1225"/>
      <c r="I124" s="1225"/>
      <c r="J124" s="1512"/>
      <c r="K124" s="1512"/>
      <c r="L124" s="1512"/>
      <c r="M124" s="1225"/>
      <c r="N124" s="1512"/>
      <c r="O124" s="1512"/>
      <c r="P124" s="1429"/>
      <c r="Q124" s="1429"/>
      <c r="R124" s="1429"/>
      <c r="S124" s="1429"/>
      <c r="T124" s="1215"/>
      <c r="U124" s="1216"/>
      <c r="W124" s="489"/>
    </row>
    <row r="125" spans="1:38" ht="16.5" thickBot="1" x14ac:dyDescent="0.25">
      <c r="A125" s="1424"/>
      <c r="B125" s="1215"/>
      <c r="C125" s="1192" t="s">
        <v>2139</v>
      </c>
      <c r="D125" s="1225"/>
      <c r="E125" s="1225"/>
      <c r="F125" s="1225"/>
      <c r="G125" s="1225"/>
      <c r="H125" s="1225"/>
      <c r="I125" s="1225"/>
      <c r="J125" s="2375">
        <f>'Part 2'!J125</f>
        <v>0</v>
      </c>
      <c r="K125" s="2376"/>
      <c r="L125" s="1429"/>
      <c r="M125" s="1225"/>
      <c r="N125" s="2375">
        <f>'Part 2'!N125</f>
        <v>0</v>
      </c>
      <c r="O125" s="2376"/>
      <c r="P125" s="1429"/>
      <c r="Q125" s="1429"/>
      <c r="R125" s="2445">
        <f>+J125+N125</f>
        <v>0</v>
      </c>
      <c r="S125" s="2446"/>
      <c r="T125" s="1215"/>
      <c r="U125" s="1216"/>
      <c r="W125" s="488">
        <f>IF(+J125+N125-R125=0,0,1)</f>
        <v>0</v>
      </c>
      <c r="Y125" s="1542"/>
      <c r="Z125" s="1543"/>
      <c r="AB125" s="546">
        <f>IF(J125='Part 2'!J125,0,1)</f>
        <v>0</v>
      </c>
      <c r="AF125" s="546">
        <f>IF(N125='Part 2'!N125,0,1)</f>
        <v>0</v>
      </c>
      <c r="AJ125" s="546">
        <f>IF(R125='Part 2'!R125,0,1)</f>
        <v>0</v>
      </c>
      <c r="AL125" s="1536">
        <f>IF(SUM(X125:AK125)&gt;0,1,0)</f>
        <v>0</v>
      </c>
    </row>
    <row r="126" spans="1:38" x14ac:dyDescent="0.2">
      <c r="A126" s="1424"/>
      <c r="B126" s="1215"/>
      <c r="C126" s="1192"/>
      <c r="D126" s="1225"/>
      <c r="E126" s="1225"/>
      <c r="F126" s="1225"/>
      <c r="G126" s="1225"/>
      <c r="H126" s="1225"/>
      <c r="I126" s="1225"/>
      <c r="J126" s="1429"/>
      <c r="K126" s="1429"/>
      <c r="L126" s="1429"/>
      <c r="M126" s="1429"/>
      <c r="N126" s="1429"/>
      <c r="O126" s="1429"/>
      <c r="P126" s="1429"/>
      <c r="Q126" s="1429"/>
      <c r="R126" s="1429"/>
      <c r="S126" s="1429"/>
      <c r="T126" s="1215"/>
      <c r="U126" s="1216"/>
      <c r="W126" s="489"/>
    </row>
    <row r="127" spans="1:38" ht="16.5" thickBot="1" x14ac:dyDescent="0.3">
      <c r="A127" s="1424"/>
      <c r="B127" s="1215"/>
      <c r="C127" s="1271" t="s">
        <v>819</v>
      </c>
      <c r="D127" s="1225"/>
      <c r="E127" s="1225"/>
      <c r="F127" s="1225"/>
      <c r="G127" s="1225"/>
      <c r="H127" s="1225"/>
      <c r="I127" s="1225"/>
      <c r="J127" s="1429"/>
      <c r="K127" s="1429"/>
      <c r="L127" s="1429"/>
      <c r="M127" s="1429"/>
      <c r="N127" s="1429"/>
      <c r="O127" s="1429"/>
      <c r="P127" s="1429"/>
      <c r="Q127" s="1429"/>
      <c r="R127" s="1429"/>
      <c r="S127" s="1429"/>
      <c r="T127" s="1215"/>
      <c r="U127" s="1216"/>
      <c r="W127" s="489"/>
    </row>
    <row r="128" spans="1:38" ht="16.5" thickBot="1" x14ac:dyDescent="0.25">
      <c r="A128" s="1424"/>
      <c r="B128" s="1215"/>
      <c r="C128" s="1192" t="s">
        <v>2140</v>
      </c>
      <c r="D128" s="1225"/>
      <c r="E128" s="1225"/>
      <c r="F128" s="1225"/>
      <c r="G128" s="1225"/>
      <c r="H128" s="1225"/>
      <c r="I128" s="1225"/>
      <c r="J128" s="2375">
        <f>'Part 2'!J128</f>
        <v>0</v>
      </c>
      <c r="K128" s="2376"/>
      <c r="L128" s="1429"/>
      <c r="M128" s="1225"/>
      <c r="N128" s="2375">
        <f>'Part 2'!N128</f>
        <v>0</v>
      </c>
      <c r="O128" s="2376"/>
      <c r="P128" s="1429"/>
      <c r="Q128" s="1429"/>
      <c r="R128" s="2445">
        <f>+J128+N128</f>
        <v>0</v>
      </c>
      <c r="S128" s="2446"/>
      <c r="T128" s="1215"/>
      <c r="U128" s="1216"/>
      <c r="W128" s="488">
        <f>IF(+J128+N128-R128=0,0,1)</f>
        <v>0</v>
      </c>
      <c r="Y128" s="1542"/>
      <c r="Z128" s="1543"/>
      <c r="AB128" s="546">
        <f>IF(J128='Part 2'!J128,0,1)</f>
        <v>0</v>
      </c>
      <c r="AF128" s="546">
        <f>IF(N128='Part 2'!N128,0,1)</f>
        <v>0</v>
      </c>
      <c r="AJ128" s="546">
        <f>IF(R128='Part 2'!R128,0,1)</f>
        <v>0</v>
      </c>
      <c r="AL128" s="1536">
        <f>IF(SUM(X128:AK128)&gt;0,1,0)</f>
        <v>0</v>
      </c>
    </row>
    <row r="129" spans="1:38" ht="15.75" x14ac:dyDescent="0.25">
      <c r="A129" s="1424"/>
      <c r="B129" s="1215"/>
      <c r="C129" s="1272" t="str">
        <f>+IF($N$128&gt;$N$131,"Relief given to Case A hereditaments cannot be greater than line 32. Please check","")</f>
        <v/>
      </c>
      <c r="D129" s="1225"/>
      <c r="E129" s="1225"/>
      <c r="F129" s="1225"/>
      <c r="G129" s="1225"/>
      <c r="H129" s="1225"/>
      <c r="I129" s="1225"/>
      <c r="J129" s="1225"/>
      <c r="K129" s="1225"/>
      <c r="L129" s="1225"/>
      <c r="M129" s="1225"/>
      <c r="N129" s="1225"/>
      <c r="O129" s="1225"/>
      <c r="P129" s="1429"/>
      <c r="Q129" s="1429"/>
      <c r="R129" s="1438"/>
      <c r="S129" s="1429"/>
      <c r="T129" s="1215"/>
      <c r="U129" s="1216"/>
      <c r="W129" s="488"/>
      <c r="Z129" s="1543"/>
    </row>
    <row r="130" spans="1:38" ht="16.5" thickBot="1" x14ac:dyDescent="0.3">
      <c r="A130" s="1424"/>
      <c r="B130" s="1215"/>
      <c r="C130" s="1274"/>
      <c r="D130" s="1225"/>
      <c r="E130" s="1225"/>
      <c r="F130" s="1225"/>
      <c r="G130" s="1225"/>
      <c r="H130" s="1225"/>
      <c r="I130" s="1225"/>
      <c r="J130" s="1513" t="s">
        <v>821</v>
      </c>
      <c r="K130" s="1429"/>
      <c r="L130" s="1429"/>
      <c r="M130" s="1225"/>
      <c r="N130" s="1513" t="s">
        <v>821</v>
      </c>
      <c r="O130" s="1429"/>
      <c r="P130" s="1429"/>
      <c r="Q130" s="1429"/>
      <c r="R130" s="1438"/>
      <c r="S130" s="1429"/>
      <c r="T130" s="1215"/>
      <c r="U130" s="1216"/>
      <c r="W130" s="489"/>
    </row>
    <row r="131" spans="1:38" ht="16.5" thickBot="1" x14ac:dyDescent="0.25">
      <c r="A131" s="1424"/>
      <c r="B131" s="1215"/>
      <c r="C131" s="1514" t="s">
        <v>1028</v>
      </c>
      <c r="D131" s="1225"/>
      <c r="E131" s="1225"/>
      <c r="F131" s="1225"/>
      <c r="G131" s="1225"/>
      <c r="H131" s="1225"/>
      <c r="I131" s="1225"/>
      <c r="J131" s="1512"/>
      <c r="K131" s="1512"/>
      <c r="L131" s="1512"/>
      <c r="M131" s="1225"/>
      <c r="N131" s="2375">
        <f>'Part 2'!N131</f>
        <v>0</v>
      </c>
      <c r="O131" s="2376"/>
      <c r="P131" s="1429"/>
      <c r="Q131" s="1429"/>
      <c r="R131" s="1429"/>
      <c r="S131" s="1429"/>
      <c r="T131" s="1215"/>
      <c r="U131" s="1216"/>
      <c r="W131" s="489"/>
      <c r="Z131" s="1543"/>
      <c r="AF131" s="546">
        <f>IF(N131='Part 2'!N131,0,1)</f>
        <v>0</v>
      </c>
      <c r="AL131" s="1536">
        <f>IF(SUM(X131:AK131)&gt;0,1,0)</f>
        <v>0</v>
      </c>
    </row>
    <row r="132" spans="1:38" ht="16.5" thickBot="1" x14ac:dyDescent="0.25">
      <c r="A132" s="1424"/>
      <c r="B132" s="1215"/>
      <c r="C132" s="1514" t="s">
        <v>1029</v>
      </c>
      <c r="D132" s="1225"/>
      <c r="E132" s="1225"/>
      <c r="F132" s="1225"/>
      <c r="G132" s="1225"/>
      <c r="H132" s="1225"/>
      <c r="I132" s="1225"/>
      <c r="J132" s="2375">
        <f>'Part 2'!J132</f>
        <v>0</v>
      </c>
      <c r="K132" s="2376"/>
      <c r="L132" s="1512"/>
      <c r="M132" s="1225"/>
      <c r="N132" s="1429"/>
      <c r="O132" s="1429"/>
      <c r="P132" s="1429"/>
      <c r="Q132" s="1429"/>
      <c r="R132" s="1429"/>
      <c r="S132" s="1429"/>
      <c r="T132" s="1215"/>
      <c r="U132" s="1216"/>
      <c r="W132" s="489"/>
      <c r="Z132" s="1543"/>
      <c r="AB132" s="546">
        <f>IF(J132='Part 2'!J132,0,1)</f>
        <v>0</v>
      </c>
      <c r="AL132" s="1536">
        <f>IF(SUM(X132:AK132)&gt;0,1,0)</f>
        <v>0</v>
      </c>
    </row>
    <row r="133" spans="1:38" ht="16.5" thickBot="1" x14ac:dyDescent="0.3">
      <c r="A133" s="1484"/>
      <c r="B133" s="1345"/>
      <c r="C133" s="1272" t="str">
        <f>+IF($J$128&gt;$J$132,"Relief given to Case B hereditaments cannot be greater than line 32. Please check","")</f>
        <v/>
      </c>
      <c r="D133" s="1344"/>
      <c r="E133" s="1344"/>
      <c r="F133" s="1344"/>
      <c r="G133" s="1344"/>
      <c r="H133" s="1344"/>
      <c r="I133" s="1344"/>
      <c r="J133" s="1486"/>
      <c r="K133" s="1486"/>
      <c r="L133" s="1486"/>
      <c r="M133" s="1486"/>
      <c r="N133" s="1486"/>
      <c r="O133" s="1486"/>
      <c r="P133" s="1486"/>
      <c r="Q133" s="1486"/>
      <c r="R133" s="1486"/>
      <c r="S133" s="1486"/>
      <c r="T133" s="1345"/>
      <c r="U133" s="1487"/>
      <c r="W133" s="489"/>
    </row>
    <row r="134" spans="1:38" ht="15.75" thickBot="1" x14ac:dyDescent="0.25">
      <c r="A134" s="1515"/>
      <c r="B134" s="1516"/>
      <c r="C134" s="1517"/>
      <c r="D134" s="1517"/>
      <c r="E134" s="1517"/>
      <c r="F134" s="1517"/>
      <c r="G134" s="1517"/>
      <c r="H134" s="1517"/>
      <c r="I134" s="1517"/>
      <c r="J134" s="1518"/>
      <c r="K134" s="1518"/>
      <c r="L134" s="1518"/>
      <c r="M134" s="1518"/>
      <c r="N134" s="1518"/>
      <c r="O134" s="1518"/>
      <c r="P134" s="1518"/>
      <c r="Q134" s="1518"/>
      <c r="R134" s="1518"/>
      <c r="S134" s="1518"/>
      <c r="T134" s="1516"/>
      <c r="U134" s="1519"/>
      <c r="W134" s="489"/>
    </row>
    <row r="135" spans="1:38" ht="15.75" thickBot="1" x14ac:dyDescent="0.25">
      <c r="A135" s="1424"/>
      <c r="B135" s="1215"/>
      <c r="C135" s="1225"/>
      <c r="D135" s="1225"/>
      <c r="E135" s="1225"/>
      <c r="F135" s="1225"/>
      <c r="G135" s="1225"/>
      <c r="H135" s="1225"/>
      <c r="I135" s="1225"/>
      <c r="J135" s="1429"/>
      <c r="K135" s="1429"/>
      <c r="L135" s="1429"/>
      <c r="M135" s="1429"/>
      <c r="N135" s="1429"/>
      <c r="O135" s="1429"/>
      <c r="P135" s="1429"/>
      <c r="Q135" s="1429"/>
      <c r="R135" s="1429"/>
      <c r="S135" s="1429"/>
      <c r="T135" s="1215"/>
      <c r="U135" s="1216"/>
      <c r="W135" s="489"/>
    </row>
    <row r="136" spans="1:38" ht="15.75" thickBot="1" x14ac:dyDescent="0.25">
      <c r="A136" s="1424"/>
      <c r="B136" s="1488"/>
      <c r="C136" s="1489"/>
      <c r="D136" s="1489"/>
      <c r="E136" s="1489"/>
      <c r="F136" s="1489"/>
      <c r="G136" s="1489"/>
      <c r="H136" s="1489"/>
      <c r="I136" s="1489"/>
      <c r="J136" s="1491"/>
      <c r="K136" s="1491"/>
      <c r="L136" s="1491"/>
      <c r="M136" s="1491"/>
      <c r="N136" s="1491"/>
      <c r="O136" s="1491"/>
      <c r="P136" s="1491"/>
      <c r="Q136" s="1491"/>
      <c r="R136" s="1491"/>
      <c r="S136" s="1491"/>
      <c r="T136" s="1492"/>
      <c r="U136" s="1216"/>
      <c r="W136" s="489"/>
    </row>
    <row r="137" spans="1:38" ht="15.75" thickBot="1" x14ac:dyDescent="0.25">
      <c r="A137" s="1424"/>
      <c r="B137" s="1493"/>
      <c r="C137" s="1225"/>
      <c r="D137" s="1225"/>
      <c r="E137" s="1225"/>
      <c r="F137" s="1225"/>
      <c r="G137" s="1225"/>
      <c r="H137" s="1225"/>
      <c r="I137" s="1494"/>
      <c r="J137" s="1496"/>
      <c r="K137" s="1496"/>
      <c r="L137" s="1497"/>
      <c r="M137" s="1496"/>
      <c r="N137" s="1496"/>
      <c r="O137" s="1496"/>
      <c r="P137" s="1497"/>
      <c r="Q137" s="1496"/>
      <c r="R137" s="1496"/>
      <c r="S137" s="1496"/>
      <c r="T137" s="1498"/>
      <c r="U137" s="1216"/>
      <c r="W137" s="489"/>
    </row>
    <row r="138" spans="1:38" ht="16.5" thickBot="1" x14ac:dyDescent="0.25">
      <c r="A138" s="1424"/>
      <c r="B138" s="1493"/>
      <c r="C138" s="2408" t="s">
        <v>2141</v>
      </c>
      <c r="D138" s="2408"/>
      <c r="E138" s="2408"/>
      <c r="F138" s="2408"/>
      <c r="G138" s="2408"/>
      <c r="H138" s="1225"/>
      <c r="I138" s="1499"/>
      <c r="J138" s="2445">
        <f>+J113+J116+J119+J122+J125+J128</f>
        <v>0</v>
      </c>
      <c r="K138" s="2446"/>
      <c r="L138" s="1436"/>
      <c r="M138" s="1225"/>
      <c r="N138" s="2445">
        <f>+N113+N116+N119+N122+N125+N128</f>
        <v>0</v>
      </c>
      <c r="O138" s="2446"/>
      <c r="P138" s="1436"/>
      <c r="Q138" s="1429"/>
      <c r="R138" s="1429"/>
      <c r="S138" s="1429"/>
      <c r="T138" s="1456"/>
      <c r="U138" s="1216"/>
      <c r="W138" s="488">
        <f>IF(+J138+J141-J145=0,0,1)</f>
        <v>0</v>
      </c>
      <c r="AB138" s="546">
        <f>IF(J138='Part 2'!J138,0,1)</f>
        <v>0</v>
      </c>
      <c r="AF138" s="546">
        <f>IF(N138='Part 2'!N138,0,1)</f>
        <v>0</v>
      </c>
      <c r="AL138" s="1536">
        <f>IF(SUM(X138:AK138)&gt;0,1,0)</f>
        <v>0</v>
      </c>
    </row>
    <row r="139" spans="1:38" ht="15.75" x14ac:dyDescent="0.2">
      <c r="A139" s="1424"/>
      <c r="B139" s="1493"/>
      <c r="C139" s="2408"/>
      <c r="D139" s="2408"/>
      <c r="E139" s="2408"/>
      <c r="F139" s="2408"/>
      <c r="G139" s="2408"/>
      <c r="H139" s="1225"/>
      <c r="I139" s="1499"/>
      <c r="J139" s="1438"/>
      <c r="K139" s="1429"/>
      <c r="L139" s="1436"/>
      <c r="M139" s="1225"/>
      <c r="N139" s="1438"/>
      <c r="O139" s="1429"/>
      <c r="P139" s="1436"/>
      <c r="Q139" s="1429"/>
      <c r="R139" s="1429"/>
      <c r="S139" s="1429"/>
      <c r="T139" s="1456"/>
      <c r="U139" s="1216"/>
      <c r="W139" s="488"/>
    </row>
    <row r="140" spans="1:38" ht="16.5" customHeight="1" thickBot="1" x14ac:dyDescent="0.25">
      <c r="A140" s="1424"/>
      <c r="B140" s="1493"/>
      <c r="C140" s="1276"/>
      <c r="D140" s="1276"/>
      <c r="E140" s="1276"/>
      <c r="F140" s="1276"/>
      <c r="G140" s="1276"/>
      <c r="H140" s="1225"/>
      <c r="I140" s="1499"/>
      <c r="J140" s="1438"/>
      <c r="K140" s="1429"/>
      <c r="L140" s="1436"/>
      <c r="M140" s="1225"/>
      <c r="N140" s="1438"/>
      <c r="O140" s="1429"/>
      <c r="P140" s="1436"/>
      <c r="Q140" s="1429"/>
      <c r="R140" s="1429"/>
      <c r="S140" s="1429"/>
      <c r="T140" s="1456"/>
      <c r="U140" s="1216"/>
      <c r="W140" s="488"/>
    </row>
    <row r="141" spans="1:38" ht="16.5" customHeight="1" thickBot="1" x14ac:dyDescent="0.25">
      <c r="A141" s="1424"/>
      <c r="B141" s="1493"/>
      <c r="C141" s="2456" t="s">
        <v>1030</v>
      </c>
      <c r="D141" s="2456"/>
      <c r="E141" s="2456"/>
      <c r="F141" s="2456"/>
      <c r="G141" s="2456"/>
      <c r="H141" s="1225"/>
      <c r="I141" s="1499"/>
      <c r="J141" s="2375">
        <f>'Part 2'!J141</f>
        <v>0</v>
      </c>
      <c r="K141" s="2376"/>
      <c r="L141" s="1429"/>
      <c r="M141" s="1225"/>
      <c r="N141" s="2375">
        <f>'Part 2'!N141</f>
        <v>0</v>
      </c>
      <c r="O141" s="2376"/>
      <c r="P141" s="1520"/>
      <c r="Q141" s="1429"/>
      <c r="R141" s="1429"/>
      <c r="S141" s="1429"/>
      <c r="T141" s="1456"/>
      <c r="U141" s="1216"/>
      <c r="W141" s="488">
        <f>IF(+N138+N141-N145=0,0,1)</f>
        <v>0</v>
      </c>
      <c r="Z141" s="1543"/>
      <c r="AB141" s="546">
        <f>IF(J141='Part 2'!J141,0,1)</f>
        <v>0</v>
      </c>
      <c r="AF141" s="546">
        <f>IF(N141='Part 2'!N141,0,1)</f>
        <v>0</v>
      </c>
      <c r="AL141" s="1536">
        <f>IF(SUM(X141:AK141)&gt;0,1,0)</f>
        <v>0</v>
      </c>
    </row>
    <row r="142" spans="1:38" ht="15.75" customHeight="1" x14ac:dyDescent="0.2">
      <c r="A142" s="1424"/>
      <c r="B142" s="1493"/>
      <c r="C142" s="2456"/>
      <c r="D142" s="2456"/>
      <c r="E142" s="2456"/>
      <c r="F142" s="2456"/>
      <c r="G142" s="2456"/>
      <c r="H142" s="1225"/>
      <c r="I142" s="1499"/>
      <c r="J142" s="1438"/>
      <c r="K142" s="1429"/>
      <c r="L142" s="1436"/>
      <c r="M142" s="1225"/>
      <c r="N142" s="1438"/>
      <c r="O142" s="1429"/>
      <c r="P142" s="1436"/>
      <c r="Q142" s="1429"/>
      <c r="R142" s="1438"/>
      <c r="S142" s="1429"/>
      <c r="T142" s="1456"/>
      <c r="U142" s="1216"/>
      <c r="W142" s="489"/>
    </row>
    <row r="143" spans="1:38" ht="15.75" customHeight="1" x14ac:dyDescent="0.2">
      <c r="A143" s="1424"/>
      <c r="B143" s="1493"/>
      <c r="C143" s="2456"/>
      <c r="D143" s="2456"/>
      <c r="E143" s="2456"/>
      <c r="F143" s="2456"/>
      <c r="G143" s="2456"/>
      <c r="H143" s="1225"/>
      <c r="I143" s="1499"/>
      <c r="J143" s="1438"/>
      <c r="K143" s="1429"/>
      <c r="L143" s="1436"/>
      <c r="M143" s="1225"/>
      <c r="N143" s="1438"/>
      <c r="O143" s="1429"/>
      <c r="P143" s="1436"/>
      <c r="Q143" s="1429"/>
      <c r="R143" s="1438"/>
      <c r="S143" s="1429"/>
      <c r="T143" s="1456"/>
      <c r="U143" s="1216"/>
      <c r="W143" s="489"/>
    </row>
    <row r="144" spans="1:38" ht="16.5" thickBot="1" x14ac:dyDescent="0.25">
      <c r="A144" s="1424"/>
      <c r="B144" s="1493"/>
      <c r="C144" s="1276"/>
      <c r="D144" s="1276"/>
      <c r="E144" s="1276"/>
      <c r="F144" s="1276"/>
      <c r="G144" s="1276"/>
      <c r="H144" s="1225"/>
      <c r="I144" s="1499"/>
      <c r="J144" s="1438"/>
      <c r="K144" s="1429"/>
      <c r="L144" s="1436"/>
      <c r="M144" s="1225"/>
      <c r="N144" s="1438"/>
      <c r="O144" s="1429"/>
      <c r="P144" s="1436"/>
      <c r="Q144" s="1429"/>
      <c r="R144" s="1438"/>
      <c r="S144" s="1429"/>
      <c r="T144" s="1456"/>
      <c r="U144" s="1216"/>
      <c r="W144" s="489"/>
    </row>
    <row r="145" spans="1:38" ht="16.5" thickBot="1" x14ac:dyDescent="0.25">
      <c r="A145" s="1424"/>
      <c r="B145" s="1493"/>
      <c r="C145" s="2460" t="s">
        <v>2142</v>
      </c>
      <c r="D145" s="2455"/>
      <c r="E145" s="2455"/>
      <c r="F145" s="2455"/>
      <c r="G145" s="2455"/>
      <c r="H145" s="1225"/>
      <c r="I145" s="1499"/>
      <c r="J145" s="2445">
        <f>+J138+J141</f>
        <v>0</v>
      </c>
      <c r="K145" s="2446"/>
      <c r="L145" s="1436"/>
      <c r="M145" s="1225"/>
      <c r="N145" s="2445">
        <f>+N138+N141</f>
        <v>0</v>
      </c>
      <c r="O145" s="2446"/>
      <c r="P145" s="1436"/>
      <c r="Q145" s="1429"/>
      <c r="R145" s="2445">
        <f>+J145+N145</f>
        <v>0</v>
      </c>
      <c r="S145" s="2446"/>
      <c r="T145" s="1456"/>
      <c r="U145" s="1216"/>
      <c r="W145" s="488">
        <f>IF(+J145+N145-R145=0,0,1)</f>
        <v>0</v>
      </c>
      <c r="Y145" s="1542"/>
      <c r="AB145" s="546">
        <f>IF(J145='Part 2'!J145,0,1)</f>
        <v>0</v>
      </c>
      <c r="AF145" s="546">
        <f>IF(N145='Part 2'!N145,0,1)</f>
        <v>0</v>
      </c>
      <c r="AJ145" s="546">
        <f>IF(R145='Part 2'!R145,0,1)</f>
        <v>0</v>
      </c>
      <c r="AL145" s="1536">
        <f>IF(SUM(X145:AK145)&gt;0,1,0)</f>
        <v>0</v>
      </c>
    </row>
    <row r="146" spans="1:38" ht="15.75" x14ac:dyDescent="0.2">
      <c r="A146" s="1424"/>
      <c r="B146" s="1493"/>
      <c r="C146" s="2454"/>
      <c r="D146" s="2454"/>
      <c r="E146" s="2454"/>
      <c r="F146" s="2454"/>
      <c r="G146" s="2454"/>
      <c r="H146" s="1225"/>
      <c r="I146" s="1499"/>
      <c r="J146" s="1438"/>
      <c r="K146" s="1429"/>
      <c r="L146" s="1436"/>
      <c r="M146" s="1225"/>
      <c r="N146" s="1438"/>
      <c r="O146" s="1429"/>
      <c r="P146" s="1436"/>
      <c r="Q146" s="1429"/>
      <c r="R146" s="1438"/>
      <c r="S146" s="1429"/>
      <c r="T146" s="1456"/>
      <c r="U146" s="1216"/>
      <c r="W146" s="490"/>
    </row>
    <row r="147" spans="1:38" ht="16.5" thickBot="1" x14ac:dyDescent="0.3">
      <c r="A147" s="1424"/>
      <c r="B147" s="1493"/>
      <c r="C147" s="1274"/>
      <c r="D147" s="1225"/>
      <c r="E147" s="1225"/>
      <c r="F147" s="1225"/>
      <c r="G147" s="1225"/>
      <c r="H147" s="1225"/>
      <c r="I147" s="1501"/>
      <c r="J147" s="1502"/>
      <c r="K147" s="1503"/>
      <c r="L147" s="1504"/>
      <c r="M147" s="1502"/>
      <c r="N147" s="1502"/>
      <c r="O147" s="1502"/>
      <c r="P147" s="1504"/>
      <c r="Q147" s="1503"/>
      <c r="R147" s="1502"/>
      <c r="S147" s="1503"/>
      <c r="T147" s="1462"/>
      <c r="U147" s="1216"/>
      <c r="W147" s="489"/>
    </row>
    <row r="148" spans="1:38" ht="15.75" thickBot="1" x14ac:dyDescent="0.25">
      <c r="A148" s="1424"/>
      <c r="B148" s="1505"/>
      <c r="C148" s="1506"/>
      <c r="D148" s="1506"/>
      <c r="E148" s="1506"/>
      <c r="F148" s="1506"/>
      <c r="G148" s="1506"/>
      <c r="H148" s="1506"/>
      <c r="I148" s="1506"/>
      <c r="J148" s="1508"/>
      <c r="K148" s="1508"/>
      <c r="L148" s="1508"/>
      <c r="M148" s="1508"/>
      <c r="N148" s="1508"/>
      <c r="O148" s="1508"/>
      <c r="P148" s="1508"/>
      <c r="Q148" s="1508"/>
      <c r="R148" s="1508"/>
      <c r="S148" s="1508"/>
      <c r="T148" s="1509"/>
      <c r="U148" s="1216"/>
      <c r="W148" s="489"/>
    </row>
    <row r="149" spans="1:38" ht="15.75" thickBot="1" x14ac:dyDescent="0.25">
      <c r="A149" s="1484"/>
      <c r="B149" s="1345"/>
      <c r="C149" s="1344"/>
      <c r="D149" s="1344"/>
      <c r="E149" s="1344"/>
      <c r="F149" s="1344"/>
      <c r="G149" s="1344"/>
      <c r="H149" s="1344"/>
      <c r="I149" s="1344"/>
      <c r="J149" s="1486"/>
      <c r="K149" s="1486"/>
      <c r="L149" s="1486"/>
      <c r="M149" s="1486"/>
      <c r="N149" s="1486"/>
      <c r="O149" s="1486"/>
      <c r="P149" s="1486"/>
      <c r="Q149" s="1486"/>
      <c r="R149" s="1486"/>
      <c r="S149" s="1486"/>
      <c r="T149" s="1345"/>
      <c r="U149" s="1487"/>
      <c r="W149" s="489"/>
    </row>
    <row r="150" spans="1:38" ht="15.75" customHeight="1" x14ac:dyDescent="0.25">
      <c r="A150" s="1417"/>
      <c r="B150" s="1418"/>
      <c r="C150" s="2461" t="s">
        <v>1076</v>
      </c>
      <c r="D150" s="2461"/>
      <c r="E150" s="2461"/>
      <c r="F150" s="2461"/>
      <c r="G150" s="2461"/>
      <c r="H150" s="2461"/>
      <c r="I150" s="2461"/>
      <c r="J150" s="2461"/>
      <c r="K150" s="2461"/>
      <c r="L150" s="2461"/>
      <c r="M150" s="1521"/>
      <c r="N150" s="1521"/>
      <c r="O150" s="1521"/>
      <c r="P150" s="1521"/>
      <c r="Q150" s="1521"/>
      <c r="R150" s="1521"/>
      <c r="S150" s="1521"/>
      <c r="T150" s="1418"/>
      <c r="U150" s="1419"/>
      <c r="W150" s="489"/>
    </row>
    <row r="151" spans="1:38" ht="15.75" customHeight="1" x14ac:dyDescent="0.25">
      <c r="A151" s="1424"/>
      <c r="B151" s="1215"/>
      <c r="C151" s="2462"/>
      <c r="D151" s="2462"/>
      <c r="E151" s="2462"/>
      <c r="F151" s="2462"/>
      <c r="G151" s="2462"/>
      <c r="H151" s="2462"/>
      <c r="I151" s="2462"/>
      <c r="J151" s="2462"/>
      <c r="K151" s="2462"/>
      <c r="L151" s="2462"/>
      <c r="M151" s="1522"/>
      <c r="N151" s="1522"/>
      <c r="O151" s="1522"/>
      <c r="P151" s="1522"/>
      <c r="Q151" s="1522"/>
      <c r="R151" s="1522"/>
      <c r="S151" s="1522"/>
      <c r="T151" s="1215"/>
      <c r="U151" s="1216"/>
      <c r="W151" s="489"/>
    </row>
    <row r="152" spans="1:38" ht="16.5" thickBot="1" x14ac:dyDescent="0.3">
      <c r="A152" s="1424"/>
      <c r="B152" s="1215"/>
      <c r="C152" s="1271" t="s">
        <v>591</v>
      </c>
      <c r="D152" s="1192"/>
      <c r="E152" s="1192"/>
      <c r="F152" s="1192"/>
      <c r="G152" s="1192"/>
      <c r="H152" s="1225"/>
      <c r="I152" s="1225"/>
      <c r="J152" s="1429"/>
      <c r="K152" s="1429"/>
      <c r="L152" s="1429"/>
      <c r="M152" s="1225"/>
      <c r="N152" s="1429"/>
      <c r="O152" s="1429"/>
      <c r="P152" s="1429"/>
      <c r="Q152" s="1429"/>
      <c r="R152" s="1429"/>
      <c r="S152" s="1429"/>
      <c r="T152" s="1215"/>
      <c r="U152" s="1216"/>
      <c r="W152" s="489"/>
    </row>
    <row r="153" spans="1:38" ht="16.5" thickBot="1" x14ac:dyDescent="0.25">
      <c r="A153" s="1424"/>
      <c r="B153" s="1215"/>
      <c r="C153" s="1192" t="s">
        <v>2143</v>
      </c>
      <c r="D153" s="1192"/>
      <c r="E153" s="1192"/>
      <c r="F153" s="1192"/>
      <c r="G153" s="1192"/>
      <c r="H153" s="1225"/>
      <c r="I153" s="1225"/>
      <c r="J153" s="2457">
        <f>'Part 2'!J153</f>
        <v>0</v>
      </c>
      <c r="K153" s="2458"/>
      <c r="L153" s="1429"/>
      <c r="M153" s="1225"/>
      <c r="N153" s="2375">
        <f>'Part 2'!N153</f>
        <v>0</v>
      </c>
      <c r="O153" s="2376"/>
      <c r="P153" s="1429"/>
      <c r="Q153" s="1429"/>
      <c r="R153" s="2445">
        <f>+J153+N153</f>
        <v>0</v>
      </c>
      <c r="S153" s="2446"/>
      <c r="T153" s="1215"/>
      <c r="U153" s="1216"/>
      <c r="W153" s="488">
        <f>IF(+J153+N153-R153=0,0,1)</f>
        <v>0</v>
      </c>
      <c r="Y153" s="1542"/>
      <c r="Z153" s="1543"/>
      <c r="AB153" s="546">
        <f>IF(J153='Part 2'!J153,0,1)</f>
        <v>0</v>
      </c>
      <c r="AF153" s="546">
        <f>IF(N153='Part 2'!N153,0,1)</f>
        <v>0</v>
      </c>
      <c r="AJ153" s="546">
        <f>IF(R153='Part 2'!R153,0,1)</f>
        <v>0</v>
      </c>
      <c r="AL153" s="1536">
        <f>IF(SUM(X153:AK153)&gt;0,1,0)</f>
        <v>0</v>
      </c>
    </row>
    <row r="154" spans="1:38" ht="15.75" x14ac:dyDescent="0.25">
      <c r="A154" s="1424"/>
      <c r="B154" s="1215"/>
      <c r="C154" s="1271"/>
      <c r="D154" s="1192"/>
      <c r="E154" s="1192"/>
      <c r="F154" s="1192"/>
      <c r="G154" s="1192"/>
      <c r="H154" s="1225"/>
      <c r="I154" s="1225"/>
      <c r="J154" s="1211"/>
      <c r="K154" s="1211"/>
      <c r="L154" s="1429"/>
      <c r="M154" s="1225"/>
      <c r="N154" s="1429"/>
      <c r="O154" s="1429"/>
      <c r="P154" s="1429"/>
      <c r="Q154" s="1429"/>
      <c r="R154" s="1429"/>
      <c r="S154" s="1429"/>
      <c r="T154" s="1215"/>
      <c r="U154" s="1216"/>
      <c r="W154" s="490"/>
    </row>
    <row r="155" spans="1:38" ht="16.5" thickBot="1" x14ac:dyDescent="0.3">
      <c r="A155" s="1424"/>
      <c r="B155" s="1215"/>
      <c r="C155" s="1271" t="s">
        <v>592</v>
      </c>
      <c r="D155" s="1192"/>
      <c r="E155" s="1192"/>
      <c r="F155" s="1192"/>
      <c r="G155" s="1192"/>
      <c r="H155" s="1225"/>
      <c r="I155" s="1225"/>
      <c r="J155" s="1211"/>
      <c r="K155" s="1211"/>
      <c r="L155" s="1429"/>
      <c r="M155" s="1225"/>
      <c r="N155" s="1429"/>
      <c r="O155" s="1429"/>
      <c r="P155" s="1429"/>
      <c r="Q155" s="1429"/>
      <c r="R155" s="1429"/>
      <c r="S155" s="1429"/>
      <c r="T155" s="1215"/>
      <c r="U155" s="1216"/>
      <c r="W155" s="490"/>
    </row>
    <row r="156" spans="1:38" ht="16.5" thickBot="1" x14ac:dyDescent="0.25">
      <c r="A156" s="1424"/>
      <c r="B156" s="1215"/>
      <c r="C156" s="1192" t="s">
        <v>2144</v>
      </c>
      <c r="D156" s="1192"/>
      <c r="E156" s="1192"/>
      <c r="F156" s="1192"/>
      <c r="G156" s="1192"/>
      <c r="H156" s="1225"/>
      <c r="I156" s="1225"/>
      <c r="J156" s="2457">
        <f>'Part 2'!J156</f>
        <v>0</v>
      </c>
      <c r="K156" s="2458"/>
      <c r="L156" s="1429"/>
      <c r="M156" s="1225"/>
      <c r="N156" s="2375">
        <f>'Part 2'!N156</f>
        <v>0</v>
      </c>
      <c r="O156" s="2376"/>
      <c r="P156" s="1429"/>
      <c r="Q156" s="1429"/>
      <c r="R156" s="2445">
        <f>+J156+N156</f>
        <v>0</v>
      </c>
      <c r="S156" s="2446"/>
      <c r="T156" s="1215"/>
      <c r="U156" s="1216"/>
      <c r="W156" s="488">
        <f>IF(+J156+N156-R156=0,0,1)</f>
        <v>0</v>
      </c>
      <c r="Y156" s="1542"/>
      <c r="Z156" s="1543"/>
      <c r="AB156" s="546">
        <f>IF(J156='Part 2'!J156,0,1)</f>
        <v>0</v>
      </c>
      <c r="AF156" s="546">
        <f>IF(N156='Part 2'!N156,0,1)</f>
        <v>0</v>
      </c>
      <c r="AJ156" s="546">
        <f>IF(R156='Part 2'!R156,0,1)</f>
        <v>0</v>
      </c>
      <c r="AL156" s="1536">
        <f>IF(SUM(X156:AK156)&gt;0,1,0)</f>
        <v>0</v>
      </c>
    </row>
    <row r="157" spans="1:38" x14ac:dyDescent="0.2">
      <c r="A157" s="1424"/>
      <c r="B157" s="1215"/>
      <c r="C157" s="1225"/>
      <c r="D157" s="1225"/>
      <c r="E157" s="1225"/>
      <c r="F157" s="1225"/>
      <c r="G157" s="1225"/>
      <c r="H157" s="1225"/>
      <c r="I157" s="1225"/>
      <c r="J157" s="1211"/>
      <c r="K157" s="1211"/>
      <c r="L157" s="1429"/>
      <c r="M157" s="1225"/>
      <c r="N157" s="1429"/>
      <c r="O157" s="1429"/>
      <c r="P157" s="1429"/>
      <c r="Q157" s="1429"/>
      <c r="R157" s="1429"/>
      <c r="S157" s="1429"/>
      <c r="T157" s="1215"/>
      <c r="U157" s="1216"/>
      <c r="W157" s="490"/>
    </row>
    <row r="158" spans="1:38" ht="16.5" thickBot="1" x14ac:dyDescent="0.3">
      <c r="A158" s="1424"/>
      <c r="B158" s="1215"/>
      <c r="C158" s="1271" t="s">
        <v>2302</v>
      </c>
      <c r="D158" s="1192"/>
      <c r="E158" s="1192"/>
      <c r="F158" s="1192"/>
      <c r="G158" s="1192"/>
      <c r="H158" s="1225"/>
      <c r="I158" s="1225"/>
      <c r="J158" s="1192"/>
      <c r="K158" s="1192"/>
      <c r="L158" s="1225"/>
      <c r="M158" s="1225"/>
      <c r="N158" s="1225"/>
      <c r="O158" s="1225"/>
      <c r="P158" s="1225"/>
      <c r="Q158" s="1429"/>
      <c r="R158" s="1429"/>
      <c r="S158" s="1429"/>
      <c r="T158" s="1215"/>
      <c r="U158" s="1216"/>
      <c r="W158" s="490"/>
    </row>
    <row r="159" spans="1:38" ht="17.25" customHeight="1" thickBot="1" x14ac:dyDescent="0.25">
      <c r="A159" s="1424"/>
      <c r="B159" s="1215"/>
      <c r="C159" s="2456" t="s">
        <v>2362</v>
      </c>
      <c r="D159" s="2459"/>
      <c r="E159" s="2459"/>
      <c r="F159" s="2459"/>
      <c r="G159" s="2459"/>
      <c r="H159" s="1848"/>
      <c r="I159" s="1225"/>
      <c r="J159" s="2457">
        <f>'Part 2'!J159</f>
        <v>0</v>
      </c>
      <c r="K159" s="2458"/>
      <c r="L159" s="1429"/>
      <c r="M159" s="1225"/>
      <c r="N159" s="2375">
        <f>'Part 2'!N159</f>
        <v>0</v>
      </c>
      <c r="O159" s="2376"/>
      <c r="P159" s="1192"/>
      <c r="Q159" s="1429"/>
      <c r="R159" s="2445">
        <f>+J159+N159</f>
        <v>0</v>
      </c>
      <c r="S159" s="2446"/>
      <c r="T159" s="1215"/>
      <c r="U159" s="1216"/>
      <c r="W159" s="488">
        <f>IF(+J159+N159-R159=0,0,1)</f>
        <v>0</v>
      </c>
      <c r="Y159" s="1542"/>
      <c r="Z159" s="1543"/>
      <c r="AB159" s="546">
        <f>IF(J159='Part 2'!J159,0,1)</f>
        <v>0</v>
      </c>
      <c r="AF159" s="546">
        <f>IF(N159='Part 2'!N159,0,1)</f>
        <v>0</v>
      </c>
      <c r="AJ159" s="546">
        <f>IF(R159='Part 2'!R159,0,1)</f>
        <v>0</v>
      </c>
      <c r="AL159" s="1849">
        <f>IF(SUM(X159:AK159)&gt;0,1,0)</f>
        <v>0</v>
      </c>
    </row>
    <row r="160" spans="1:38" ht="15.75" x14ac:dyDescent="0.2">
      <c r="A160" s="1424"/>
      <c r="B160" s="1215"/>
      <c r="C160" s="1848"/>
      <c r="D160" s="1848"/>
      <c r="E160" s="1848"/>
      <c r="F160" s="1848"/>
      <c r="G160" s="1848"/>
      <c r="H160" s="1848"/>
      <c r="I160" s="1192"/>
      <c r="J160" s="1192"/>
      <c r="K160" s="1192"/>
      <c r="L160" s="1192"/>
      <c r="M160" s="1192"/>
      <c r="N160" s="1192"/>
      <c r="O160" s="1192"/>
      <c r="P160" s="1192"/>
      <c r="Q160" s="1429"/>
      <c r="R160" s="1438"/>
      <c r="S160" s="1429"/>
      <c r="T160" s="1215"/>
      <c r="U160" s="1216"/>
      <c r="W160" s="488"/>
      <c r="Y160" s="1542"/>
      <c r="Z160" s="1543"/>
    </row>
    <row r="161" spans="1:38" ht="16.5" thickBot="1" x14ac:dyDescent="0.3">
      <c r="A161" s="1424"/>
      <c r="B161" s="1215"/>
      <c r="C161" s="1271" t="s">
        <v>2370</v>
      </c>
      <c r="D161" s="1192"/>
      <c r="E161" s="1192"/>
      <c r="F161" s="1192"/>
      <c r="G161" s="1192"/>
      <c r="H161" s="1225"/>
      <c r="I161" s="1225"/>
      <c r="J161" s="1192"/>
      <c r="K161" s="1192"/>
      <c r="L161" s="1225"/>
      <c r="M161" s="1225"/>
      <c r="N161" s="1225"/>
      <c r="O161" s="1225"/>
      <c r="P161" s="1225"/>
      <c r="Q161" s="1429"/>
      <c r="R161" s="1429"/>
      <c r="S161" s="1429"/>
      <c r="T161" s="1215"/>
      <c r="U161" s="1216"/>
      <c r="W161" s="490"/>
    </row>
    <row r="162" spans="1:38" ht="17.25" customHeight="1" thickBot="1" x14ac:dyDescent="0.25">
      <c r="A162" s="1424"/>
      <c r="B162" s="1215"/>
      <c r="C162" s="2456" t="s">
        <v>2366</v>
      </c>
      <c r="D162" s="2459"/>
      <c r="E162" s="2459"/>
      <c r="F162" s="2459"/>
      <c r="G162" s="2459"/>
      <c r="H162" s="1848"/>
      <c r="I162" s="1225"/>
      <c r="J162" s="2457">
        <f>'Part 2'!J162</f>
        <v>0</v>
      </c>
      <c r="K162" s="2458"/>
      <c r="L162" s="1429"/>
      <c r="M162" s="1225"/>
      <c r="N162" s="2375">
        <f>'Part 2'!N162</f>
        <v>0</v>
      </c>
      <c r="O162" s="2376"/>
      <c r="P162" s="1192"/>
      <c r="Q162" s="1429"/>
      <c r="R162" s="2445">
        <f>+J162+N162</f>
        <v>0</v>
      </c>
      <c r="S162" s="2446"/>
      <c r="T162" s="1215"/>
      <c r="U162" s="1216"/>
      <c r="W162" s="488">
        <f>IF(+J162+N162-R162=0,0,1)</f>
        <v>0</v>
      </c>
      <c r="Y162" s="1542"/>
      <c r="Z162" s="1543"/>
      <c r="AB162" s="546">
        <f>IF(J162='Part 2'!J162,0,1)</f>
        <v>0</v>
      </c>
      <c r="AF162" s="546">
        <f>IF(N162='Part 2'!N162,0,1)</f>
        <v>0</v>
      </c>
      <c r="AJ162" s="546">
        <f>IF(R162='Part 2'!R162,0,1)</f>
        <v>0</v>
      </c>
      <c r="AL162" s="1849">
        <f>IF(SUM(X162:AK162)&gt;0,1,0)</f>
        <v>0</v>
      </c>
    </row>
    <row r="163" spans="1:38" ht="15.75" thickBot="1" x14ac:dyDescent="0.25">
      <c r="A163" s="1424"/>
      <c r="B163" s="1215"/>
      <c r="C163" s="1225"/>
      <c r="D163" s="1225"/>
      <c r="E163" s="1225"/>
      <c r="F163" s="1225"/>
      <c r="G163" s="1225"/>
      <c r="H163" s="1225"/>
      <c r="I163" s="1225"/>
      <c r="J163" s="1429"/>
      <c r="K163" s="1429"/>
      <c r="L163" s="1429"/>
      <c r="M163" s="1429"/>
      <c r="N163" s="1429"/>
      <c r="O163" s="1429"/>
      <c r="P163" s="1429"/>
      <c r="Q163" s="1429"/>
      <c r="R163" s="1429"/>
      <c r="S163" s="1429"/>
      <c r="T163" s="1215"/>
      <c r="U163" s="1216"/>
      <c r="W163" s="489"/>
    </row>
    <row r="164" spans="1:38" ht="16.5" thickBot="1" x14ac:dyDescent="0.25">
      <c r="A164" s="1424"/>
      <c r="B164" s="1488"/>
      <c r="C164" s="1489"/>
      <c r="D164" s="1489"/>
      <c r="E164" s="1489"/>
      <c r="F164" s="1489"/>
      <c r="G164" s="1489"/>
      <c r="H164" s="1489"/>
      <c r="I164" s="1489"/>
      <c r="J164" s="1490"/>
      <c r="K164" s="1491"/>
      <c r="L164" s="1491"/>
      <c r="M164" s="1491"/>
      <c r="N164" s="1491"/>
      <c r="O164" s="1491"/>
      <c r="P164" s="1491"/>
      <c r="Q164" s="1491"/>
      <c r="R164" s="1490"/>
      <c r="S164" s="1491"/>
      <c r="T164" s="1492"/>
      <c r="U164" s="1216"/>
      <c r="W164" s="489"/>
    </row>
    <row r="165" spans="1:38" ht="16.5" thickBot="1" x14ac:dyDescent="0.25">
      <c r="A165" s="1424"/>
      <c r="B165" s="1493"/>
      <c r="C165" s="2408" t="s">
        <v>2369</v>
      </c>
      <c r="D165" s="2408"/>
      <c r="E165" s="2408"/>
      <c r="F165" s="2408"/>
      <c r="G165" s="2408"/>
      <c r="H165" s="1225"/>
      <c r="I165" s="1225"/>
      <c r="J165" s="2445">
        <f>+J153+J156+J159+J162</f>
        <v>0</v>
      </c>
      <c r="K165" s="2446"/>
      <c r="L165" s="1429"/>
      <c r="M165" s="1225"/>
      <c r="N165" s="2445">
        <f>+N153+N156+N159+N162</f>
        <v>0</v>
      </c>
      <c r="O165" s="2446"/>
      <c r="P165" s="1429"/>
      <c r="Q165" s="1429"/>
      <c r="R165" s="1429"/>
      <c r="S165" s="1429"/>
      <c r="T165" s="1511"/>
      <c r="U165" s="1216"/>
      <c r="W165" s="488">
        <f>IF(+J165+J169-J173=0,0,1)</f>
        <v>0</v>
      </c>
      <c r="AB165" s="546">
        <f>IF(J165='Part 2'!J165,0,1)</f>
        <v>0</v>
      </c>
      <c r="AF165" s="546">
        <f>IF(N165='Part 2'!N165,0,1)</f>
        <v>0</v>
      </c>
      <c r="AL165" s="1536">
        <f>IF(SUM(X165:AK165)&gt;0,1,0)</f>
        <v>0</v>
      </c>
    </row>
    <row r="166" spans="1:38" ht="15.75" x14ac:dyDescent="0.2">
      <c r="A166" s="1424"/>
      <c r="B166" s="1493"/>
      <c r="C166" s="2408"/>
      <c r="D166" s="2408"/>
      <c r="E166" s="2408"/>
      <c r="F166" s="2408"/>
      <c r="G166" s="2408"/>
      <c r="H166" s="1225"/>
      <c r="I166" s="1225"/>
      <c r="J166" s="1438"/>
      <c r="K166" s="1429"/>
      <c r="L166" s="1429"/>
      <c r="M166" s="1225"/>
      <c r="N166" s="1438"/>
      <c r="O166" s="1429"/>
      <c r="P166" s="1429"/>
      <c r="Q166" s="1429"/>
      <c r="R166" s="1429"/>
      <c r="S166" s="1429"/>
      <c r="T166" s="1511"/>
      <c r="U166" s="1216"/>
      <c r="W166" s="488"/>
    </row>
    <row r="167" spans="1:38" ht="15.75" x14ac:dyDescent="0.2">
      <c r="A167" s="1424"/>
      <c r="B167" s="1493"/>
      <c r="C167" s="2454"/>
      <c r="D167" s="2455"/>
      <c r="E167" s="2455"/>
      <c r="F167" s="2455"/>
      <c r="G167" s="2455"/>
      <c r="H167" s="1225"/>
      <c r="I167" s="1225"/>
      <c r="J167" s="1438"/>
      <c r="K167" s="1429"/>
      <c r="L167" s="1429"/>
      <c r="M167" s="1225"/>
      <c r="N167" s="1438"/>
      <c r="O167" s="1429"/>
      <c r="P167" s="1429"/>
      <c r="Q167" s="1429"/>
      <c r="R167" s="1429"/>
      <c r="S167" s="1429"/>
      <c r="T167" s="1511"/>
      <c r="U167" s="1216"/>
      <c r="W167" s="488"/>
    </row>
    <row r="168" spans="1:38" ht="16.5" thickBot="1" x14ac:dyDescent="0.25">
      <c r="A168" s="1424"/>
      <c r="B168" s="1493"/>
      <c r="C168" s="1276"/>
      <c r="D168" s="1276"/>
      <c r="E168" s="1276"/>
      <c r="F168" s="1276"/>
      <c r="G168" s="1276"/>
      <c r="H168" s="1225"/>
      <c r="I168" s="1225"/>
      <c r="J168" s="1438"/>
      <c r="K168" s="1429"/>
      <c r="L168" s="1429"/>
      <c r="M168" s="1225"/>
      <c r="N168" s="1438"/>
      <c r="O168" s="1429"/>
      <c r="P168" s="1429"/>
      <c r="Q168" s="1429"/>
      <c r="R168" s="1429"/>
      <c r="S168" s="1429"/>
      <c r="T168" s="1511"/>
      <c r="U168" s="1216"/>
      <c r="W168" s="488"/>
    </row>
    <row r="169" spans="1:38" ht="16.5" customHeight="1" thickBot="1" x14ac:dyDescent="0.25">
      <c r="A169" s="1424"/>
      <c r="B169" s="1493"/>
      <c r="C169" s="2456" t="s">
        <v>2363</v>
      </c>
      <c r="D169" s="2456"/>
      <c r="E169" s="2456"/>
      <c r="F169" s="2456"/>
      <c r="G169" s="2456"/>
      <c r="H169" s="1225"/>
      <c r="I169" s="1225"/>
      <c r="J169" s="2375">
        <f>'Part 2'!J169</f>
        <v>0</v>
      </c>
      <c r="K169" s="2376"/>
      <c r="L169" s="1429"/>
      <c r="M169" s="1225"/>
      <c r="N169" s="2375">
        <f>'Part 2'!N169</f>
        <v>0</v>
      </c>
      <c r="O169" s="2376"/>
      <c r="P169" s="1429"/>
      <c r="Q169" s="1429"/>
      <c r="R169" s="1429"/>
      <c r="S169" s="1429"/>
      <c r="T169" s="1511"/>
      <c r="U169" s="1216"/>
      <c r="W169" s="488">
        <f>IF(+N165+N169-N173=0,0,1)</f>
        <v>0</v>
      </c>
      <c r="Z169" s="1543"/>
      <c r="AB169" s="546">
        <f>IF(J169='Part 2'!J169,0,1)</f>
        <v>0</v>
      </c>
      <c r="AF169" s="546">
        <f>IF(N169='Part 2'!N169,0,1)</f>
        <v>0</v>
      </c>
      <c r="AL169" s="1536">
        <f>IF(SUM(X169:AK169)&gt;0,1,0)</f>
        <v>0</v>
      </c>
    </row>
    <row r="170" spans="1:38" ht="15.75" x14ac:dyDescent="0.2">
      <c r="A170" s="1424"/>
      <c r="B170" s="1493"/>
      <c r="C170" s="2456"/>
      <c r="D170" s="2456"/>
      <c r="E170" s="2456"/>
      <c r="F170" s="2456"/>
      <c r="G170" s="2456"/>
      <c r="H170" s="1225"/>
      <c r="I170" s="1225"/>
      <c r="J170" s="1438"/>
      <c r="K170" s="1429"/>
      <c r="L170" s="1429"/>
      <c r="M170" s="1225"/>
      <c r="N170" s="1438"/>
      <c r="O170" s="1429"/>
      <c r="P170" s="1429"/>
      <c r="Q170" s="1429"/>
      <c r="R170" s="1438"/>
      <c r="S170" s="1429"/>
      <c r="T170" s="1511"/>
      <c r="U170" s="1216"/>
      <c r="W170" s="489"/>
    </row>
    <row r="171" spans="1:38" ht="15.75" x14ac:dyDescent="0.2">
      <c r="A171" s="1424"/>
      <c r="B171" s="1493"/>
      <c r="C171" s="2456"/>
      <c r="D171" s="2456"/>
      <c r="E171" s="2456"/>
      <c r="F171" s="2456"/>
      <c r="G171" s="2456"/>
      <c r="H171" s="1225"/>
      <c r="I171" s="1225"/>
      <c r="J171" s="1438"/>
      <c r="K171" s="1429"/>
      <c r="L171" s="1429"/>
      <c r="M171" s="1225"/>
      <c r="N171" s="1438"/>
      <c r="O171" s="1429"/>
      <c r="P171" s="1429"/>
      <c r="Q171" s="1429"/>
      <c r="R171" s="1438"/>
      <c r="S171" s="1429"/>
      <c r="T171" s="1511"/>
      <c r="U171" s="1216"/>
      <c r="W171" s="489"/>
    </row>
    <row r="172" spans="1:38" ht="16.5" thickBot="1" x14ac:dyDescent="0.25">
      <c r="A172" s="1424"/>
      <c r="B172" s="1493"/>
      <c r="C172" s="1276"/>
      <c r="D172" s="1276"/>
      <c r="E172" s="1276"/>
      <c r="F172" s="1276"/>
      <c r="G172" s="1276"/>
      <c r="H172" s="1225"/>
      <c r="I172" s="1225"/>
      <c r="J172" s="1438"/>
      <c r="K172" s="1429"/>
      <c r="L172" s="1429"/>
      <c r="M172" s="1225"/>
      <c r="N172" s="1438"/>
      <c r="O172" s="1429"/>
      <c r="P172" s="1429"/>
      <c r="Q172" s="1429"/>
      <c r="R172" s="1438"/>
      <c r="S172" s="1429"/>
      <c r="T172" s="1511"/>
      <c r="U172" s="1216"/>
      <c r="W172" s="489"/>
    </row>
    <row r="173" spans="1:38" ht="16.5" customHeight="1" thickBot="1" x14ac:dyDescent="0.25">
      <c r="A173" s="1424"/>
      <c r="B173" s="1493"/>
      <c r="C173" s="2450" t="s">
        <v>2364</v>
      </c>
      <c r="D173" s="2450"/>
      <c r="E173" s="2450"/>
      <c r="F173" s="2450"/>
      <c r="G173" s="2450"/>
      <c r="H173" s="1225"/>
      <c r="I173" s="1225"/>
      <c r="J173" s="2445">
        <f>+J165+J169</f>
        <v>0</v>
      </c>
      <c r="K173" s="2446"/>
      <c r="L173" s="1429"/>
      <c r="M173" s="1225"/>
      <c r="N173" s="2445">
        <f>+N165+N169</f>
        <v>0</v>
      </c>
      <c r="O173" s="2446"/>
      <c r="P173" s="1429"/>
      <c r="Q173" s="1429"/>
      <c r="R173" s="2445">
        <f>+J173+N173</f>
        <v>0</v>
      </c>
      <c r="S173" s="2446"/>
      <c r="T173" s="1511"/>
      <c r="U173" s="1216"/>
      <c r="W173" s="488">
        <f>IF(+J173+N173-R173=0,0,1)</f>
        <v>0</v>
      </c>
      <c r="Y173" s="1542"/>
      <c r="AB173" s="546">
        <f>IF(J173='Part 2'!J173,0,1)</f>
        <v>0</v>
      </c>
      <c r="AF173" s="546">
        <f>IF(N173='Part 2'!N173,0,1)</f>
        <v>0</v>
      </c>
      <c r="AJ173" s="546">
        <f>IF(R173='Part 2'!R173,0,1)</f>
        <v>0</v>
      </c>
      <c r="AL173" s="1536">
        <f>IF(SUM(X173:AK173)&gt;0,1,0)</f>
        <v>0</v>
      </c>
    </row>
    <row r="174" spans="1:38" x14ac:dyDescent="0.2">
      <c r="A174" s="1424"/>
      <c r="B174" s="1493"/>
      <c r="C174" s="2451"/>
      <c r="D174" s="2452"/>
      <c r="E174" s="2452"/>
      <c r="F174" s="2452"/>
      <c r="G174" s="2452"/>
      <c r="H174" s="1225"/>
      <c r="I174" s="1225"/>
      <c r="J174" s="1225"/>
      <c r="K174" s="1225"/>
      <c r="L174" s="1225"/>
      <c r="M174" s="1225"/>
      <c r="N174" s="1225"/>
      <c r="O174" s="1225"/>
      <c r="P174" s="1429"/>
      <c r="Q174" s="1225"/>
      <c r="R174" s="1225"/>
      <c r="S174" s="1225"/>
      <c r="T174" s="1511"/>
      <c r="U174" s="1216"/>
      <c r="W174" s="490"/>
    </row>
    <row r="175" spans="1:38" x14ac:dyDescent="0.2">
      <c r="A175" s="1424"/>
      <c r="B175" s="1493"/>
      <c r="C175" s="2444"/>
      <c r="D175" s="2444"/>
      <c r="E175" s="2444"/>
      <c r="F175" s="2444"/>
      <c r="G175" s="2444"/>
      <c r="H175" s="1225"/>
      <c r="I175" s="1225"/>
      <c r="J175" s="1225"/>
      <c r="K175" s="1225"/>
      <c r="L175" s="1225"/>
      <c r="M175" s="1225"/>
      <c r="N175" s="1225"/>
      <c r="O175" s="1225"/>
      <c r="P175" s="1429"/>
      <c r="Q175" s="1225"/>
      <c r="R175" s="1225"/>
      <c r="S175" s="1225"/>
      <c r="T175" s="1511"/>
      <c r="U175" s="1216"/>
      <c r="W175" s="490"/>
    </row>
    <row r="176" spans="1:38" ht="16.5" thickBot="1" x14ac:dyDescent="0.25">
      <c r="A176" s="1424"/>
      <c r="B176" s="1505"/>
      <c r="C176" s="1506"/>
      <c r="D176" s="1506"/>
      <c r="E176" s="1506"/>
      <c r="F176" s="1506"/>
      <c r="G176" s="1506"/>
      <c r="H176" s="1506"/>
      <c r="I176" s="1506"/>
      <c r="J176" s="1507"/>
      <c r="K176" s="1508"/>
      <c r="L176" s="1508"/>
      <c r="M176" s="1508"/>
      <c r="N176" s="1507"/>
      <c r="O176" s="1507"/>
      <c r="P176" s="1507"/>
      <c r="Q176" s="1508"/>
      <c r="R176" s="1507"/>
      <c r="S176" s="1508"/>
      <c r="T176" s="1509"/>
      <c r="U176" s="1216"/>
      <c r="W176" s="489"/>
    </row>
    <row r="177" spans="1:38" ht="15.75" thickBot="1" x14ac:dyDescent="0.25">
      <c r="A177" s="1424"/>
      <c r="B177" s="1215"/>
      <c r="C177" s="1225"/>
      <c r="D177" s="1225"/>
      <c r="E177" s="1225"/>
      <c r="F177" s="1225"/>
      <c r="G177" s="1225"/>
      <c r="H177" s="1225"/>
      <c r="I177" s="1225"/>
      <c r="J177" s="1429"/>
      <c r="K177" s="1429"/>
      <c r="L177" s="1429"/>
      <c r="M177" s="1429"/>
      <c r="N177" s="1429"/>
      <c r="O177" s="1429"/>
      <c r="P177" s="1429"/>
      <c r="Q177" s="1429"/>
      <c r="R177" s="1429"/>
      <c r="S177" s="1429"/>
      <c r="T177" s="1215"/>
      <c r="U177" s="1216"/>
      <c r="W177" s="489"/>
    </row>
    <row r="178" spans="1:38" x14ac:dyDescent="0.2">
      <c r="A178" s="1424"/>
      <c r="B178" s="1523"/>
      <c r="C178" s="1524"/>
      <c r="D178" s="1524"/>
      <c r="E178" s="1524"/>
      <c r="F178" s="1524"/>
      <c r="G178" s="1524"/>
      <c r="H178" s="1524"/>
      <c r="I178" s="1524"/>
      <c r="J178" s="1525"/>
      <c r="K178" s="1525"/>
      <c r="L178" s="1525"/>
      <c r="M178" s="1525"/>
      <c r="N178" s="1525"/>
      <c r="O178" s="1525"/>
      <c r="P178" s="1525"/>
      <c r="Q178" s="1525"/>
      <c r="R178" s="1525"/>
      <c r="S178" s="1525"/>
      <c r="T178" s="1467"/>
      <c r="U178" s="1216"/>
      <c r="W178" s="489"/>
    </row>
    <row r="179" spans="1:38" ht="15.75" x14ac:dyDescent="0.25">
      <c r="A179" s="1424"/>
      <c r="B179" s="1526"/>
      <c r="C179" s="1274" t="s">
        <v>809</v>
      </c>
      <c r="D179" s="1225"/>
      <c r="E179" s="1225"/>
      <c r="F179" s="1225"/>
      <c r="G179" s="1225"/>
      <c r="H179" s="1225"/>
      <c r="I179" s="1225"/>
      <c r="J179" s="1429"/>
      <c r="K179" s="1429"/>
      <c r="L179" s="1429"/>
      <c r="M179" s="1429"/>
      <c r="N179" s="1429"/>
      <c r="O179" s="1429"/>
      <c r="P179" s="1429"/>
      <c r="Q179" s="1429"/>
      <c r="R179" s="1429"/>
      <c r="S179" s="1429"/>
      <c r="T179" s="1470"/>
      <c r="U179" s="1216"/>
      <c r="W179" s="489"/>
    </row>
    <row r="180" spans="1:38" ht="16.5" thickBot="1" x14ac:dyDescent="0.25">
      <c r="A180" s="1424"/>
      <c r="B180" s="1526"/>
      <c r="C180" s="1225"/>
      <c r="D180" s="1225"/>
      <c r="E180" s="1225"/>
      <c r="F180" s="1225"/>
      <c r="G180" s="1225"/>
      <c r="H180" s="1225"/>
      <c r="I180" s="1225"/>
      <c r="J180" s="2453" t="s">
        <v>786</v>
      </c>
      <c r="K180" s="2453"/>
      <c r="L180" s="1429"/>
      <c r="M180" s="1429"/>
      <c r="N180" s="2453" t="s">
        <v>786</v>
      </c>
      <c r="O180" s="2453"/>
      <c r="P180" s="1429"/>
      <c r="Q180" s="1429"/>
      <c r="R180" s="2453" t="s">
        <v>786</v>
      </c>
      <c r="S180" s="2453"/>
      <c r="T180" s="1470"/>
      <c r="U180" s="1216"/>
      <c r="W180" s="489"/>
    </row>
    <row r="181" spans="1:38" ht="16.5" thickBot="1" x14ac:dyDescent="0.25">
      <c r="A181" s="1424"/>
      <c r="B181" s="1526"/>
      <c r="C181" s="2388" t="s">
        <v>2365</v>
      </c>
      <c r="D181" s="2388"/>
      <c r="E181" s="2388"/>
      <c r="F181" s="2388"/>
      <c r="G181" s="2388"/>
      <c r="H181" s="2443"/>
      <c r="I181" s="1225"/>
      <c r="J181" s="2445">
        <f>+J28+J45+J85+J107+J145+J173</f>
        <v>0</v>
      </c>
      <c r="K181" s="2446"/>
      <c r="L181" s="1429"/>
      <c r="M181" s="1429"/>
      <c r="N181" s="2445">
        <f>+N28+N45+N85+N107+N145+N173</f>
        <v>0</v>
      </c>
      <c r="O181" s="2446"/>
      <c r="P181" s="1429"/>
      <c r="Q181" s="1429"/>
      <c r="R181" s="2445">
        <f>+R28+R45+R85+R107+R145+R173</f>
        <v>0</v>
      </c>
      <c r="S181" s="2446"/>
      <c r="T181" s="1470"/>
      <c r="U181" s="1216"/>
      <c r="W181" s="488">
        <f>IF(+J181+N181-R181=0,0,1)</f>
        <v>0</v>
      </c>
      <c r="Y181" s="1542"/>
      <c r="AB181" s="546">
        <f>IF(J181='Part 2'!J181,0,1)</f>
        <v>0</v>
      </c>
      <c r="AF181" s="546">
        <f>IF(N181='Part 2'!N181,0,1)</f>
        <v>0</v>
      </c>
      <c r="AJ181" s="546">
        <f>IF(R181='Part 2'!R181,0,1)</f>
        <v>0</v>
      </c>
      <c r="AL181" s="1536">
        <f>IF(SUM(X181:AK181)&gt;0,1,0)</f>
        <v>0</v>
      </c>
    </row>
    <row r="182" spans="1:38" ht="15.75" customHeight="1" x14ac:dyDescent="0.2">
      <c r="A182" s="1424"/>
      <c r="B182" s="1526"/>
      <c r="C182" s="2388"/>
      <c r="D182" s="2388"/>
      <c r="E182" s="2388"/>
      <c r="F182" s="2388"/>
      <c r="G182" s="2388"/>
      <c r="H182" s="2443"/>
      <c r="I182" s="1225"/>
      <c r="J182" s="1438"/>
      <c r="K182" s="1429"/>
      <c r="L182" s="1429"/>
      <c r="M182" s="1429"/>
      <c r="N182" s="1429"/>
      <c r="O182" s="1429"/>
      <c r="P182" s="1429"/>
      <c r="Q182" s="1429"/>
      <c r="R182" s="1438"/>
      <c r="S182" s="1429"/>
      <c r="T182" s="1470"/>
      <c r="U182" s="1216"/>
      <c r="W182" s="489"/>
    </row>
    <row r="183" spans="1:38" ht="15.75" x14ac:dyDescent="0.25">
      <c r="A183" s="1424"/>
      <c r="B183" s="1526"/>
      <c r="C183" s="2444"/>
      <c r="D183" s="2444"/>
      <c r="E183" s="2444"/>
      <c r="F183" s="2444"/>
      <c r="G183" s="2444"/>
      <c r="H183" s="2444"/>
      <c r="I183" s="1225"/>
      <c r="J183" s="2447"/>
      <c r="K183" s="2448"/>
      <c r="L183" s="1425"/>
      <c r="M183" s="1425"/>
      <c r="N183" s="1428"/>
      <c r="O183" s="1425"/>
      <c r="P183" s="1425"/>
      <c r="Q183" s="1225"/>
      <c r="R183" s="1428"/>
      <c r="S183" s="1425"/>
      <c r="T183" s="1470"/>
      <c r="U183" s="1216"/>
      <c r="W183" s="491"/>
    </row>
    <row r="184" spans="1:38" ht="15.75" thickBot="1" x14ac:dyDescent="0.25">
      <c r="A184" s="1424"/>
      <c r="B184" s="1527"/>
      <c r="C184" s="1528"/>
      <c r="D184" s="1528"/>
      <c r="E184" s="1528"/>
      <c r="F184" s="1528"/>
      <c r="G184" s="1528"/>
      <c r="H184" s="1528"/>
      <c r="I184" s="1529"/>
      <c r="J184" s="1529"/>
      <c r="K184" s="1529"/>
      <c r="L184" s="1529"/>
      <c r="M184" s="1529"/>
      <c r="N184" s="1529"/>
      <c r="O184" s="1529"/>
      <c r="P184" s="1529"/>
      <c r="Q184" s="1529"/>
      <c r="R184" s="1529"/>
      <c r="S184" s="1529"/>
      <c r="T184" s="1477"/>
      <c r="U184" s="1216"/>
    </row>
    <row r="185" spans="1:38" ht="15.75" thickBot="1" x14ac:dyDescent="0.25">
      <c r="A185" s="1424"/>
      <c r="B185" s="1215"/>
      <c r="C185" s="1215"/>
      <c r="D185" s="1215"/>
      <c r="E185" s="1215"/>
      <c r="F185" s="1215"/>
      <c r="G185" s="1215"/>
      <c r="H185" s="1215"/>
      <c r="I185" s="1215"/>
      <c r="J185" s="1215"/>
      <c r="K185" s="1215"/>
      <c r="L185" s="1215"/>
      <c r="M185" s="1215"/>
      <c r="N185" s="1215"/>
      <c r="O185" s="1215"/>
      <c r="P185" s="1215"/>
      <c r="Q185" s="1215"/>
      <c r="R185" s="1215"/>
      <c r="S185" s="1215"/>
      <c r="T185" s="1215"/>
      <c r="U185" s="1216"/>
      <c r="W185" s="478" t="s">
        <v>34</v>
      </c>
    </row>
    <row r="186" spans="1:38" x14ac:dyDescent="0.2">
      <c r="A186" s="1417"/>
      <c r="B186" s="1418"/>
      <c r="C186" s="1418"/>
      <c r="D186" s="1418"/>
      <c r="E186" s="1418"/>
      <c r="F186" s="1418"/>
      <c r="G186" s="1418"/>
      <c r="H186" s="1418"/>
      <c r="I186" s="1418"/>
      <c r="J186" s="1418"/>
      <c r="K186" s="1418"/>
      <c r="L186" s="1418"/>
      <c r="M186" s="1418"/>
      <c r="N186" s="1418"/>
      <c r="O186" s="1418"/>
      <c r="P186" s="1418"/>
      <c r="Q186" s="1418"/>
      <c r="R186" s="1418"/>
      <c r="S186" s="1418"/>
      <c r="T186" s="1418"/>
      <c r="U186" s="1419"/>
      <c r="W186" s="478"/>
    </row>
    <row r="187" spans="1:38" ht="15.75" x14ac:dyDescent="0.25">
      <c r="A187" s="1424"/>
      <c r="B187" s="1215"/>
      <c r="C187" s="2449" t="str">
        <f>+IF(W187&gt;0,"There are errors in the calculations in this form.  Have you over written some of the pre-filled calculations? Please check.","")</f>
        <v/>
      </c>
      <c r="D187" s="2449"/>
      <c r="E187" s="2449"/>
      <c r="F187" s="2449"/>
      <c r="G187" s="2449"/>
      <c r="H187" s="2449"/>
      <c r="I187" s="2449"/>
      <c r="J187" s="2449"/>
      <c r="K187" s="2449"/>
      <c r="L187" s="2449"/>
      <c r="M187" s="2449"/>
      <c r="N187" s="2449"/>
      <c r="O187" s="2449"/>
      <c r="P187" s="2449"/>
      <c r="Q187" s="2449"/>
      <c r="R187" s="2449"/>
      <c r="S187" s="2449"/>
      <c r="T187" s="1215"/>
      <c r="U187" s="1216"/>
      <c r="W187" s="492">
        <f>SUM(W14:W183)</f>
        <v>0</v>
      </c>
    </row>
    <row r="188" spans="1:38" ht="16.5" thickBot="1" x14ac:dyDescent="0.3">
      <c r="A188" s="1424"/>
      <c r="B188" s="1215"/>
      <c r="C188" s="1530"/>
      <c r="D188" s="1531"/>
      <c r="E188" s="1531"/>
      <c r="F188" s="1531"/>
      <c r="G188" s="1531"/>
      <c r="H188" s="1531"/>
      <c r="I188" s="1531"/>
      <c r="J188" s="1531"/>
      <c r="K188" s="1531"/>
      <c r="L188" s="1531"/>
      <c r="M188" s="1531"/>
      <c r="N188" s="1531"/>
      <c r="O188" s="1531"/>
      <c r="P188" s="1531"/>
      <c r="Q188" s="1531"/>
      <c r="R188" s="1531"/>
      <c r="S188" s="1531"/>
      <c r="T188" s="1215"/>
      <c r="U188" s="1216"/>
    </row>
    <row r="189" spans="1:38" ht="16.5" thickBot="1" x14ac:dyDescent="0.3">
      <c r="A189" s="1424"/>
      <c r="B189" s="1215"/>
      <c r="C189" s="1530"/>
      <c r="D189" s="1531"/>
      <c r="E189" s="1531"/>
      <c r="F189" s="1531"/>
      <c r="G189" s="1531"/>
      <c r="H189" s="1531"/>
      <c r="I189" s="1531"/>
      <c r="J189" s="1531"/>
      <c r="K189" s="1532" t="s">
        <v>1077</v>
      </c>
      <c r="L189" s="2440"/>
      <c r="M189" s="2441"/>
      <c r="N189" s="2441"/>
      <c r="O189" s="2441"/>
      <c r="P189" s="2441"/>
      <c r="Q189" s="2441"/>
      <c r="R189" s="2441"/>
      <c r="S189" s="2442"/>
      <c r="T189" s="1215"/>
      <c r="U189" s="1216"/>
    </row>
    <row r="190" spans="1:38" ht="15.75" thickBot="1" x14ac:dyDescent="0.25">
      <c r="A190" s="1484"/>
      <c r="B190" s="1345"/>
      <c r="C190" s="1345"/>
      <c r="D190" s="1345"/>
      <c r="E190" s="1345"/>
      <c r="F190" s="1345"/>
      <c r="G190" s="1345"/>
      <c r="H190" s="1345"/>
      <c r="I190" s="1345"/>
      <c r="J190" s="1345"/>
      <c r="K190" s="1345"/>
      <c r="L190" s="1345"/>
      <c r="M190" s="1345"/>
      <c r="N190" s="1345"/>
      <c r="O190" s="1345"/>
      <c r="P190" s="1345"/>
      <c r="Q190" s="1345"/>
      <c r="R190" s="1345"/>
      <c r="S190" s="1345"/>
      <c r="T190" s="1345"/>
      <c r="U190" s="1487"/>
    </row>
    <row r="192" spans="1:38" x14ac:dyDescent="0.2">
      <c r="A192" s="1533"/>
      <c r="B192" s="1533"/>
      <c r="C192" s="1533" t="s">
        <v>1086</v>
      </c>
      <c r="D192" s="1533"/>
      <c r="E192" s="1534"/>
      <c r="F192" s="1534"/>
      <c r="G192" s="1534"/>
      <c r="H192" s="1534"/>
      <c r="I192" s="1534"/>
      <c r="J192" s="1534"/>
      <c r="K192" s="1534"/>
      <c r="L192" s="1534"/>
      <c r="M192" s="1534"/>
      <c r="N192" s="1534"/>
      <c r="O192" s="1534"/>
      <c r="P192" s="1534"/>
      <c r="Q192" s="1534"/>
      <c r="R192" s="1534"/>
      <c r="S192" s="1534"/>
      <c r="T192" s="1534"/>
      <c r="U192" s="1534"/>
    </row>
    <row r="193" spans="1:21" x14ac:dyDescent="0.2">
      <c r="A193" s="1533"/>
      <c r="B193" s="1533"/>
      <c r="C193" s="1533">
        <f>+'Part 1'!Q233</f>
        <v>0</v>
      </c>
      <c r="D193" s="1533"/>
      <c r="E193" s="1534"/>
      <c r="F193" s="1534"/>
      <c r="G193" s="1534"/>
      <c r="H193" s="1534"/>
      <c r="I193" s="1534"/>
      <c r="J193" s="1534"/>
      <c r="K193" s="1535"/>
      <c r="L193" s="1534"/>
      <c r="M193" s="1534"/>
      <c r="N193" s="1534"/>
      <c r="O193" s="1534"/>
      <c r="P193" s="1534"/>
      <c r="Q193" s="1534"/>
      <c r="R193" s="1534"/>
      <c r="S193" s="1534"/>
      <c r="T193" s="1534"/>
      <c r="U193" s="1534"/>
    </row>
    <row r="194" spans="1:21" x14ac:dyDescent="0.2">
      <c r="A194" s="1533"/>
      <c r="B194" s="1533"/>
      <c r="C194" s="1533"/>
      <c r="D194" s="1533"/>
      <c r="E194" s="1534"/>
      <c r="F194" s="1534"/>
      <c r="G194" s="1534"/>
      <c r="H194" s="1534"/>
      <c r="I194" s="1534"/>
      <c r="J194" s="1534"/>
      <c r="K194" s="1534"/>
      <c r="L194" s="1534"/>
      <c r="M194" s="1534"/>
      <c r="N194" s="1534"/>
      <c r="O194" s="1534"/>
      <c r="P194" s="1534"/>
      <c r="Q194" s="1534"/>
      <c r="R194" s="1534"/>
      <c r="S194" s="1534"/>
      <c r="T194" s="1534"/>
      <c r="U194" s="1534"/>
    </row>
    <row r="195" spans="1:21" x14ac:dyDescent="0.2">
      <c r="B195" s="1534"/>
      <c r="C195" s="1534"/>
      <c r="D195" s="1534"/>
      <c r="E195" s="1534"/>
      <c r="F195" s="1534"/>
      <c r="G195" s="1534"/>
      <c r="H195" s="1534"/>
      <c r="I195" s="1534"/>
      <c r="J195" s="1534"/>
      <c r="K195" s="1534"/>
      <c r="L195" s="1534"/>
      <c r="M195" s="1534"/>
      <c r="N195" s="1534"/>
      <c r="O195" s="1534"/>
      <c r="P195" s="1534"/>
      <c r="Q195" s="1534"/>
      <c r="R195" s="1534"/>
      <c r="S195" s="1534"/>
      <c r="T195" s="1534"/>
      <c r="U195" s="1534"/>
    </row>
    <row r="196" spans="1:21" x14ac:dyDescent="0.2">
      <c r="B196" s="1534"/>
      <c r="C196" s="1534"/>
      <c r="D196" s="1534"/>
      <c r="E196" s="1534"/>
      <c r="F196" s="1534"/>
      <c r="G196" s="1534"/>
      <c r="H196" s="1534"/>
      <c r="I196" s="1534"/>
      <c r="J196" s="1534"/>
      <c r="K196" s="1534"/>
      <c r="L196" s="1534"/>
      <c r="M196" s="1534"/>
      <c r="N196" s="1534"/>
      <c r="O196" s="1534"/>
      <c r="P196" s="1534"/>
      <c r="Q196" s="1534"/>
      <c r="R196" s="1534"/>
      <c r="S196" s="1534"/>
      <c r="T196" s="1534"/>
      <c r="U196" s="1534"/>
    </row>
    <row r="197" spans="1:21" x14ac:dyDescent="0.2">
      <c r="B197" s="1534"/>
      <c r="C197" s="1534"/>
      <c r="D197" s="1534"/>
      <c r="E197" s="1534"/>
      <c r="F197" s="1534"/>
      <c r="G197" s="1534"/>
      <c r="H197" s="1534"/>
      <c r="I197" s="1534"/>
      <c r="J197" s="1534"/>
      <c r="K197" s="1534"/>
      <c r="L197" s="1534"/>
      <c r="M197" s="1534"/>
      <c r="N197" s="1534"/>
      <c r="O197" s="1534"/>
      <c r="P197" s="1534"/>
      <c r="Q197" s="1534"/>
      <c r="R197" s="1534"/>
      <c r="S197" s="1534"/>
      <c r="T197" s="1534"/>
      <c r="U197" s="1534"/>
    </row>
  </sheetData>
  <dataConsolidate/>
  <mergeCells count="173">
    <mergeCell ref="C9:H9"/>
    <mergeCell ref="W11:W12"/>
    <mergeCell ref="C12:H12"/>
    <mergeCell ref="J12:K12"/>
    <mergeCell ref="N12:O12"/>
    <mergeCell ref="R12:S12"/>
    <mergeCell ref="A2:U2"/>
    <mergeCell ref="A3:U3"/>
    <mergeCell ref="A4:U4"/>
    <mergeCell ref="A5:U5"/>
    <mergeCell ref="A6:U6"/>
    <mergeCell ref="A7:U7"/>
    <mergeCell ref="W16:W17"/>
    <mergeCell ref="J17:K17"/>
    <mergeCell ref="N17:O17"/>
    <mergeCell ref="R17:S17"/>
    <mergeCell ref="C13:H13"/>
    <mergeCell ref="J13:K13"/>
    <mergeCell ref="N13:O13"/>
    <mergeCell ref="R13:S13"/>
    <mergeCell ref="C14:D14"/>
    <mergeCell ref="J14:K15"/>
    <mergeCell ref="N14:O15"/>
    <mergeCell ref="R14:S15"/>
    <mergeCell ref="F18:G18"/>
    <mergeCell ref="J18:K18"/>
    <mergeCell ref="N18:O18"/>
    <mergeCell ref="R18:S18"/>
    <mergeCell ref="C20:F21"/>
    <mergeCell ref="J23:K23"/>
    <mergeCell ref="N23:O23"/>
    <mergeCell ref="C16:H17"/>
    <mergeCell ref="J16:K16"/>
    <mergeCell ref="N16:O16"/>
    <mergeCell ref="R16:S16"/>
    <mergeCell ref="C35:G37"/>
    <mergeCell ref="J35:K35"/>
    <mergeCell ref="N35:O35"/>
    <mergeCell ref="R35:S35"/>
    <mergeCell ref="J39:K39"/>
    <mergeCell ref="N39:O39"/>
    <mergeCell ref="J25:K25"/>
    <mergeCell ref="N25:O25"/>
    <mergeCell ref="J28:K28"/>
    <mergeCell ref="N28:O28"/>
    <mergeCell ref="R28:S28"/>
    <mergeCell ref="C32:G33"/>
    <mergeCell ref="J32:K32"/>
    <mergeCell ref="N32:O32"/>
    <mergeCell ref="R32:S32"/>
    <mergeCell ref="J50:K50"/>
    <mergeCell ref="N50:O50"/>
    <mergeCell ref="R50:S50"/>
    <mergeCell ref="J56:K56"/>
    <mergeCell ref="N56:O56"/>
    <mergeCell ref="R56:S56"/>
    <mergeCell ref="C41:G43"/>
    <mergeCell ref="J41:K41"/>
    <mergeCell ref="N41:O41"/>
    <mergeCell ref="J45:K45"/>
    <mergeCell ref="N45:O45"/>
    <mergeCell ref="R45:S45"/>
    <mergeCell ref="J64:K64"/>
    <mergeCell ref="N64:O64"/>
    <mergeCell ref="R64:S64"/>
    <mergeCell ref="J67:K67"/>
    <mergeCell ref="N67:O67"/>
    <mergeCell ref="R67:S67"/>
    <mergeCell ref="C58:G59"/>
    <mergeCell ref="J58:K58"/>
    <mergeCell ref="N58:O58"/>
    <mergeCell ref="R58:S58"/>
    <mergeCell ref="C61:G62"/>
    <mergeCell ref="J61:K61"/>
    <mergeCell ref="N61:O61"/>
    <mergeCell ref="R61:S61"/>
    <mergeCell ref="C78:G79"/>
    <mergeCell ref="J78:K78"/>
    <mergeCell ref="N78:O78"/>
    <mergeCell ref="C81:G83"/>
    <mergeCell ref="J81:K81"/>
    <mergeCell ref="N81:O81"/>
    <mergeCell ref="J70:K70"/>
    <mergeCell ref="N70:O70"/>
    <mergeCell ref="R70:S70"/>
    <mergeCell ref="J73:K73"/>
    <mergeCell ref="N73:O73"/>
    <mergeCell ref="R73:S73"/>
    <mergeCell ref="J96:K96"/>
    <mergeCell ref="N96:O96"/>
    <mergeCell ref="R96:S96"/>
    <mergeCell ref="C100:G101"/>
    <mergeCell ref="J100:K100"/>
    <mergeCell ref="N100:O100"/>
    <mergeCell ref="C85:G86"/>
    <mergeCell ref="J85:K85"/>
    <mergeCell ref="N85:O85"/>
    <mergeCell ref="R85:S85"/>
    <mergeCell ref="J93:K93"/>
    <mergeCell ref="N93:O93"/>
    <mergeCell ref="R93:S93"/>
    <mergeCell ref="R107:S107"/>
    <mergeCell ref="J113:K113"/>
    <mergeCell ref="N113:O113"/>
    <mergeCell ref="R113:S113"/>
    <mergeCell ref="J116:K116"/>
    <mergeCell ref="N116:O116"/>
    <mergeCell ref="R116:S116"/>
    <mergeCell ref="C103:G105"/>
    <mergeCell ref="J103:K103"/>
    <mergeCell ref="N103:O103"/>
    <mergeCell ref="C107:G108"/>
    <mergeCell ref="J107:K107"/>
    <mergeCell ref="N107:O107"/>
    <mergeCell ref="J125:K125"/>
    <mergeCell ref="N125:O125"/>
    <mergeCell ref="R125:S125"/>
    <mergeCell ref="J128:K128"/>
    <mergeCell ref="N128:O128"/>
    <mergeCell ref="R128:S128"/>
    <mergeCell ref="J119:K119"/>
    <mergeCell ref="N119:O119"/>
    <mergeCell ref="R119:S119"/>
    <mergeCell ref="J122:K122"/>
    <mergeCell ref="N122:O122"/>
    <mergeCell ref="R122:S122"/>
    <mergeCell ref="C145:G146"/>
    <mergeCell ref="J145:K145"/>
    <mergeCell ref="N145:O145"/>
    <mergeCell ref="R145:S145"/>
    <mergeCell ref="C150:L151"/>
    <mergeCell ref="J153:K153"/>
    <mergeCell ref="N153:O153"/>
    <mergeCell ref="R153:S153"/>
    <mergeCell ref="N131:O131"/>
    <mergeCell ref="J132:K132"/>
    <mergeCell ref="C138:G139"/>
    <mergeCell ref="J138:K138"/>
    <mergeCell ref="N138:O138"/>
    <mergeCell ref="C141:G143"/>
    <mergeCell ref="J141:K141"/>
    <mergeCell ref="N141:O141"/>
    <mergeCell ref="C165:G167"/>
    <mergeCell ref="J165:K165"/>
    <mergeCell ref="N165:O165"/>
    <mergeCell ref="C169:G171"/>
    <mergeCell ref="J169:K169"/>
    <mergeCell ref="N169:O169"/>
    <mergeCell ref="J156:K156"/>
    <mergeCell ref="N156:O156"/>
    <mergeCell ref="R156:S156"/>
    <mergeCell ref="J159:K159"/>
    <mergeCell ref="N159:O159"/>
    <mergeCell ref="R159:S159"/>
    <mergeCell ref="C159:G159"/>
    <mergeCell ref="C162:G162"/>
    <mergeCell ref="J162:K162"/>
    <mergeCell ref="N162:O162"/>
    <mergeCell ref="R162:S162"/>
    <mergeCell ref="L189:S189"/>
    <mergeCell ref="C181:H183"/>
    <mergeCell ref="J181:K181"/>
    <mergeCell ref="N181:O181"/>
    <mergeCell ref="R181:S181"/>
    <mergeCell ref="J183:K183"/>
    <mergeCell ref="C187:S187"/>
    <mergeCell ref="C173:G175"/>
    <mergeCell ref="J173:K173"/>
    <mergeCell ref="N173:O173"/>
    <mergeCell ref="R173:S173"/>
    <mergeCell ref="J180:K180"/>
    <mergeCell ref="N180:O180"/>
    <mergeCell ref="R180:S180"/>
  </mergeCells>
  <conditionalFormatting sqref="J56:K56">
    <cfRule type="cellIs" dxfId="109" priority="88" stopIfTrue="1" operator="greaterThan">
      <formula>0</formula>
    </cfRule>
  </conditionalFormatting>
  <conditionalFormatting sqref="J18:K18">
    <cfRule type="cellIs" dxfId="108" priority="90" stopIfTrue="1" operator="lessThan">
      <formula>0</formula>
    </cfRule>
  </conditionalFormatting>
  <conditionalFormatting sqref="J32:K32">
    <cfRule type="cellIs" dxfId="107" priority="89" stopIfTrue="1" operator="greaterThan">
      <formula>0</formula>
    </cfRule>
  </conditionalFormatting>
  <conditionalFormatting sqref="J41:K41">
    <cfRule type="cellIs" dxfId="106" priority="86" stopIfTrue="1" operator="greaterThan">
      <formula>0</formula>
    </cfRule>
  </conditionalFormatting>
  <conditionalFormatting sqref="N35:O35">
    <cfRule type="cellIs" dxfId="105" priority="87" stopIfTrue="1" operator="greaterThan">
      <formula>0</formula>
    </cfRule>
  </conditionalFormatting>
  <conditionalFormatting sqref="N35:O35">
    <cfRule type="cellIs" dxfId="104" priority="85" stopIfTrue="1" operator="lessThan">
      <formula>0</formula>
    </cfRule>
  </conditionalFormatting>
  <conditionalFormatting sqref="N32:O32">
    <cfRule type="cellIs" dxfId="103" priority="84" stopIfTrue="1" operator="greaterThan">
      <formula>0</formula>
    </cfRule>
  </conditionalFormatting>
  <conditionalFormatting sqref="J132:K132">
    <cfRule type="cellIs" dxfId="102" priority="83" stopIfTrue="1" operator="greaterThan">
      <formula>0</formula>
    </cfRule>
  </conditionalFormatting>
  <conditionalFormatting sqref="N131:O131">
    <cfRule type="cellIs" dxfId="101" priority="82" stopIfTrue="1" operator="greaterThan">
      <formula>0</formula>
    </cfRule>
  </conditionalFormatting>
  <conditionalFormatting sqref="N41:O41">
    <cfRule type="cellIs" dxfId="100" priority="81" stopIfTrue="1" operator="greaterThan">
      <formula>0</formula>
    </cfRule>
  </conditionalFormatting>
  <conditionalFormatting sqref="N35:O35">
    <cfRule type="cellIs" dxfId="99" priority="79" stopIfTrue="1" operator="greaterThan">
      <formula>0</formula>
    </cfRule>
  </conditionalFormatting>
  <conditionalFormatting sqref="J35:K35">
    <cfRule type="cellIs" dxfId="98" priority="80" stopIfTrue="1" operator="greaterThan">
      <formula>0</formula>
    </cfRule>
  </conditionalFormatting>
  <conditionalFormatting sqref="U18">
    <cfRule type="expression" dxfId="97" priority="77">
      <formula>AND($W18=0)=FALSE</formula>
    </cfRule>
  </conditionalFormatting>
  <conditionalFormatting sqref="U32">
    <cfRule type="expression" dxfId="96" priority="76">
      <formula>AND($W32=0)=FALSE</formula>
    </cfRule>
  </conditionalFormatting>
  <conditionalFormatting sqref="U35">
    <cfRule type="expression" dxfId="95" priority="75">
      <formula>AND($W35=0)=FALSE</formula>
    </cfRule>
  </conditionalFormatting>
  <conditionalFormatting sqref="U50">
    <cfRule type="expression" dxfId="94" priority="74">
      <formula>AND($W50=0)=FALSE</formula>
    </cfRule>
  </conditionalFormatting>
  <conditionalFormatting sqref="U56">
    <cfRule type="expression" dxfId="93" priority="73">
      <formula>AND($W56=0)=FALSE</formula>
    </cfRule>
  </conditionalFormatting>
  <conditionalFormatting sqref="U58">
    <cfRule type="expression" dxfId="92" priority="72">
      <formula>AND($W58=0)=FALSE</formula>
    </cfRule>
  </conditionalFormatting>
  <conditionalFormatting sqref="U61">
    <cfRule type="expression" dxfId="91" priority="71">
      <formula>AND($W61=0)=FALSE</formula>
    </cfRule>
  </conditionalFormatting>
  <conditionalFormatting sqref="U67">
    <cfRule type="expression" dxfId="90" priority="70">
      <formula>AND($W67=0)=FALSE</formula>
    </cfRule>
  </conditionalFormatting>
  <conditionalFormatting sqref="U70">
    <cfRule type="expression" dxfId="89" priority="69">
      <formula>AND($W70=0)=FALSE</formula>
    </cfRule>
  </conditionalFormatting>
  <conditionalFormatting sqref="U73">
    <cfRule type="expression" dxfId="88" priority="68">
      <formula>AND($W73=0)=FALSE</formula>
    </cfRule>
  </conditionalFormatting>
  <conditionalFormatting sqref="U93">
    <cfRule type="expression" dxfId="87" priority="67">
      <formula>AND($W93=0)=FALSE</formula>
    </cfRule>
  </conditionalFormatting>
  <conditionalFormatting sqref="U96">
    <cfRule type="expression" dxfId="86" priority="66">
      <formula>AND($W96=0)=FALSE</formula>
    </cfRule>
  </conditionalFormatting>
  <conditionalFormatting sqref="U113">
    <cfRule type="expression" dxfId="85" priority="65">
      <formula>AND($W113=0)=FALSE</formula>
    </cfRule>
  </conditionalFormatting>
  <conditionalFormatting sqref="U116">
    <cfRule type="expression" dxfId="84" priority="64">
      <formula>AND($W116=0)=FALSE</formula>
    </cfRule>
  </conditionalFormatting>
  <conditionalFormatting sqref="U119">
    <cfRule type="expression" dxfId="83" priority="63">
      <formula>AND($W119=0)=FALSE</formula>
    </cfRule>
  </conditionalFormatting>
  <conditionalFormatting sqref="U122">
    <cfRule type="expression" dxfId="82" priority="62">
      <formula>AND($W122=0)=FALSE</formula>
    </cfRule>
  </conditionalFormatting>
  <conditionalFormatting sqref="U125">
    <cfRule type="expression" dxfId="81" priority="61">
      <formula>AND($W125=0)=FALSE</formula>
    </cfRule>
  </conditionalFormatting>
  <conditionalFormatting sqref="U128">
    <cfRule type="expression" dxfId="80" priority="60">
      <formula>AND($W128=0)=FALSE</formula>
    </cfRule>
  </conditionalFormatting>
  <conditionalFormatting sqref="U153">
    <cfRule type="expression" dxfId="79" priority="59">
      <formula>AND($W153=0)=FALSE</formula>
    </cfRule>
  </conditionalFormatting>
  <conditionalFormatting sqref="U156">
    <cfRule type="expression" dxfId="78" priority="58">
      <formula>AND($W156=0)=FALSE</formula>
    </cfRule>
  </conditionalFormatting>
  <conditionalFormatting sqref="U159:U160">
    <cfRule type="expression" dxfId="77" priority="57">
      <formula>AND($W159=0)=FALSE</formula>
    </cfRule>
  </conditionalFormatting>
  <conditionalFormatting sqref="U181">
    <cfRule type="expression" dxfId="76" priority="56">
      <formula>AND($W181=0)=FALSE</formula>
    </cfRule>
  </conditionalFormatting>
  <conditionalFormatting sqref="U28">
    <cfRule type="expression" dxfId="75" priority="55">
      <formula>AND($W23+W25+W28=0)=FALSE</formula>
    </cfRule>
  </conditionalFormatting>
  <conditionalFormatting sqref="U45">
    <cfRule type="expression" dxfId="74" priority="54">
      <formula>AND($W39+W41+W45=0)=FALSE</formula>
    </cfRule>
  </conditionalFormatting>
  <conditionalFormatting sqref="U64">
    <cfRule type="expression" dxfId="73" priority="53">
      <formula>AND($W63+W64+W65=0)=FALSE</formula>
    </cfRule>
  </conditionalFormatting>
  <conditionalFormatting sqref="U85">
    <cfRule type="expression" dxfId="72" priority="52">
      <formula>AND($W78+W81+W85=0)=FALSE</formula>
    </cfRule>
  </conditionalFormatting>
  <conditionalFormatting sqref="U107">
    <cfRule type="expression" dxfId="71" priority="51">
      <formula>AND($W100+W103+W107=0)=FALSE</formula>
    </cfRule>
  </conditionalFormatting>
  <conditionalFormatting sqref="U145">
    <cfRule type="expression" dxfId="70" priority="50">
      <formula>AND($W138+W141+W145=0)=FALSE</formula>
    </cfRule>
  </conditionalFormatting>
  <conditionalFormatting sqref="U173">
    <cfRule type="expression" dxfId="69" priority="49">
      <formula>AND($W165+W169+W173=0)=FALSE</formula>
    </cfRule>
  </conditionalFormatting>
  <conditionalFormatting sqref="N18:O18">
    <cfRule type="cellIs" dxfId="68" priority="48" stopIfTrue="1" operator="lessThan">
      <formula>0</formula>
    </cfRule>
  </conditionalFormatting>
  <conditionalFormatting sqref="J58:K58">
    <cfRule type="cellIs" dxfId="67" priority="47" stopIfTrue="1" operator="greaterThan">
      <formula>0</formula>
    </cfRule>
  </conditionalFormatting>
  <conditionalFormatting sqref="J67:K67">
    <cfRule type="cellIs" dxfId="66" priority="46" stopIfTrue="1" operator="greaterThan">
      <formula>0</formula>
    </cfRule>
  </conditionalFormatting>
  <conditionalFormatting sqref="J70:K70">
    <cfRule type="cellIs" dxfId="65" priority="45" stopIfTrue="1" operator="greaterThan">
      <formula>0</formula>
    </cfRule>
  </conditionalFormatting>
  <conditionalFormatting sqref="J73:K73">
    <cfRule type="cellIs" dxfId="64" priority="44" stopIfTrue="1" operator="greaterThan">
      <formula>0</formula>
    </cfRule>
  </conditionalFormatting>
  <conditionalFormatting sqref="N56:O56">
    <cfRule type="cellIs" dxfId="63" priority="43" stopIfTrue="1" operator="greaterThan">
      <formula>0</formula>
    </cfRule>
  </conditionalFormatting>
  <conditionalFormatting sqref="N58:O58">
    <cfRule type="cellIs" dxfId="62" priority="42" stopIfTrue="1" operator="greaterThan">
      <formula>0</formula>
    </cfRule>
  </conditionalFormatting>
  <conditionalFormatting sqref="N67:O67">
    <cfRule type="cellIs" dxfId="61" priority="41" stopIfTrue="1" operator="greaterThan">
      <formula>0</formula>
    </cfRule>
  </conditionalFormatting>
  <conditionalFormatting sqref="N70:O70">
    <cfRule type="cellIs" dxfId="60" priority="40" stopIfTrue="1" operator="greaterThan">
      <formula>0</formula>
    </cfRule>
  </conditionalFormatting>
  <conditionalFormatting sqref="N73:O73">
    <cfRule type="cellIs" dxfId="59" priority="39" stopIfTrue="1" operator="greaterThan">
      <formula>0</formula>
    </cfRule>
  </conditionalFormatting>
  <conditionalFormatting sqref="J93:K93">
    <cfRule type="cellIs" dxfId="58" priority="38" stopIfTrue="1" operator="greaterThan">
      <formula>0</formula>
    </cfRule>
  </conditionalFormatting>
  <conditionalFormatting sqref="J96:K96">
    <cfRule type="cellIs" dxfId="57" priority="37" stopIfTrue="1" operator="greaterThan">
      <formula>0</formula>
    </cfRule>
  </conditionalFormatting>
  <conditionalFormatting sqref="N93:O93">
    <cfRule type="cellIs" dxfId="56" priority="36" stopIfTrue="1" operator="greaterThan">
      <formula>0</formula>
    </cfRule>
  </conditionalFormatting>
  <conditionalFormatting sqref="N96:O96">
    <cfRule type="cellIs" dxfId="55" priority="35" stopIfTrue="1" operator="greaterThan">
      <formula>0</formula>
    </cfRule>
  </conditionalFormatting>
  <conditionalFormatting sqref="J113:K113">
    <cfRule type="cellIs" dxfId="54" priority="33" stopIfTrue="1" operator="greaterThan">
      <formula>0</formula>
    </cfRule>
  </conditionalFormatting>
  <conditionalFormatting sqref="N113:O113">
    <cfRule type="cellIs" dxfId="53" priority="32" stopIfTrue="1" operator="greaterThan">
      <formula>0</formula>
    </cfRule>
  </conditionalFormatting>
  <conditionalFormatting sqref="J116:K116">
    <cfRule type="cellIs" dxfId="52" priority="30" stopIfTrue="1" operator="greaterThan">
      <formula>0</formula>
    </cfRule>
  </conditionalFormatting>
  <conditionalFormatting sqref="N116:O116">
    <cfRule type="cellIs" dxfId="51" priority="29" stopIfTrue="1" operator="greaterThan">
      <formula>0</formula>
    </cfRule>
  </conditionalFormatting>
  <conditionalFormatting sqref="J119:K119">
    <cfRule type="cellIs" dxfId="50" priority="27" stopIfTrue="1" operator="greaterThan">
      <formula>0</formula>
    </cfRule>
  </conditionalFormatting>
  <conditionalFormatting sqref="N119:O119">
    <cfRule type="cellIs" dxfId="49" priority="26" stopIfTrue="1" operator="greaterThan">
      <formula>0</formula>
    </cfRule>
  </conditionalFormatting>
  <conditionalFormatting sqref="J122:K122">
    <cfRule type="cellIs" dxfId="48" priority="24" stopIfTrue="1" operator="greaterThan">
      <formula>0</formula>
    </cfRule>
  </conditionalFormatting>
  <conditionalFormatting sqref="N122:O122">
    <cfRule type="cellIs" dxfId="47" priority="23" stopIfTrue="1" operator="greaterThan">
      <formula>0</formula>
    </cfRule>
  </conditionalFormatting>
  <conditionalFormatting sqref="J125:K125">
    <cfRule type="cellIs" dxfId="46" priority="21" stopIfTrue="1" operator="greaterThan">
      <formula>0</formula>
    </cfRule>
  </conditionalFormatting>
  <conditionalFormatting sqref="N125:O125">
    <cfRule type="cellIs" dxfId="45" priority="20" stopIfTrue="1" operator="greaterThan">
      <formula>0</formula>
    </cfRule>
  </conditionalFormatting>
  <conditionalFormatting sqref="J128:K128">
    <cfRule type="cellIs" dxfId="44" priority="18" stopIfTrue="1" operator="greaterThan">
      <formula>0</formula>
    </cfRule>
  </conditionalFormatting>
  <conditionalFormatting sqref="N128:O128">
    <cfRule type="cellIs" dxfId="43" priority="17" stopIfTrue="1" operator="greaterThan">
      <formula>0</formula>
    </cfRule>
  </conditionalFormatting>
  <conditionalFormatting sqref="N153:O153">
    <cfRule type="cellIs" dxfId="42" priority="15" stopIfTrue="1" operator="greaterThan">
      <formula>0</formula>
    </cfRule>
  </conditionalFormatting>
  <conditionalFormatting sqref="N156:O156">
    <cfRule type="cellIs" dxfId="41" priority="13" stopIfTrue="1" operator="greaterThan">
      <formula>0</formula>
    </cfRule>
  </conditionalFormatting>
  <conditionalFormatting sqref="N159:O159">
    <cfRule type="cellIs" dxfId="40" priority="11" stopIfTrue="1" operator="greaterThan">
      <formula>0</formula>
    </cfRule>
  </conditionalFormatting>
  <conditionalFormatting sqref="J153:K153">
    <cfRule type="cellIs" dxfId="39" priority="8" stopIfTrue="1" operator="greaterThan">
      <formula>0</formula>
    </cfRule>
  </conditionalFormatting>
  <conditionalFormatting sqref="J156:K156">
    <cfRule type="cellIs" dxfId="38" priority="7" stopIfTrue="1" operator="greaterThan">
      <formula>0</formula>
    </cfRule>
  </conditionalFormatting>
  <conditionalFormatting sqref="J159:K159">
    <cfRule type="cellIs" dxfId="37" priority="6" stopIfTrue="1" operator="greaterThan">
      <formula>0</formula>
    </cfRule>
  </conditionalFormatting>
  <conditionalFormatting sqref="U162">
    <cfRule type="expression" dxfId="36" priority="4">
      <formula>AND($W162=0)=FALSE</formula>
    </cfRule>
  </conditionalFormatting>
  <conditionalFormatting sqref="N162:O162">
    <cfRule type="cellIs" dxfId="35" priority="2" stopIfTrue="1" operator="greaterThan">
      <formula>0</formula>
    </cfRule>
  </conditionalFormatting>
  <conditionalFormatting sqref="J162:K162">
    <cfRule type="cellIs" dxfId="34" priority="1" stopIfTrue="1" operator="greaterThan">
      <formula>0</formula>
    </cfRule>
  </conditionalFormatting>
  <dataValidations count="10">
    <dataValidation type="whole" operator="greaterThanOrEqual" allowBlank="1" showInputMessage="1" showErrorMessage="1" sqref="J35:K35 N35:O35">
      <formula1>0</formula1>
    </dataValidation>
    <dataValidation type="whole" operator="lessThanOrEqual" allowBlank="1" showInputMessage="1" showErrorMessage="1" sqref="J32:K32 N32:O32">
      <formula1>0</formula1>
    </dataValidation>
    <dataValidation type="whole" allowBlank="1" showInputMessage="1" showErrorMessage="1" errorTitle="Whole numbers allowed" error="Please enter a whole positive number - no pence allowed" sqref="J61:K61">
      <formula1>0</formula1>
      <formula2>1000000000000</formula2>
    </dataValidation>
    <dataValidation type="custom" allowBlank="1" showInputMessage="1" showErrorMessage="1" errorTitle="Data entry not allowed" sqref="G20">
      <formula1>L16="n/a"</formula1>
    </dataValidation>
    <dataValidation type="whole" operator="greaterThanOrEqual" allowBlank="1" showInputMessage="1" showErrorMessage="1" errorTitle="Positive whole number required" error="This MUST be a whole positive number" sqref="J18:K18 N18:O18">
      <formula1>0</formula1>
    </dataValidation>
    <dataValidation type="whole" allowBlank="1" showInputMessage="1" showErrorMessage="1" errorTitle="Whole numbers allowed" error="Please enter a whole number - no pence allowed" sqref="J81:K81 N81:O81 J25:K25 N25:O25 N61:O61 N169:O169 J103:K103 N103:O103 J141:K141 N141:O141 J169:K169">
      <formula1>-100000000000000</formula1>
      <formula2>1000000000000</formula2>
    </dataValidation>
    <dataValidation type="whole" operator="lessThanOrEqual" allowBlank="1" showInputMessage="1" showErrorMessage="1" errorTitle="Negative whole number required" error="This  MUST be negative whole number" sqref="J56:K56 J58:K58 J67:K67 J70:K70 J73:K73 N56:O56 N58:O58 N67:O67 N70:O70 N73:O73 J93:K93 J96:K96 N93:O93 N96:O96 J113:K113 N113:O113 J116:K116 N116:O116 J119:K119 N119:O119 J122:K122 N122:O122 J125:K125 N125:O125 J128:K128 N128:O128 N156:O156 N153:O153 N159:O159 J153:K153 J156:K156 J159:K159 N162:O162 J162:K162">
      <formula1>0</formula1>
    </dataValidation>
    <dataValidation type="custom" allowBlank="1" showInputMessage="1" showErrorMessage="1" error="Data entry not allowed_x000a_" sqref="N181:O181 J173:K173 R28:S28">
      <formula1>"if(P57=""n/a"")"</formula1>
    </dataValidation>
    <dataValidation type="custom" allowBlank="1" showInputMessage="1" showErrorMessage="1" error="Data entry not allowed" sqref="J181:K181 R181:S181 J23:K23 J28:K28 N23:O23 N28:O28 J39:K39 N138:O138 N39:O39 N64:O64 J50:K50 N50:O50 J64:K64 J78:K78 J85:K85 J100:K100 J107:K107 N145:O145 N78:O78 N85:O85 N100:O100 N107:O107 J138:K138 J145:K145">
      <formula1>"if(P57=""n/a"")"</formula1>
    </dataValidation>
    <dataValidation type="whole" operator="lessThanOrEqual" allowBlank="1" showInputMessage="1" showErrorMessage="1" errorTitle="Negative number required here" error="This number MUST be negative" sqref="J132:K132 N131:O131">
      <formula1>0</formula1>
    </dataValidation>
  </dataValidations>
  <printOptions horizontalCentered="1"/>
  <pageMargins left="0.39370078740157483" right="0.39370078740157483" top="0.39370078740157483" bottom="0.39370078740157483" header="0.31496062992125984" footer="0.31496062992125984"/>
  <pageSetup paperSize="9" scale="67" fitToHeight="0" orientation="portrait" r:id="rId1"/>
  <headerFooter alignWithMargins="0"/>
  <rowBreaks count="2" manualBreakCount="2">
    <brk id="74" max="20" man="1"/>
    <brk id="133" max="20" man="1"/>
  </rowBreaks>
  <extLst>
    <ext xmlns:x14="http://schemas.microsoft.com/office/spreadsheetml/2009/9/main" uri="{78C0D931-6437-407d-A8EE-F0AAD7539E65}">
      <x14:conditionalFormattings>
        <x14:conditionalFormatting xmlns:xm="http://schemas.microsoft.com/office/excel/2006/main">
          <x14:cfRule type="expression" priority="78" id="{FE01F09D-6733-40C6-A66C-0545B26EB6B4}">
            <xm:f>AND('Part 1'!$Q$233=0)=TRUE</xm:f>
            <x14:dxf>
              <fill>
                <patternFill>
                  <bgColor theme="0" tint="-0.24994659260841701"/>
                </patternFill>
              </fill>
            </x14:dxf>
          </x14:cfRule>
          <xm:sqref>M17:P160 M163:P184</xm:sqref>
        </x14:conditionalFormatting>
        <x14:conditionalFormatting xmlns:xm="http://schemas.microsoft.com/office/excel/2006/main">
          <x14:cfRule type="expression" priority="34" id="{29491AFF-4C01-48D2-96E3-D17C2966D8C6}">
            <xm:f>AND('Part 1'!$Q$233=0)=TRUE</xm:f>
            <x14:dxf>
              <fill>
                <patternFill>
                  <bgColor theme="0" tint="-0.24994659260841701"/>
                </patternFill>
              </fill>
            </x14:dxf>
          </x14:cfRule>
          <xm:sqref>M113</xm:sqref>
        </x14:conditionalFormatting>
        <x14:conditionalFormatting xmlns:xm="http://schemas.microsoft.com/office/excel/2006/main">
          <x14:cfRule type="expression" priority="31" id="{12AEEE2B-D11D-4A0A-8827-AC42EF4485E0}">
            <xm:f>AND('Part 1'!$Q$233=0)=TRUE</xm:f>
            <x14:dxf>
              <fill>
                <patternFill>
                  <bgColor theme="0" tint="-0.24994659260841701"/>
                </patternFill>
              </fill>
            </x14:dxf>
          </x14:cfRule>
          <xm:sqref>M116</xm:sqref>
        </x14:conditionalFormatting>
        <x14:conditionalFormatting xmlns:xm="http://schemas.microsoft.com/office/excel/2006/main">
          <x14:cfRule type="expression" priority="28" id="{5D29125F-2706-42B2-944C-0F171E76B92E}">
            <xm:f>AND('Part 1'!$Q$233=0)=TRUE</xm:f>
            <x14:dxf>
              <fill>
                <patternFill>
                  <bgColor theme="0" tint="-0.24994659260841701"/>
                </patternFill>
              </fill>
            </x14:dxf>
          </x14:cfRule>
          <xm:sqref>M119</xm:sqref>
        </x14:conditionalFormatting>
        <x14:conditionalFormatting xmlns:xm="http://schemas.microsoft.com/office/excel/2006/main">
          <x14:cfRule type="expression" priority="25" id="{65C097CC-80D9-4963-A526-691DC9B2A3A9}">
            <xm:f>AND('Part 1'!$Q$233=0)=TRUE</xm:f>
            <x14:dxf>
              <fill>
                <patternFill>
                  <bgColor theme="0" tint="-0.24994659260841701"/>
                </patternFill>
              </fill>
            </x14:dxf>
          </x14:cfRule>
          <xm:sqref>M122</xm:sqref>
        </x14:conditionalFormatting>
        <x14:conditionalFormatting xmlns:xm="http://schemas.microsoft.com/office/excel/2006/main">
          <x14:cfRule type="expression" priority="22" id="{F9976226-D9BC-4E72-B28D-D738FC5913CD}">
            <xm:f>AND('Part 1'!$Q$233=0)=TRUE</xm:f>
            <x14:dxf>
              <fill>
                <patternFill>
                  <bgColor theme="0" tint="-0.24994659260841701"/>
                </patternFill>
              </fill>
            </x14:dxf>
          </x14:cfRule>
          <xm:sqref>M125</xm:sqref>
        </x14:conditionalFormatting>
        <x14:conditionalFormatting xmlns:xm="http://schemas.microsoft.com/office/excel/2006/main">
          <x14:cfRule type="expression" priority="19" id="{FF4F9B21-C5A8-4BDA-98D7-E83E4389DDEB}">
            <xm:f>AND('Part 1'!$Q$233=0)=TRUE</xm:f>
            <x14:dxf>
              <fill>
                <patternFill>
                  <bgColor theme="0" tint="-0.24994659260841701"/>
                </patternFill>
              </fill>
            </x14:dxf>
          </x14:cfRule>
          <xm:sqref>M128</xm:sqref>
        </x14:conditionalFormatting>
        <x14:conditionalFormatting xmlns:xm="http://schemas.microsoft.com/office/excel/2006/main">
          <x14:cfRule type="expression" priority="16" id="{B598D932-4B4E-4BAD-AAFC-0BDFFF308195}">
            <xm:f>AND('Part 1'!$Q$233=0)=TRUE</xm:f>
            <x14:dxf>
              <fill>
                <patternFill>
                  <bgColor theme="0" tint="-0.24994659260841701"/>
                </patternFill>
              </fill>
            </x14:dxf>
          </x14:cfRule>
          <xm:sqref>M153</xm:sqref>
        </x14:conditionalFormatting>
        <x14:conditionalFormatting xmlns:xm="http://schemas.microsoft.com/office/excel/2006/main">
          <x14:cfRule type="expression" priority="14" id="{323D1AD4-32CC-4505-9B8F-F1A395671EFC}">
            <xm:f>AND('Part 1'!$Q$233=0)=TRUE</xm:f>
            <x14:dxf>
              <fill>
                <patternFill>
                  <bgColor theme="0" tint="-0.24994659260841701"/>
                </patternFill>
              </fill>
            </x14:dxf>
          </x14:cfRule>
          <xm:sqref>M156</xm:sqref>
        </x14:conditionalFormatting>
        <x14:conditionalFormatting xmlns:xm="http://schemas.microsoft.com/office/excel/2006/main">
          <x14:cfRule type="expression" priority="12" id="{9ABC9F14-37FE-4588-8020-B43467E42FF3}">
            <xm:f>AND('Part 1'!$Q$233=0)=TRUE</xm:f>
            <x14:dxf>
              <fill>
                <patternFill>
                  <bgColor theme="0" tint="-0.24994659260841701"/>
                </patternFill>
              </fill>
            </x14:dxf>
          </x14:cfRule>
          <xm:sqref>M159</xm:sqref>
        </x14:conditionalFormatting>
        <x14:conditionalFormatting xmlns:xm="http://schemas.microsoft.com/office/excel/2006/main">
          <x14:cfRule type="expression" priority="10" id="{67679041-E313-4BD0-B134-ACF406453709}">
            <xm:f>AND('Part 1'!$Q$233=0)=TRUE</xm:f>
            <x14:dxf>
              <fill>
                <patternFill>
                  <bgColor theme="0" tint="-0.24994659260841701"/>
                </patternFill>
              </fill>
            </x14:dxf>
          </x14:cfRule>
          <xm:sqref>M141</xm:sqref>
        </x14:conditionalFormatting>
        <x14:conditionalFormatting xmlns:xm="http://schemas.microsoft.com/office/excel/2006/main">
          <x14:cfRule type="expression" priority="9" id="{3643697F-D693-4997-8860-B2706E1C4AB6}">
            <xm:f>AND('Part 1'!$Q$233=0)=TRUE</xm:f>
            <x14:dxf>
              <fill>
                <patternFill>
                  <bgColor theme="0" tint="-0.24994659260841701"/>
                </patternFill>
              </fill>
            </x14:dxf>
          </x14:cfRule>
          <xm:sqref>M169</xm:sqref>
        </x14:conditionalFormatting>
        <x14:conditionalFormatting xmlns:xm="http://schemas.microsoft.com/office/excel/2006/main">
          <x14:cfRule type="expression" priority="5" id="{75A9B45E-0082-4390-848E-F33ECDE13405}">
            <xm:f>AND('Part 1'!$Q$233=0)=TRUE</xm:f>
            <x14:dxf>
              <fill>
                <patternFill>
                  <bgColor theme="0" tint="-0.24994659260841701"/>
                </patternFill>
              </fill>
            </x14:dxf>
          </x14:cfRule>
          <xm:sqref>M161:P162</xm:sqref>
        </x14:conditionalFormatting>
        <x14:conditionalFormatting xmlns:xm="http://schemas.microsoft.com/office/excel/2006/main">
          <x14:cfRule type="expression" priority="3" id="{9679E8CD-0497-4F3F-B2A7-C490E3A164E5}">
            <xm:f>AND('Part 1'!$Q$233=0)=TRUE</xm:f>
            <x14:dxf>
              <fill>
                <patternFill>
                  <bgColor theme="0" tint="-0.24994659260841701"/>
                </patternFill>
              </fill>
            </x14:dxf>
          </x14:cfRule>
          <xm:sqref>M162</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IV299"/>
  <sheetViews>
    <sheetView showGridLines="0" workbookViewId="0"/>
  </sheetViews>
  <sheetFormatPr defaultColWidth="9.140625" defaultRowHeight="15" x14ac:dyDescent="0.2"/>
  <cols>
    <col min="1" max="1" width="3.42578125" style="487" customWidth="1"/>
    <col min="2" max="2" width="1.7109375" style="9" customWidth="1"/>
    <col min="3" max="3" width="13.28515625" style="9" bestFit="1" customWidth="1"/>
    <col min="4" max="8" width="9.140625" style="9"/>
    <col min="9" max="9" width="13" style="9" bestFit="1" customWidth="1"/>
    <col min="10" max="10" width="3.7109375" style="9" customWidth="1"/>
    <col min="11" max="12" width="8.7109375" style="9" customWidth="1"/>
    <col min="13" max="13" width="3.7109375" style="9" customWidth="1"/>
    <col min="14" max="15" width="10.28515625" style="9" customWidth="1"/>
    <col min="16" max="16" width="3.7109375" style="9" customWidth="1"/>
    <col min="17" max="18" width="10.28515625" style="9" customWidth="1"/>
    <col min="19" max="19" width="3.7109375" style="9" customWidth="1"/>
    <col min="20" max="21" width="10.28515625" style="9" customWidth="1"/>
    <col min="22" max="22" width="3.7109375" style="9" customWidth="1"/>
    <col min="23" max="24" width="8.7109375" style="9" customWidth="1"/>
    <col min="25" max="25" width="1.5703125" style="9" customWidth="1"/>
    <col min="26" max="26" width="1.7109375" style="9" customWidth="1"/>
    <col min="27" max="27" width="10.140625" style="8" bestFit="1" customWidth="1"/>
    <col min="28" max="28" width="12.7109375" style="161" hidden="1" customWidth="1"/>
    <col min="29" max="29" width="14.140625" style="9" bestFit="1" customWidth="1"/>
    <col min="30" max="30" width="22.85546875" style="9" bestFit="1" customWidth="1"/>
    <col min="31" max="32" width="10.140625" style="9" bestFit="1" customWidth="1"/>
    <col min="33" max="33" width="17.5703125" style="9" bestFit="1" customWidth="1"/>
    <col min="34" max="34" width="10.7109375" style="9" bestFit="1" customWidth="1"/>
    <col min="35" max="35" width="9.140625" style="9"/>
    <col min="36" max="36" width="16.28515625" style="9" bestFit="1" customWidth="1"/>
    <col min="37" max="16384" width="9.140625" style="9"/>
  </cols>
  <sheetData>
    <row r="1" spans="1:36" s="990" customFormat="1" x14ac:dyDescent="0.2">
      <c r="A1" s="991"/>
      <c r="B1" s="864"/>
      <c r="C1" s="864"/>
      <c r="D1" s="864"/>
      <c r="E1" s="864"/>
      <c r="F1" s="1006">
        <v>327</v>
      </c>
      <c r="G1" s="864"/>
      <c r="H1" s="864"/>
      <c r="I1" s="864"/>
      <c r="J1" s="864"/>
      <c r="K1" s="864"/>
      <c r="L1" s="864"/>
      <c r="M1" s="864"/>
      <c r="N1" s="864"/>
      <c r="O1" s="864"/>
      <c r="P1" s="864"/>
      <c r="Q1" s="864"/>
      <c r="R1" s="2100"/>
      <c r="S1" s="2100"/>
      <c r="T1" s="864"/>
      <c r="U1" s="864"/>
      <c r="V1" s="864"/>
      <c r="W1" s="864"/>
      <c r="X1" s="864"/>
      <c r="Y1" s="864"/>
      <c r="Z1" s="992"/>
      <c r="AA1" s="993"/>
      <c r="AB1" s="994"/>
    </row>
    <row r="2" spans="1:36" ht="15.75" x14ac:dyDescent="0.25">
      <c r="A2" s="2105" t="s">
        <v>820</v>
      </c>
      <c r="B2" s="2106"/>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7"/>
    </row>
    <row r="3" spans="1:36" ht="15.75" x14ac:dyDescent="0.25">
      <c r="A3" s="2105" t="s">
        <v>2110</v>
      </c>
      <c r="B3" s="2106"/>
      <c r="C3" s="2106"/>
      <c r="D3" s="2106"/>
      <c r="E3" s="2106"/>
      <c r="F3" s="2106"/>
      <c r="G3" s="2106"/>
      <c r="H3" s="2106"/>
      <c r="I3" s="2106"/>
      <c r="J3" s="2106"/>
      <c r="K3" s="2106"/>
      <c r="L3" s="2106"/>
      <c r="M3" s="2106"/>
      <c r="N3" s="2106"/>
      <c r="O3" s="2106"/>
      <c r="P3" s="2106"/>
      <c r="Q3" s="2106"/>
      <c r="R3" s="2106"/>
      <c r="S3" s="2106"/>
      <c r="T3" s="2106"/>
      <c r="U3" s="2106"/>
      <c r="V3" s="2106"/>
      <c r="W3" s="2106"/>
      <c r="X3" s="2106"/>
      <c r="Y3" s="2106"/>
      <c r="Z3" s="2107"/>
    </row>
    <row r="4" spans="1:36" ht="15.75" x14ac:dyDescent="0.25">
      <c r="A4" s="2085" t="s">
        <v>2111</v>
      </c>
      <c r="B4" s="2086"/>
      <c r="C4" s="2086"/>
      <c r="D4" s="2086"/>
      <c r="E4" s="2086"/>
      <c r="F4" s="2086"/>
      <c r="G4" s="2086"/>
      <c r="H4" s="2086"/>
      <c r="I4" s="2086"/>
      <c r="J4" s="2086"/>
      <c r="K4" s="2086"/>
      <c r="L4" s="2086"/>
      <c r="M4" s="2086"/>
      <c r="N4" s="2086"/>
      <c r="O4" s="2086"/>
      <c r="P4" s="2086"/>
      <c r="Q4" s="2086"/>
      <c r="R4" s="2086"/>
      <c r="S4" s="2086"/>
      <c r="T4" s="2086"/>
      <c r="U4" s="2086"/>
      <c r="V4" s="2086"/>
      <c r="W4" s="2086"/>
      <c r="X4" s="2086"/>
      <c r="Y4" s="2086"/>
      <c r="Z4" s="2087"/>
    </row>
    <row r="5" spans="1:36" ht="15.75" x14ac:dyDescent="0.25">
      <c r="A5" s="2085" t="s">
        <v>2112</v>
      </c>
      <c r="B5" s="2086"/>
      <c r="C5" s="2086"/>
      <c r="D5" s="2086"/>
      <c r="E5" s="2086"/>
      <c r="F5" s="2086"/>
      <c r="G5" s="2086"/>
      <c r="H5" s="2086"/>
      <c r="I5" s="2086"/>
      <c r="J5" s="2086"/>
      <c r="K5" s="2086"/>
      <c r="L5" s="2086"/>
      <c r="M5" s="2086"/>
      <c r="N5" s="2086"/>
      <c r="O5" s="2086"/>
      <c r="P5" s="2086"/>
      <c r="Q5" s="2086"/>
      <c r="R5" s="2086"/>
      <c r="S5" s="2086"/>
      <c r="T5" s="2086"/>
      <c r="U5" s="2086"/>
      <c r="V5" s="2086"/>
      <c r="W5" s="2086"/>
      <c r="X5" s="2086"/>
      <c r="Y5" s="2086"/>
      <c r="Z5" s="2087"/>
    </row>
    <row r="6" spans="1:36" x14ac:dyDescent="0.2">
      <c r="A6" s="675"/>
      <c r="B6" s="676"/>
      <c r="C6" s="676"/>
      <c r="D6" s="676"/>
      <c r="E6" s="676"/>
      <c r="F6" s="676"/>
      <c r="G6" s="676"/>
      <c r="H6" s="676"/>
      <c r="I6" s="676"/>
      <c r="J6" s="676"/>
      <c r="K6" s="676"/>
      <c r="L6" s="676"/>
      <c r="M6" s="676"/>
      <c r="N6" s="676"/>
      <c r="O6" s="676"/>
      <c r="P6" s="676"/>
      <c r="Q6" s="676"/>
      <c r="R6" s="676"/>
      <c r="S6" s="676"/>
      <c r="T6" s="676"/>
      <c r="U6" s="676"/>
      <c r="V6" s="676"/>
      <c r="W6" s="676"/>
      <c r="X6" s="676"/>
      <c r="Y6" s="676"/>
      <c r="Z6" s="677"/>
    </row>
    <row r="7" spans="1:36" ht="15.75" x14ac:dyDescent="0.25">
      <c r="A7" s="2082" t="s">
        <v>1070</v>
      </c>
      <c r="B7" s="2083"/>
      <c r="C7" s="2083"/>
      <c r="D7" s="2083"/>
      <c r="E7" s="2083"/>
      <c r="F7" s="2083"/>
      <c r="G7" s="2083"/>
      <c r="H7" s="2083"/>
      <c r="I7" s="2083"/>
      <c r="J7" s="2083"/>
      <c r="K7" s="2083"/>
      <c r="L7" s="2083"/>
      <c r="M7" s="2083"/>
      <c r="N7" s="2083"/>
      <c r="O7" s="2083"/>
      <c r="P7" s="2083"/>
      <c r="Q7" s="2083"/>
      <c r="R7" s="2083"/>
      <c r="S7" s="2083"/>
      <c r="T7" s="2083"/>
      <c r="U7" s="2083"/>
      <c r="V7" s="2083"/>
      <c r="W7" s="2083"/>
      <c r="X7" s="2083"/>
      <c r="Y7" s="2083"/>
      <c r="Z7" s="2084"/>
    </row>
    <row r="8" spans="1:36" x14ac:dyDescent="0.2">
      <c r="A8" s="675"/>
      <c r="B8" s="676"/>
      <c r="C8" s="676"/>
      <c r="D8" s="676"/>
      <c r="E8" s="676"/>
      <c r="F8" s="676"/>
      <c r="G8" s="676"/>
      <c r="H8" s="676"/>
      <c r="I8" s="676"/>
      <c r="J8" s="676"/>
      <c r="K8" s="676"/>
      <c r="L8" s="676"/>
      <c r="M8" s="676"/>
      <c r="N8" s="676"/>
      <c r="O8" s="676"/>
      <c r="P8" s="676"/>
      <c r="Q8" s="676"/>
      <c r="R8" s="676"/>
      <c r="S8" s="676"/>
      <c r="T8" s="676"/>
      <c r="U8" s="676"/>
      <c r="V8" s="676"/>
      <c r="W8" s="676"/>
      <c r="X8" s="676"/>
      <c r="Y8" s="676"/>
      <c r="Z8" s="677"/>
    </row>
    <row r="9" spans="1:36" x14ac:dyDescent="0.2">
      <c r="A9" s="2085" t="str">
        <f>+IF('Main Validation'!M48=0,"If you are content with your answers please return this form to DCLG as soon as possible","Please check the validation tabs and supply answers to the validation queries that require a comment")</f>
        <v>Please check the validation tabs and supply answers to the validation queries that require a comment</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7"/>
      <c r="AA9" s="438"/>
    </row>
    <row r="10" spans="1:36" ht="15.75" thickBot="1" x14ac:dyDescent="0.25">
      <c r="A10" s="2110"/>
      <c r="B10" s="2111"/>
      <c r="C10" s="2111"/>
      <c r="D10" s="2111"/>
      <c r="E10" s="2111"/>
      <c r="F10" s="2111"/>
      <c r="G10" s="2111"/>
      <c r="H10" s="2111"/>
      <c r="I10" s="2111"/>
      <c r="J10" s="2111"/>
      <c r="K10" s="2111"/>
      <c r="L10" s="2111"/>
      <c r="M10" s="2111"/>
      <c r="N10" s="2111"/>
      <c r="O10" s="2111"/>
      <c r="P10" s="2111"/>
      <c r="Q10" s="2111"/>
      <c r="R10" s="2111"/>
      <c r="S10" s="2111"/>
      <c r="T10" s="2111"/>
      <c r="U10" s="2111"/>
      <c r="V10" s="2111"/>
      <c r="W10" s="2111"/>
      <c r="X10" s="2111"/>
      <c r="Y10" s="2111"/>
      <c r="Z10" s="2112"/>
    </row>
    <row r="11" spans="1:36" s="990" customFormat="1" x14ac:dyDescent="0.2">
      <c r="A11" s="991"/>
      <c r="B11" s="864"/>
      <c r="C11" s="864"/>
      <c r="D11" s="864"/>
      <c r="E11" s="864"/>
      <c r="F11" s="864"/>
      <c r="G11" s="864"/>
      <c r="H11" s="864"/>
      <c r="I11" s="864"/>
      <c r="J11" s="864"/>
      <c r="K11" s="864"/>
      <c r="L11" s="864"/>
      <c r="M11" s="864"/>
      <c r="N11" s="864"/>
      <c r="O11" s="864"/>
      <c r="P11" s="864"/>
      <c r="Q11" s="864"/>
      <c r="R11" s="864"/>
      <c r="S11" s="864"/>
      <c r="T11" s="864"/>
      <c r="U11" s="864"/>
      <c r="V11" s="864"/>
      <c r="W11" s="864"/>
      <c r="X11" s="864"/>
      <c r="Y11" s="864"/>
      <c r="Z11" s="992"/>
      <c r="AA11" s="993"/>
      <c r="AB11" s="994"/>
      <c r="AF11" s="995"/>
    </row>
    <row r="12" spans="1:36" s="990" customFormat="1" x14ac:dyDescent="0.2">
      <c r="A12" s="996"/>
      <c r="B12" s="57"/>
      <c r="C12" s="57"/>
      <c r="D12" s="57"/>
      <c r="E12" s="2109" t="s">
        <v>566</v>
      </c>
      <c r="F12" s="2109"/>
      <c r="G12" s="2109"/>
      <c r="H12" s="2109"/>
      <c r="I12" s="2109"/>
      <c r="J12" s="2109"/>
      <c r="K12" s="57"/>
      <c r="L12" s="52"/>
      <c r="M12" s="52"/>
      <c r="N12" s="52"/>
      <c r="O12" s="53"/>
      <c r="P12" s="57"/>
      <c r="Q12" s="57"/>
      <c r="R12" s="57"/>
      <c r="S12" s="57"/>
      <c r="T12" s="57"/>
      <c r="U12" s="57"/>
      <c r="V12" s="57"/>
      <c r="W12" s="57"/>
      <c r="X12" s="57"/>
      <c r="Y12" s="57"/>
      <c r="Z12" s="997"/>
      <c r="AA12" s="993"/>
      <c r="AB12" s="994"/>
      <c r="AF12" s="995"/>
      <c r="AJ12" s="998"/>
    </row>
    <row r="13" spans="1:36" s="990" customFormat="1" x14ac:dyDescent="0.2">
      <c r="A13" s="996"/>
      <c r="B13" s="57"/>
      <c r="C13" s="57"/>
      <c r="D13" s="57"/>
      <c r="E13" s="57"/>
      <c r="F13" s="53"/>
      <c r="G13" s="53"/>
      <c r="H13" s="53"/>
      <c r="I13" s="53"/>
      <c r="J13" s="53"/>
      <c r="K13" s="53"/>
      <c r="L13" s="52"/>
      <c r="M13" s="52"/>
      <c r="N13" s="52"/>
      <c r="O13" s="53"/>
      <c r="P13" s="57"/>
      <c r="Q13" s="57"/>
      <c r="R13" s="57"/>
      <c r="S13" s="57"/>
      <c r="T13" s="57"/>
      <c r="U13" s="57"/>
      <c r="V13" s="57"/>
      <c r="W13" s="57"/>
      <c r="X13" s="57"/>
      <c r="Y13" s="57"/>
      <c r="Z13" s="997"/>
      <c r="AA13" s="993"/>
      <c r="AB13" s="994"/>
      <c r="AF13" s="999"/>
    </row>
    <row r="14" spans="1:36" s="990" customFormat="1" x14ac:dyDescent="0.2">
      <c r="A14" s="996"/>
      <c r="B14" s="57"/>
      <c r="C14" s="57"/>
      <c r="D14" s="57"/>
      <c r="E14" s="57"/>
      <c r="F14" s="55"/>
      <c r="G14" s="55"/>
      <c r="H14" s="55"/>
      <c r="I14" s="55"/>
      <c r="J14" s="55"/>
      <c r="K14" s="55"/>
      <c r="L14" s="56"/>
      <c r="M14" s="56"/>
      <c r="N14" s="56"/>
      <c r="O14" s="55"/>
      <c r="P14" s="57"/>
      <c r="Q14" s="57"/>
      <c r="R14" s="57"/>
      <c r="S14" s="57"/>
      <c r="T14" s="57"/>
      <c r="U14" s="57"/>
      <c r="V14" s="57"/>
      <c r="W14" s="57"/>
      <c r="X14" s="57"/>
      <c r="Y14" s="57"/>
      <c r="Z14" s="997"/>
      <c r="AA14" s="993"/>
      <c r="AB14" s="994"/>
      <c r="AF14" s="995"/>
    </row>
    <row r="15" spans="1:36" s="990" customFormat="1" x14ac:dyDescent="0.2">
      <c r="A15" s="996"/>
      <c r="B15" s="57"/>
      <c r="C15" s="57"/>
      <c r="D15" s="57"/>
      <c r="E15" s="57"/>
      <c r="F15" s="55"/>
      <c r="G15" s="55"/>
      <c r="H15" s="55"/>
      <c r="I15" s="55"/>
      <c r="J15" s="55"/>
      <c r="K15" s="55"/>
      <c r="L15" s="56"/>
      <c r="M15" s="56"/>
      <c r="N15" s="56"/>
      <c r="O15" s="55"/>
      <c r="P15" s="57"/>
      <c r="Q15" s="57"/>
      <c r="R15" s="57"/>
      <c r="S15" s="57"/>
      <c r="T15" s="57"/>
      <c r="U15" s="57"/>
      <c r="V15" s="57"/>
      <c r="W15" s="57"/>
      <c r="X15" s="57"/>
      <c r="Y15" s="57"/>
      <c r="Z15" s="997"/>
      <c r="AA15" s="993"/>
      <c r="AB15" s="994"/>
      <c r="AF15" s="999"/>
    </row>
    <row r="16" spans="1:36" s="990" customFormat="1" x14ac:dyDescent="0.2">
      <c r="A16" s="996"/>
      <c r="B16" s="57"/>
      <c r="C16" s="57"/>
      <c r="D16" s="57"/>
      <c r="E16" s="57" t="s">
        <v>789</v>
      </c>
      <c r="F16" s="55"/>
      <c r="G16" s="57"/>
      <c r="H16" s="55"/>
      <c r="I16" s="57"/>
      <c r="J16" s="55"/>
      <c r="K16" s="55"/>
      <c r="L16" s="2079" t="str">
        <f>VLOOKUP(F1,datar,2,FALSE)</f>
        <v>ZZZZ</v>
      </c>
      <c r="M16" s="2080"/>
      <c r="N16" s="2080"/>
      <c r="O16" s="2080"/>
      <c r="P16" s="2081"/>
      <c r="Q16" s="57"/>
      <c r="R16" s="1000" t="str">
        <f>+IF(L16="ZZZZ","Please select your authority from the list above","")</f>
        <v>Please select your authority from the list above</v>
      </c>
      <c r="S16" s="57"/>
      <c r="T16" s="57"/>
      <c r="U16" s="57"/>
      <c r="V16" s="57"/>
      <c r="W16" s="57"/>
      <c r="X16" s="57"/>
      <c r="Y16" s="57"/>
      <c r="Z16" s="997"/>
      <c r="AA16" s="993"/>
      <c r="AB16" s="994"/>
    </row>
    <row r="17" spans="1:32" s="990" customFormat="1" x14ac:dyDescent="0.2">
      <c r="A17" s="996"/>
      <c r="B17" s="57"/>
      <c r="C17" s="57"/>
      <c r="D17" s="57"/>
      <c r="E17" s="57" t="s">
        <v>790</v>
      </c>
      <c r="F17" s="55"/>
      <c r="G17" s="57"/>
      <c r="H17" s="55"/>
      <c r="I17" s="57"/>
      <c r="J17" s="55"/>
      <c r="K17" s="55"/>
      <c r="L17" s="2079" t="str">
        <f>VLOOKUP(F1,datar,3,FALSE)</f>
        <v>EZZZZ</v>
      </c>
      <c r="M17" s="2080"/>
      <c r="N17" s="2080"/>
      <c r="O17" s="2080"/>
      <c r="P17" s="2081"/>
      <c r="Q17" s="57"/>
      <c r="R17" s="1000" t="str">
        <f>+IF(L17="EZZZZ","Please select your authority from the list above","")</f>
        <v>Please select your authority from the list above</v>
      </c>
      <c r="S17" s="57"/>
      <c r="T17" s="57"/>
      <c r="U17" s="57"/>
      <c r="V17" s="57"/>
      <c r="W17" s="57"/>
      <c r="X17" s="57"/>
      <c r="Y17" s="57"/>
      <c r="Z17" s="997"/>
      <c r="AA17" s="993"/>
      <c r="AB17" s="994"/>
      <c r="AF17" s="995"/>
    </row>
    <row r="18" spans="1:32" s="990" customFormat="1" x14ac:dyDescent="0.2">
      <c r="A18" s="996"/>
      <c r="B18" s="57"/>
      <c r="C18" s="57"/>
      <c r="D18" s="57"/>
      <c r="E18" s="57" t="s">
        <v>791</v>
      </c>
      <c r="F18" s="55"/>
      <c r="G18" s="57"/>
      <c r="H18" s="55"/>
      <c r="I18" s="57"/>
      <c r="J18" s="55"/>
      <c r="K18" s="55"/>
      <c r="L18" s="2079"/>
      <c r="M18" s="2080"/>
      <c r="N18" s="2080"/>
      <c r="O18" s="2080"/>
      <c r="P18" s="2081"/>
      <c r="Q18" s="57"/>
      <c r="R18" s="1000" t="str">
        <f>+IF(L18="","Please enter the name of your authority contact","")</f>
        <v>Please enter the name of your authority contact</v>
      </c>
      <c r="S18" s="57"/>
      <c r="T18" s="57"/>
      <c r="U18" s="57"/>
      <c r="V18" s="57"/>
      <c r="W18" s="57"/>
      <c r="X18" s="57"/>
      <c r="Y18" s="57"/>
      <c r="Z18" s="997"/>
      <c r="AA18" s="993"/>
      <c r="AB18" s="994"/>
      <c r="AF18" s="995"/>
    </row>
    <row r="19" spans="1:32" s="990" customFormat="1" x14ac:dyDescent="0.2">
      <c r="A19" s="996"/>
      <c r="B19" s="57"/>
      <c r="C19" s="57"/>
      <c r="D19" s="57"/>
      <c r="E19" s="57" t="s">
        <v>792</v>
      </c>
      <c r="F19" s="54"/>
      <c r="G19" s="57"/>
      <c r="H19" s="55"/>
      <c r="I19" s="57"/>
      <c r="J19" s="55"/>
      <c r="K19" s="55"/>
      <c r="L19" s="2079"/>
      <c r="M19" s="2080"/>
      <c r="N19" s="2080"/>
      <c r="O19" s="2080"/>
      <c r="P19" s="2081"/>
      <c r="Q19" s="57"/>
      <c r="R19" s="1000" t="str">
        <f>+IF(L19="","Please enter your authority contact's phone number","")</f>
        <v>Please enter your authority contact's phone number</v>
      </c>
      <c r="S19" s="57"/>
      <c r="T19" s="57"/>
      <c r="U19" s="57"/>
      <c r="V19" s="57"/>
      <c r="W19" s="57"/>
      <c r="X19" s="57"/>
      <c r="Y19" s="57"/>
      <c r="Z19" s="997"/>
      <c r="AA19" s="993"/>
      <c r="AB19" s="994"/>
    </row>
    <row r="20" spans="1:32" s="990" customFormat="1" x14ac:dyDescent="0.2">
      <c r="A20" s="996"/>
      <c r="B20" s="57"/>
      <c r="C20" s="57"/>
      <c r="D20" s="57"/>
      <c r="E20" s="57" t="s">
        <v>793</v>
      </c>
      <c r="F20" s="54"/>
      <c r="G20" s="57"/>
      <c r="H20" s="55"/>
      <c r="I20" s="57"/>
      <c r="J20" s="55"/>
      <c r="K20" s="55"/>
      <c r="L20" s="2079"/>
      <c r="M20" s="2080"/>
      <c r="N20" s="2080"/>
      <c r="O20" s="2080"/>
      <c r="P20" s="2081"/>
      <c r="Q20" s="57"/>
      <c r="R20" s="1000" t="str">
        <f>+IF(L20="","Please enter your authority contact's email address","")</f>
        <v>Please enter your authority contact's email address</v>
      </c>
      <c r="S20" s="57"/>
      <c r="T20" s="57"/>
      <c r="U20" s="57"/>
      <c r="V20" s="57"/>
      <c r="W20" s="57"/>
      <c r="X20" s="57"/>
      <c r="Y20" s="57"/>
      <c r="Z20" s="997"/>
      <c r="AA20" s="993"/>
      <c r="AB20" s="994"/>
    </row>
    <row r="21" spans="1:32" s="990" customFormat="1" ht="15.75" thickBot="1" x14ac:dyDescent="0.25">
      <c r="A21" s="1001"/>
      <c r="B21" s="1002"/>
      <c r="C21" s="1002"/>
      <c r="D21" s="1002"/>
      <c r="E21" s="1002"/>
      <c r="F21" s="1002"/>
      <c r="G21" s="1002"/>
      <c r="H21" s="1002"/>
      <c r="I21" s="1002"/>
      <c r="J21" s="1002"/>
      <c r="K21" s="1002"/>
      <c r="L21" s="1002"/>
      <c r="M21" s="1002"/>
      <c r="N21" s="1002"/>
      <c r="O21" s="1002"/>
      <c r="P21" s="1002"/>
      <c r="Q21" s="1002"/>
      <c r="R21" s="1002"/>
      <c r="S21" s="1002"/>
      <c r="T21" s="1002"/>
      <c r="U21" s="1002"/>
      <c r="V21" s="1002"/>
      <c r="W21" s="1003" t="s">
        <v>1195</v>
      </c>
      <c r="X21" s="1004">
        <v>1</v>
      </c>
      <c r="Y21" s="1002"/>
      <c r="Z21" s="1005"/>
      <c r="AA21" s="993"/>
      <c r="AB21" s="994"/>
    </row>
    <row r="22" spans="1:32" x14ac:dyDescent="0.2">
      <c r="A22" s="479"/>
      <c r="B22" s="10"/>
      <c r="C22" s="10"/>
      <c r="D22" s="10"/>
      <c r="E22" s="10"/>
      <c r="F22" s="10"/>
      <c r="G22" s="10"/>
      <c r="H22" s="10"/>
      <c r="I22" s="10"/>
      <c r="J22" s="10"/>
      <c r="K22" s="10"/>
      <c r="L22" s="10"/>
      <c r="M22" s="10"/>
      <c r="N22" s="10"/>
      <c r="O22" s="10"/>
      <c r="P22" s="10"/>
      <c r="Q22" s="10"/>
      <c r="R22" s="10"/>
      <c r="S22" s="10"/>
      <c r="T22" s="10"/>
      <c r="U22" s="10"/>
      <c r="V22" s="10"/>
      <c r="W22" s="10"/>
      <c r="X22" s="10"/>
      <c r="Y22" s="10"/>
      <c r="Z22" s="11"/>
    </row>
    <row r="23" spans="1:32" ht="15.75" x14ac:dyDescent="0.25">
      <c r="A23" s="479"/>
      <c r="B23" s="10"/>
      <c r="C23" s="2089" t="s">
        <v>37</v>
      </c>
      <c r="D23" s="2089"/>
      <c r="E23" s="2089"/>
      <c r="F23" s="2089"/>
      <c r="G23" s="2089"/>
      <c r="H23" s="10"/>
      <c r="I23" s="10"/>
      <c r="J23" s="10"/>
      <c r="K23" s="10"/>
      <c r="L23" s="10"/>
      <c r="M23" s="10"/>
      <c r="N23" s="10"/>
      <c r="O23" s="10"/>
      <c r="P23" s="10"/>
      <c r="Q23" s="10"/>
      <c r="R23" s="10"/>
      <c r="S23" s="10"/>
      <c r="T23" s="10"/>
      <c r="U23" s="10"/>
      <c r="V23" s="10"/>
      <c r="W23" s="10"/>
      <c r="X23" s="10"/>
      <c r="Y23" s="10"/>
      <c r="Z23" s="11"/>
    </row>
    <row r="24" spans="1:32" ht="16.5" thickBot="1" x14ac:dyDescent="0.3">
      <c r="A24" s="479"/>
      <c r="B24" s="10"/>
      <c r="C24" s="180" t="s">
        <v>826</v>
      </c>
      <c r="D24" s="200"/>
      <c r="E24" s="200"/>
      <c r="F24" s="200"/>
      <c r="G24" s="200"/>
      <c r="H24" s="200"/>
      <c r="I24" s="200"/>
      <c r="J24" s="10"/>
      <c r="K24" s="2078" t="s">
        <v>786</v>
      </c>
      <c r="L24" s="2078"/>
      <c r="M24" s="10"/>
      <c r="N24" s="10"/>
      <c r="O24" s="10"/>
      <c r="P24" s="10"/>
      <c r="Q24" s="10"/>
      <c r="R24" s="14"/>
      <c r="S24" s="10"/>
      <c r="T24" s="10"/>
      <c r="U24" s="10"/>
      <c r="V24" s="10"/>
      <c r="W24" s="10"/>
      <c r="X24" s="10"/>
      <c r="Y24" s="10"/>
      <c r="Z24" s="11"/>
    </row>
    <row r="25" spans="1:32" ht="16.5" thickBot="1" x14ac:dyDescent="0.25">
      <c r="A25" s="479"/>
      <c r="B25" s="10"/>
      <c r="C25" s="2093" t="s">
        <v>834</v>
      </c>
      <c r="D25" s="2061"/>
      <c r="E25" s="2061"/>
      <c r="F25" s="2061"/>
      <c r="G25" s="2061"/>
      <c r="H25" s="2061"/>
      <c r="I25" s="2061"/>
      <c r="J25" s="10"/>
      <c r="K25" s="2096">
        <f>+'Part 3'!O31</f>
        <v>0</v>
      </c>
      <c r="L25" s="2097"/>
      <c r="M25" s="154"/>
      <c r="N25" s="10"/>
      <c r="O25" s="158"/>
      <c r="P25" s="155"/>
      <c r="Q25" s="155"/>
      <c r="R25" s="156"/>
      <c r="S25" s="154"/>
      <c r="T25" s="154"/>
      <c r="U25" s="154"/>
      <c r="V25" s="154"/>
      <c r="W25" s="154"/>
      <c r="X25" s="154"/>
      <c r="Y25" s="2"/>
      <c r="Z25" s="125"/>
    </row>
    <row r="26" spans="1:32" ht="15.75" x14ac:dyDescent="0.2">
      <c r="A26" s="479"/>
      <c r="B26" s="10"/>
      <c r="C26" s="2093"/>
      <c r="D26" s="2061"/>
      <c r="E26" s="2061"/>
      <c r="F26" s="2061"/>
      <c r="G26" s="2061"/>
      <c r="H26" s="2061"/>
      <c r="I26" s="2061"/>
      <c r="J26" s="154"/>
      <c r="K26" s="154"/>
      <c r="L26" s="154"/>
      <c r="M26" s="154"/>
      <c r="N26" s="10"/>
      <c r="O26" s="158"/>
      <c r="P26" s="155"/>
      <c r="Q26" s="155"/>
      <c r="R26" s="156"/>
      <c r="S26" s="154"/>
      <c r="T26" s="154"/>
      <c r="U26" s="154"/>
      <c r="V26" s="154"/>
      <c r="W26" s="154"/>
      <c r="X26" s="154"/>
      <c r="Y26" s="10"/>
      <c r="Z26" s="11"/>
    </row>
    <row r="27" spans="1:32" x14ac:dyDescent="0.2">
      <c r="A27" s="479"/>
      <c r="B27" s="10"/>
      <c r="C27" s="2061"/>
      <c r="D27" s="2061"/>
      <c r="E27" s="2061"/>
      <c r="F27" s="2061"/>
      <c r="G27" s="2061"/>
      <c r="H27" s="2061"/>
      <c r="I27" s="2061"/>
      <c r="J27" s="10"/>
      <c r="K27" s="154"/>
      <c r="L27" s="154"/>
      <c r="M27" s="154"/>
      <c r="N27" s="154"/>
      <c r="O27" s="158"/>
      <c r="P27" s="155"/>
      <c r="Q27" s="155"/>
      <c r="R27" s="155"/>
      <c r="S27" s="154"/>
      <c r="T27" s="154"/>
      <c r="U27" s="154"/>
      <c r="V27" s="154"/>
      <c r="W27" s="154"/>
      <c r="X27" s="154"/>
      <c r="Y27" s="10"/>
      <c r="Z27" s="11"/>
    </row>
    <row r="28" spans="1:32" x14ac:dyDescent="0.2">
      <c r="A28" s="479"/>
      <c r="B28" s="10"/>
      <c r="C28" s="2061"/>
      <c r="D28" s="2061"/>
      <c r="E28" s="2061"/>
      <c r="F28" s="2061"/>
      <c r="G28" s="2061"/>
      <c r="H28" s="2061"/>
      <c r="I28" s="2061"/>
      <c r="J28" s="10"/>
      <c r="K28" s="154"/>
      <c r="L28" s="154"/>
      <c r="M28" s="154"/>
      <c r="N28" s="154"/>
      <c r="O28" s="158"/>
      <c r="P28" s="155"/>
      <c r="Q28" s="155"/>
      <c r="R28" s="155"/>
      <c r="S28" s="154"/>
      <c r="T28" s="154"/>
      <c r="U28" s="154"/>
      <c r="V28" s="154"/>
      <c r="W28" s="154"/>
      <c r="X28" s="154"/>
      <c r="Y28" s="10"/>
      <c r="Z28" s="11"/>
    </row>
    <row r="29" spans="1:32" x14ac:dyDescent="0.2">
      <c r="A29" s="479"/>
      <c r="B29" s="10"/>
      <c r="C29" s="200"/>
      <c r="D29" s="200"/>
      <c r="E29" s="200"/>
      <c r="F29" s="200"/>
      <c r="G29" s="200"/>
      <c r="H29" s="200"/>
      <c r="I29" s="200"/>
      <c r="J29" s="15"/>
      <c r="K29" s="154"/>
      <c r="L29" s="154"/>
      <c r="M29" s="154"/>
      <c r="N29" s="154"/>
      <c r="O29" s="158"/>
      <c r="P29" s="155"/>
      <c r="Q29" s="155"/>
      <c r="R29" s="155"/>
      <c r="S29" s="154"/>
      <c r="T29" s="154"/>
      <c r="U29" s="154"/>
      <c r="V29" s="154"/>
      <c r="W29" s="154"/>
      <c r="X29" s="154"/>
      <c r="Y29" s="10"/>
      <c r="Z29" s="11"/>
    </row>
    <row r="30" spans="1:32" ht="16.5" thickBot="1" x14ac:dyDescent="0.25">
      <c r="A30" s="479"/>
      <c r="B30" s="10"/>
      <c r="C30" s="2113" t="s">
        <v>827</v>
      </c>
      <c r="D30" s="2113"/>
      <c r="E30" s="2113"/>
      <c r="F30" s="2113"/>
      <c r="G30" s="2113"/>
      <c r="H30" s="2113"/>
      <c r="I30" s="2113"/>
      <c r="J30" s="10"/>
      <c r="K30" s="154"/>
      <c r="L30" s="154"/>
      <c r="M30" s="154"/>
      <c r="N30" s="154"/>
      <c r="O30" s="158"/>
      <c r="P30" s="155"/>
      <c r="Q30" s="155"/>
      <c r="R30" s="155"/>
      <c r="S30" s="154"/>
      <c r="T30" s="154"/>
      <c r="U30" s="154"/>
      <c r="V30" s="154"/>
      <c r="W30" s="154"/>
      <c r="X30" s="154"/>
      <c r="Y30" s="10"/>
      <c r="Z30" s="11"/>
    </row>
    <row r="31" spans="1:32" ht="16.5" thickBot="1" x14ac:dyDescent="0.25">
      <c r="A31" s="479"/>
      <c r="B31" s="10"/>
      <c r="C31" s="200" t="s">
        <v>787</v>
      </c>
      <c r="D31" s="200"/>
      <c r="E31" s="200"/>
      <c r="F31" s="200"/>
      <c r="G31" s="200"/>
      <c r="H31" s="200"/>
      <c r="I31" s="200"/>
      <c r="J31" s="10"/>
      <c r="K31" s="2096">
        <f>IF(+'Part 2'!R50&gt;0,+'Part 2'!R50,0)</f>
        <v>0</v>
      </c>
      <c r="L31" s="2097"/>
      <c r="M31" s="154"/>
      <c r="N31" s="154"/>
      <c r="O31" s="158"/>
      <c r="P31" s="155"/>
      <c r="Q31" s="155"/>
      <c r="R31" s="155"/>
      <c r="S31" s="154"/>
      <c r="T31" s="154"/>
      <c r="U31" s="154"/>
      <c r="V31" s="154"/>
      <c r="W31" s="154"/>
      <c r="X31" s="154"/>
      <c r="Y31" s="2"/>
      <c r="Z31" s="125"/>
    </row>
    <row r="32" spans="1:32" ht="15.75" thickBot="1" x14ac:dyDescent="0.25">
      <c r="A32" s="479"/>
      <c r="B32" s="10"/>
      <c r="C32" s="200"/>
      <c r="D32" s="200"/>
      <c r="E32" s="200"/>
      <c r="F32" s="200"/>
      <c r="G32" s="200"/>
      <c r="H32" s="200"/>
      <c r="I32" s="200"/>
      <c r="J32" s="10"/>
      <c r="K32" s="154"/>
      <c r="L32" s="154"/>
      <c r="M32" s="154"/>
      <c r="N32" s="154"/>
      <c r="O32" s="158"/>
      <c r="P32" s="155"/>
      <c r="Q32" s="155"/>
      <c r="R32" s="155"/>
      <c r="S32" s="154"/>
      <c r="T32" s="154"/>
      <c r="U32" s="154"/>
      <c r="V32" s="154"/>
      <c r="W32" s="154"/>
      <c r="X32" s="154"/>
      <c r="Y32" s="10"/>
      <c r="Z32" s="11"/>
    </row>
    <row r="33" spans="1:30" ht="16.5" thickBot="1" x14ac:dyDescent="0.25">
      <c r="A33" s="479"/>
      <c r="B33" s="10"/>
      <c r="C33" s="200" t="s">
        <v>788</v>
      </c>
      <c r="D33" s="200"/>
      <c r="E33" s="200"/>
      <c r="F33" s="200"/>
      <c r="G33" s="200"/>
      <c r="H33" s="200"/>
      <c r="I33" s="200"/>
      <c r="J33" s="10"/>
      <c r="K33" s="2096">
        <f>IF(+'Part 2'!R50&lt;0,+'Part 2'!R50*-1,0)</f>
        <v>0</v>
      </c>
      <c r="L33" s="2097"/>
      <c r="M33" s="154"/>
      <c r="N33" s="154"/>
      <c r="O33" s="158"/>
      <c r="P33" s="155"/>
      <c r="Q33" s="155"/>
      <c r="R33" s="155"/>
      <c r="S33" s="154"/>
      <c r="T33" s="154"/>
      <c r="U33" s="154"/>
      <c r="V33" s="154"/>
      <c r="W33" s="154"/>
      <c r="X33" s="154"/>
      <c r="Y33" s="2"/>
      <c r="Z33" s="125"/>
    </row>
    <row r="34" spans="1:30" x14ac:dyDescent="0.2">
      <c r="A34" s="479"/>
      <c r="B34" s="10"/>
      <c r="C34" s="200"/>
      <c r="D34" s="200"/>
      <c r="E34" s="200"/>
      <c r="F34" s="200"/>
      <c r="G34" s="200"/>
      <c r="H34" s="200"/>
      <c r="I34" s="200"/>
      <c r="J34" s="10"/>
      <c r="K34" s="154"/>
      <c r="L34" s="154"/>
      <c r="M34" s="154"/>
      <c r="N34" s="154"/>
      <c r="O34" s="158"/>
      <c r="P34" s="155"/>
      <c r="Q34" s="155"/>
      <c r="R34" s="155"/>
      <c r="S34" s="154"/>
      <c r="T34" s="154"/>
      <c r="U34" s="154"/>
      <c r="V34" s="154"/>
      <c r="W34" s="154"/>
      <c r="X34" s="154"/>
      <c r="Y34" s="10"/>
      <c r="Z34" s="11"/>
    </row>
    <row r="35" spans="1:30" ht="16.5" thickBot="1" x14ac:dyDescent="0.25">
      <c r="A35" s="479"/>
      <c r="B35" s="10"/>
      <c r="C35" s="180" t="s">
        <v>38</v>
      </c>
      <c r="D35" s="180"/>
      <c r="E35" s="180"/>
      <c r="F35" s="180"/>
      <c r="G35" s="200"/>
      <c r="H35" s="200"/>
      <c r="I35" s="200"/>
      <c r="J35" s="10"/>
      <c r="K35" s="154"/>
      <c r="L35" s="154"/>
      <c r="M35" s="154"/>
      <c r="N35" s="154"/>
      <c r="O35" s="158"/>
      <c r="P35" s="155"/>
      <c r="Q35" s="155"/>
      <c r="R35" s="155"/>
      <c r="S35" s="154"/>
      <c r="T35" s="154"/>
      <c r="U35" s="154"/>
      <c r="V35" s="154"/>
      <c r="W35" s="154"/>
      <c r="X35" s="154"/>
      <c r="Y35" s="10"/>
      <c r="Z35" s="11"/>
      <c r="AB35" s="2056" t="s">
        <v>1090</v>
      </c>
    </row>
    <row r="36" spans="1:30" ht="16.5" thickBot="1" x14ac:dyDescent="0.25">
      <c r="A36" s="479"/>
      <c r="B36" s="10"/>
      <c r="C36" s="200" t="s">
        <v>812</v>
      </c>
      <c r="D36" s="200"/>
      <c r="E36" s="200"/>
      <c r="F36" s="200"/>
      <c r="G36" s="200"/>
      <c r="H36" s="200"/>
      <c r="I36" s="200"/>
      <c r="J36" s="10"/>
      <c r="K36" s="2101" t="e">
        <f>VLOOKUP(F1,datar,4,FALSE)</f>
        <v>#N/A</v>
      </c>
      <c r="L36" s="2102"/>
      <c r="M36" s="154"/>
      <c r="N36" s="436"/>
      <c r="O36" s="201"/>
      <c r="P36" s="155"/>
      <c r="Q36" s="155"/>
      <c r="R36" s="155"/>
      <c r="S36" s="154"/>
      <c r="T36" s="154"/>
      <c r="U36" s="154"/>
      <c r="V36" s="154"/>
      <c r="W36" s="154"/>
      <c r="X36" s="154"/>
      <c r="Y36" s="2"/>
      <c r="Z36" s="125"/>
      <c r="AB36" s="2057"/>
    </row>
    <row r="37" spans="1:30" ht="16.5" thickBot="1" x14ac:dyDescent="0.25">
      <c r="A37" s="479"/>
      <c r="B37" s="10"/>
      <c r="C37" s="200"/>
      <c r="D37" s="200"/>
      <c r="E37" s="200"/>
      <c r="F37" s="200"/>
      <c r="G37" s="200"/>
      <c r="H37" s="200"/>
      <c r="I37" s="200"/>
      <c r="J37" s="10"/>
      <c r="K37" s="202"/>
      <c r="L37" s="154"/>
      <c r="M37" s="154"/>
      <c r="N37" s="154"/>
      <c r="O37" s="158"/>
      <c r="P37" s="155"/>
      <c r="Q37" s="155"/>
      <c r="R37" s="155"/>
      <c r="S37" s="154"/>
      <c r="T37" s="154"/>
      <c r="U37" s="154"/>
      <c r="V37" s="154"/>
      <c r="W37" s="154"/>
      <c r="X37" s="154"/>
      <c r="Y37" s="10"/>
      <c r="Z37" s="11"/>
    </row>
    <row r="38" spans="1:30" ht="16.5" thickBot="1" x14ac:dyDescent="0.25">
      <c r="A38" s="479"/>
      <c r="B38" s="10"/>
      <c r="C38" s="200" t="s">
        <v>810</v>
      </c>
      <c r="D38" s="200"/>
      <c r="E38" s="200"/>
      <c r="F38" s="200"/>
      <c r="G38" s="200"/>
      <c r="H38" s="200"/>
      <c r="I38" s="200"/>
      <c r="J38" s="10"/>
      <c r="K38" s="2072">
        <v>0</v>
      </c>
      <c r="L38" s="2073"/>
      <c r="M38" s="154"/>
      <c r="N38" s="154"/>
      <c r="O38" s="158"/>
      <c r="P38" s="155"/>
      <c r="Q38" s="155"/>
      <c r="R38" s="155"/>
      <c r="S38" s="154"/>
      <c r="T38" s="154"/>
      <c r="U38" s="154"/>
      <c r="V38" s="154"/>
      <c r="W38" s="154"/>
      <c r="X38" s="154"/>
      <c r="Y38" s="2"/>
      <c r="Z38" s="125"/>
      <c r="AB38" s="345" t="s">
        <v>70</v>
      </c>
      <c r="AD38" s="468"/>
    </row>
    <row r="39" spans="1:30" ht="16.5" thickBot="1" x14ac:dyDescent="0.25">
      <c r="A39" s="479"/>
      <c r="B39" s="10"/>
      <c r="C39" s="200"/>
      <c r="D39" s="200"/>
      <c r="E39" s="200"/>
      <c r="F39" s="200"/>
      <c r="G39" s="200"/>
      <c r="H39" s="200"/>
      <c r="I39" s="200"/>
      <c r="J39" s="10"/>
      <c r="K39" s="202"/>
      <c r="L39" s="154"/>
      <c r="M39" s="154"/>
      <c r="N39" s="154"/>
      <c r="O39" s="158"/>
      <c r="P39" s="155"/>
      <c r="Q39" s="155"/>
      <c r="R39" s="155"/>
      <c r="S39" s="154"/>
      <c r="T39" s="154"/>
      <c r="U39" s="154"/>
      <c r="V39" s="154"/>
      <c r="W39" s="154"/>
      <c r="X39" s="154"/>
      <c r="Y39" s="10"/>
      <c r="Z39" s="11"/>
      <c r="AB39" s="662" t="s">
        <v>71</v>
      </c>
    </row>
    <row r="40" spans="1:30" ht="16.5" thickBot="1" x14ac:dyDescent="0.25">
      <c r="A40" s="479"/>
      <c r="B40" s="10"/>
      <c r="C40" s="200" t="s">
        <v>811</v>
      </c>
      <c r="D40" s="200"/>
      <c r="E40" s="200"/>
      <c r="F40" s="200"/>
      <c r="G40" s="200"/>
      <c r="H40" s="200"/>
      <c r="I40" s="200"/>
      <c r="J40" s="10"/>
      <c r="K40" s="2065" t="e">
        <f>+K36+K38</f>
        <v>#N/A</v>
      </c>
      <c r="L40" s="2066"/>
      <c r="M40" s="154"/>
      <c r="N40" s="154"/>
      <c r="O40" s="158"/>
      <c r="P40" s="155"/>
      <c r="Q40" s="155"/>
      <c r="R40" s="155"/>
      <c r="S40" s="154"/>
      <c r="T40" s="154"/>
      <c r="U40" s="154"/>
      <c r="V40" s="154"/>
      <c r="W40" s="154"/>
      <c r="X40" s="154"/>
      <c r="Y40" s="2"/>
      <c r="Z40" s="125"/>
      <c r="AB40" s="346"/>
    </row>
    <row r="41" spans="1:30" ht="15.75" x14ac:dyDescent="0.2">
      <c r="A41" s="479"/>
      <c r="B41" s="10"/>
      <c r="C41" s="200"/>
      <c r="D41" s="200"/>
      <c r="E41" s="200"/>
      <c r="F41" s="200"/>
      <c r="G41" s="200"/>
      <c r="H41" s="200"/>
      <c r="I41" s="200"/>
      <c r="J41" s="10"/>
      <c r="K41" s="202"/>
      <c r="L41" s="154"/>
      <c r="M41" s="154"/>
      <c r="N41" s="154"/>
      <c r="O41" s="158"/>
      <c r="P41" s="155"/>
      <c r="Q41" s="155"/>
      <c r="R41" s="155"/>
      <c r="S41" s="154"/>
      <c r="T41" s="154"/>
      <c r="U41" s="154"/>
      <c r="V41" s="154"/>
      <c r="W41" s="154"/>
      <c r="X41" s="154"/>
      <c r="Y41" s="10"/>
      <c r="Z41" s="11"/>
      <c r="AB41" s="347">
        <f>+A61</f>
        <v>0</v>
      </c>
    </row>
    <row r="42" spans="1:30" ht="16.5" thickBot="1" x14ac:dyDescent="0.25">
      <c r="A42" s="479"/>
      <c r="B42" s="10"/>
      <c r="C42" s="180" t="s">
        <v>813</v>
      </c>
      <c r="D42" s="200"/>
      <c r="E42" s="200"/>
      <c r="F42" s="200"/>
      <c r="G42" s="200"/>
      <c r="H42" s="200"/>
      <c r="I42" s="200"/>
      <c r="J42" s="10"/>
      <c r="K42" s="202"/>
      <c r="L42" s="154"/>
      <c r="M42" s="154"/>
      <c r="N42" s="154"/>
      <c r="O42" s="158"/>
      <c r="P42" s="155"/>
      <c r="Q42" s="155"/>
      <c r="R42" s="155"/>
      <c r="S42" s="154"/>
      <c r="T42" s="154"/>
      <c r="U42" s="154"/>
      <c r="V42" s="154"/>
      <c r="W42" s="154"/>
      <c r="X42" s="154"/>
      <c r="Y42" s="10"/>
      <c r="Z42" s="11"/>
      <c r="AB42" s="347"/>
    </row>
    <row r="43" spans="1:30" ht="16.5" thickBot="1" x14ac:dyDescent="0.25">
      <c r="A43" s="479"/>
      <c r="B43" s="10"/>
      <c r="C43" s="27" t="str">
        <f>+IF($L$17="E5010","7. City of London Offset","7. City of London Offset : Not applicable for your authority")</f>
        <v>7. City of London Offset : Not applicable for your authority</v>
      </c>
      <c r="D43" s="200"/>
      <c r="E43" s="200"/>
      <c r="F43" s="200"/>
      <c r="G43" s="200"/>
      <c r="H43" s="200"/>
      <c r="I43" s="200"/>
      <c r="J43" s="10"/>
      <c r="K43" s="2094">
        <f>+IF(L17="E5010",11267000,0)</f>
        <v>0</v>
      </c>
      <c r="L43" s="2095"/>
      <c r="M43" s="154"/>
      <c r="N43" s="436"/>
      <c r="O43" s="158"/>
      <c r="P43" s="155"/>
      <c r="Q43" s="155"/>
      <c r="R43" s="155"/>
      <c r="S43" s="154"/>
      <c r="T43" s="154"/>
      <c r="U43" s="154"/>
      <c r="V43" s="154"/>
      <c r="W43" s="154"/>
      <c r="X43" s="154"/>
      <c r="Y43" s="10"/>
      <c r="Z43" s="11"/>
      <c r="AB43" s="347">
        <f>+A63</f>
        <v>0</v>
      </c>
    </row>
    <row r="44" spans="1:30" ht="15.75" x14ac:dyDescent="0.2">
      <c r="A44" s="479"/>
      <c r="B44" s="10"/>
      <c r="C44" s="200"/>
      <c r="D44" s="200"/>
      <c r="E44" s="200"/>
      <c r="F44" s="200"/>
      <c r="G44" s="200"/>
      <c r="H44" s="200"/>
      <c r="I44" s="200"/>
      <c r="J44" s="10"/>
      <c r="K44" s="202"/>
      <c r="L44" s="154"/>
      <c r="M44" s="154"/>
      <c r="N44" s="154"/>
      <c r="O44" s="158"/>
      <c r="P44" s="155"/>
      <c r="Q44" s="155"/>
      <c r="R44" s="155"/>
      <c r="S44" s="154"/>
      <c r="T44" s="154"/>
      <c r="U44" s="154"/>
      <c r="V44" s="154"/>
      <c r="W44" s="154"/>
      <c r="X44" s="154"/>
      <c r="Y44" s="10"/>
      <c r="Z44" s="11"/>
      <c r="AB44" s="347"/>
    </row>
    <row r="45" spans="1:30" ht="16.5" thickBot="1" x14ac:dyDescent="0.25">
      <c r="A45" s="479"/>
      <c r="B45" s="10"/>
      <c r="C45" s="180" t="s">
        <v>829</v>
      </c>
      <c r="D45" s="200"/>
      <c r="E45" s="200"/>
      <c r="F45" s="200"/>
      <c r="G45" s="200"/>
      <c r="H45" s="200"/>
      <c r="I45" s="200"/>
      <c r="J45" s="10"/>
      <c r="K45" s="154"/>
      <c r="L45" s="154"/>
      <c r="M45" s="154"/>
      <c r="N45" s="154"/>
      <c r="O45" s="158"/>
      <c r="P45" s="155"/>
      <c r="Q45" s="155"/>
      <c r="R45" s="155"/>
      <c r="S45" s="154"/>
      <c r="T45" s="154"/>
      <c r="U45" s="154"/>
      <c r="V45" s="154"/>
      <c r="W45" s="154"/>
      <c r="X45" s="154"/>
      <c r="Y45" s="10"/>
      <c r="Z45" s="11"/>
      <c r="AB45" s="347" t="e">
        <f>+A65</f>
        <v>#N/A</v>
      </c>
    </row>
    <row r="46" spans="1:30" ht="16.5" thickBot="1" x14ac:dyDescent="0.25">
      <c r="A46" s="479"/>
      <c r="B46" s="10"/>
      <c r="C46" s="2064" t="s">
        <v>2300</v>
      </c>
      <c r="D46" s="2064"/>
      <c r="E46" s="2064"/>
      <c r="F46" s="2064"/>
      <c r="G46" s="2064"/>
      <c r="H46" s="2064"/>
      <c r="I46" s="2064"/>
      <c r="J46" s="10"/>
      <c r="K46" s="2096">
        <f>+'Part 3'!K44</f>
        <v>0</v>
      </c>
      <c r="L46" s="2097"/>
      <c r="M46" s="154"/>
      <c r="N46" s="154"/>
      <c r="O46" s="158"/>
      <c r="P46" s="155"/>
      <c r="Q46" s="155"/>
      <c r="R46" s="155"/>
      <c r="S46" s="154"/>
      <c r="T46" s="154"/>
      <c r="U46" s="154"/>
      <c r="V46" s="154"/>
      <c r="W46" s="154"/>
      <c r="X46" s="154"/>
      <c r="Y46" s="2"/>
      <c r="Z46" s="125"/>
      <c r="AB46" s="347"/>
    </row>
    <row r="47" spans="1:30" ht="23.25" customHeight="1" thickBot="1" x14ac:dyDescent="0.25">
      <c r="A47" s="479"/>
      <c r="B47" s="10"/>
      <c r="C47" s="2064"/>
      <c r="D47" s="2064"/>
      <c r="E47" s="2064"/>
      <c r="F47" s="2064"/>
      <c r="G47" s="2064"/>
      <c r="H47" s="2064"/>
      <c r="I47" s="2064"/>
      <c r="J47" s="10"/>
      <c r="K47" s="154"/>
      <c r="L47" s="154"/>
      <c r="M47" s="154"/>
      <c r="N47" s="154"/>
      <c r="O47" s="158"/>
      <c r="P47" s="155"/>
      <c r="Q47" s="2108"/>
      <c r="R47" s="2108"/>
      <c r="S47" s="2108"/>
      <c r="T47" s="2108"/>
      <c r="U47" s="2108"/>
      <c r="V47" s="2108"/>
      <c r="W47" s="2108"/>
      <c r="X47" s="154"/>
      <c r="Y47" s="10"/>
      <c r="Z47" s="11"/>
      <c r="AB47" s="347" t="e">
        <f>+A67</f>
        <v>#N/A</v>
      </c>
    </row>
    <row r="48" spans="1:30" ht="16.5" thickBot="1" x14ac:dyDescent="0.25">
      <c r="A48" s="479"/>
      <c r="B48" s="10"/>
      <c r="C48" s="2093" t="s">
        <v>1033</v>
      </c>
      <c r="D48" s="2093"/>
      <c r="E48" s="2093"/>
      <c r="F48" s="2093"/>
      <c r="G48" s="2093"/>
      <c r="H48" s="2093"/>
      <c r="I48" s="2093"/>
      <c r="J48" s="10"/>
      <c r="K48" s="2096">
        <f>+'Part 3'!O36</f>
        <v>0</v>
      </c>
      <c r="L48" s="2097"/>
      <c r="M48" s="154"/>
      <c r="N48" s="436"/>
      <c r="O48" s="158"/>
      <c r="P48" s="155"/>
      <c r="Q48" s="155"/>
      <c r="R48" s="155"/>
      <c r="S48" s="154"/>
      <c r="T48" s="154"/>
      <c r="U48" s="154"/>
      <c r="V48" s="154"/>
      <c r="W48" s="154"/>
      <c r="X48" s="154"/>
      <c r="Y48" s="2"/>
      <c r="Z48" s="125"/>
      <c r="AB48" s="347"/>
    </row>
    <row r="49" spans="1:36" x14ac:dyDescent="0.2">
      <c r="A49" s="479"/>
      <c r="B49" s="10"/>
      <c r="C49" s="2093"/>
      <c r="D49" s="2093"/>
      <c r="E49" s="2093"/>
      <c r="F49" s="2093"/>
      <c r="G49" s="2093"/>
      <c r="H49" s="2093"/>
      <c r="I49" s="2093"/>
      <c r="J49" s="10"/>
      <c r="K49" s="154"/>
      <c r="L49" s="154"/>
      <c r="M49" s="154"/>
      <c r="N49" s="154"/>
      <c r="O49" s="158"/>
      <c r="P49" s="155"/>
      <c r="Q49" s="155"/>
      <c r="R49" s="155"/>
      <c r="S49" s="154"/>
      <c r="T49" s="154"/>
      <c r="U49" s="154"/>
      <c r="V49" s="154"/>
      <c r="W49" s="154"/>
      <c r="X49" s="154"/>
      <c r="Y49" s="10"/>
      <c r="Z49" s="11"/>
      <c r="AB49" s="347">
        <f>+A69</f>
        <v>0</v>
      </c>
    </row>
    <row r="50" spans="1:36" ht="15.75" thickBot="1" x14ac:dyDescent="0.25">
      <c r="A50" s="479"/>
      <c r="B50" s="10"/>
      <c r="C50" s="475" t="s">
        <v>42</v>
      </c>
      <c r="D50" s="10"/>
      <c r="E50" s="10"/>
      <c r="F50" s="10"/>
      <c r="G50" s="10"/>
      <c r="H50" s="10"/>
      <c r="I50" s="10"/>
      <c r="J50" s="10"/>
      <c r="K50" s="154"/>
      <c r="L50" s="154"/>
      <c r="M50" s="154"/>
      <c r="N50" s="154"/>
      <c r="O50" s="158"/>
      <c r="P50" s="155"/>
      <c r="Q50" s="155"/>
      <c r="R50" s="155"/>
      <c r="S50" s="154"/>
      <c r="T50" s="154"/>
      <c r="U50" s="154"/>
      <c r="V50" s="154"/>
      <c r="W50" s="154"/>
      <c r="X50" s="154"/>
      <c r="Y50" s="10"/>
      <c r="Z50" s="11"/>
      <c r="AB50" s="347"/>
    </row>
    <row r="51" spans="1:36" ht="16.5" thickBot="1" x14ac:dyDescent="0.25">
      <c r="A51" s="479"/>
      <c r="B51" s="10"/>
      <c r="C51" s="27" t="s">
        <v>1002</v>
      </c>
      <c r="D51" s="10"/>
      <c r="E51" s="10"/>
      <c r="F51" s="10"/>
      <c r="G51" s="10"/>
      <c r="H51" s="10"/>
      <c r="I51" s="10"/>
      <c r="J51" s="10"/>
      <c r="K51" s="2072">
        <f>IF(VLOOKUP(L17,TierSplit!$A$6:$AG$332,3,FALSE)=0.4,0,K48)</f>
        <v>0</v>
      </c>
      <c r="L51" s="2073"/>
      <c r="M51" s="154"/>
      <c r="N51" s="436"/>
      <c r="O51" s="158"/>
      <c r="P51" s="155"/>
      <c r="Q51" s="155"/>
      <c r="R51" s="155"/>
      <c r="S51" s="154"/>
      <c r="T51" s="154"/>
      <c r="U51" s="154"/>
      <c r="V51" s="154"/>
      <c r="W51" s="154"/>
      <c r="X51" s="154"/>
      <c r="Y51" s="10"/>
      <c r="Z51" s="11"/>
      <c r="AB51" s="347">
        <f>+A71</f>
        <v>0</v>
      </c>
      <c r="AD51" s="468"/>
    </row>
    <row r="52" spans="1:36" ht="15.75" thickBot="1" x14ac:dyDescent="0.25">
      <c r="A52" s="479"/>
      <c r="B52" s="10"/>
      <c r="C52" s="10"/>
      <c r="D52" s="10"/>
      <c r="E52" s="10"/>
      <c r="F52" s="10"/>
      <c r="G52" s="10"/>
      <c r="H52" s="10"/>
      <c r="I52" s="10"/>
      <c r="J52" s="10"/>
      <c r="K52" s="154"/>
      <c r="L52" s="154"/>
      <c r="M52" s="154"/>
      <c r="N52" s="154"/>
      <c r="O52" s="158"/>
      <c r="P52" s="155"/>
      <c r="Q52" s="155"/>
      <c r="R52" s="155"/>
      <c r="S52" s="154"/>
      <c r="T52" s="154"/>
      <c r="U52" s="154"/>
      <c r="V52" s="154"/>
      <c r="W52" s="154"/>
      <c r="X52" s="154"/>
      <c r="Y52" s="10"/>
      <c r="Z52" s="11"/>
      <c r="AB52" s="347"/>
    </row>
    <row r="53" spans="1:36" ht="16.5" thickBot="1" x14ac:dyDescent="0.25">
      <c r="A53" s="479"/>
      <c r="B53" s="10"/>
      <c r="C53" s="27" t="s">
        <v>1003</v>
      </c>
      <c r="D53" s="10"/>
      <c r="E53" s="10"/>
      <c r="F53" s="10"/>
      <c r="G53" s="10"/>
      <c r="H53" s="10"/>
      <c r="I53" s="10"/>
      <c r="J53" s="10"/>
      <c r="K53" s="2074">
        <f>K48-K51</f>
        <v>0</v>
      </c>
      <c r="L53" s="2075"/>
      <c r="M53" s="154"/>
      <c r="N53" s="436"/>
      <c r="O53" s="158"/>
      <c r="P53" s="155"/>
      <c r="Q53" s="155"/>
      <c r="R53" s="155"/>
      <c r="S53" s="154"/>
      <c r="T53" s="154"/>
      <c r="U53" s="154"/>
      <c r="V53" s="154"/>
      <c r="W53" s="154"/>
      <c r="X53" s="154"/>
      <c r="Y53" s="10"/>
      <c r="Z53" s="11"/>
      <c r="AB53" s="347" t="e">
        <f>+A73</f>
        <v>#N/A</v>
      </c>
      <c r="AD53" s="468"/>
    </row>
    <row r="54" spans="1:36" ht="15.75" x14ac:dyDescent="0.2">
      <c r="A54" s="479"/>
      <c r="B54" s="10"/>
      <c r="C54" s="10"/>
      <c r="D54" s="10"/>
      <c r="E54" s="10"/>
      <c r="F54" s="10"/>
      <c r="G54" s="10"/>
      <c r="H54" s="10"/>
      <c r="I54" s="10"/>
      <c r="J54" s="10"/>
      <c r="K54" s="2090" t="str">
        <f>IF(+K51+K53-K48=0,"","Lines 10 &amp; 11 should equal line 9, please check your figures")</f>
        <v/>
      </c>
      <c r="L54" s="2091"/>
      <c r="M54" s="2091"/>
      <c r="N54" s="2091"/>
      <c r="O54" s="2091"/>
      <c r="P54" s="2091"/>
      <c r="Q54" s="2091"/>
      <c r="R54" s="2091"/>
      <c r="S54" s="2091"/>
      <c r="T54" s="2091"/>
      <c r="U54" s="2091"/>
      <c r="V54" s="2091"/>
      <c r="W54" s="2091"/>
      <c r="X54" s="154"/>
      <c r="Y54" s="10"/>
      <c r="Z54" s="11"/>
      <c r="AB54" s="348"/>
    </row>
    <row r="55" spans="1:36" ht="16.5" thickBot="1" x14ac:dyDescent="0.3">
      <c r="A55" s="479"/>
      <c r="B55" s="10"/>
      <c r="C55" s="16" t="s">
        <v>828</v>
      </c>
      <c r="D55" s="16"/>
      <c r="E55" s="16"/>
      <c r="F55" s="16"/>
      <c r="G55" s="16"/>
      <c r="H55" s="10"/>
      <c r="I55" s="10"/>
      <c r="J55" s="10"/>
      <c r="K55" s="154"/>
      <c r="L55" s="154"/>
      <c r="M55" s="154"/>
      <c r="N55" s="154"/>
      <c r="O55" s="158"/>
      <c r="P55" s="155"/>
      <c r="Q55" s="155"/>
      <c r="R55" s="155"/>
      <c r="S55" s="154"/>
      <c r="T55" s="154"/>
      <c r="U55" s="154"/>
      <c r="V55" s="154"/>
      <c r="W55" s="154"/>
      <c r="X55" s="154"/>
      <c r="Y55" s="10"/>
      <c r="Z55" s="11"/>
      <c r="AB55" s="171"/>
      <c r="AC55" s="168"/>
      <c r="AD55" s="168"/>
      <c r="AE55" s="168"/>
      <c r="AF55" s="168"/>
      <c r="AG55" s="168"/>
      <c r="AH55" s="168"/>
      <c r="AI55" s="168"/>
      <c r="AJ55" s="168"/>
    </row>
    <row r="56" spans="1:36" ht="16.5" thickBot="1" x14ac:dyDescent="0.25">
      <c r="A56" s="479"/>
      <c r="B56" s="10"/>
      <c r="C56" s="27" t="s">
        <v>1004</v>
      </c>
      <c r="D56" s="10"/>
      <c r="E56" s="10"/>
      <c r="F56" s="10"/>
      <c r="G56" s="10"/>
      <c r="H56" s="10"/>
      <c r="I56" s="10"/>
      <c r="J56" s="10"/>
      <c r="K56" s="2065" t="e">
        <f>ROUND(+K25+K31-K33-K40-K43-K46-K48,0)</f>
        <v>#N/A</v>
      </c>
      <c r="L56" s="2066"/>
      <c r="M56" s="154"/>
      <c r="N56" s="2103"/>
      <c r="O56" s="2103"/>
      <c r="P56" s="2092"/>
      <c r="Q56" s="2092"/>
      <c r="R56" s="2092"/>
      <c r="S56" s="201"/>
      <c r="T56" s="159"/>
      <c r="U56" s="159"/>
      <c r="V56" s="159"/>
      <c r="W56" s="159"/>
      <c r="X56" s="154"/>
      <c r="Y56" s="2"/>
      <c r="Z56" s="125"/>
      <c r="AB56" s="171"/>
      <c r="AC56" s="168"/>
      <c r="AD56" s="168"/>
      <c r="AE56" s="168"/>
      <c r="AF56" s="168"/>
      <c r="AG56" s="168"/>
      <c r="AH56" s="168"/>
      <c r="AI56" s="168"/>
      <c r="AJ56" s="168"/>
    </row>
    <row r="57" spans="1:36" x14ac:dyDescent="0.2">
      <c r="A57" s="480"/>
      <c r="B57" s="181"/>
      <c r="C57" s="181"/>
      <c r="D57" s="181"/>
      <c r="E57" s="181"/>
      <c r="F57" s="181"/>
      <c r="G57" s="181"/>
      <c r="H57" s="181"/>
      <c r="I57" s="181"/>
      <c r="J57" s="181"/>
      <c r="K57" s="181"/>
      <c r="L57" s="181"/>
      <c r="M57" s="181"/>
      <c r="N57" s="181"/>
      <c r="O57" s="182"/>
      <c r="P57" s="183"/>
      <c r="Q57" s="183"/>
      <c r="R57" s="183"/>
      <c r="S57" s="184"/>
      <c r="T57" s="185"/>
      <c r="U57" s="185"/>
      <c r="V57" s="185"/>
      <c r="W57" s="185"/>
      <c r="X57" s="186"/>
      <c r="Y57" s="181"/>
      <c r="Z57" s="187"/>
      <c r="AB57" s="171"/>
      <c r="AC57" s="168"/>
      <c r="AD57" s="168"/>
      <c r="AE57" s="168"/>
      <c r="AF57" s="168"/>
      <c r="AG57" s="168"/>
      <c r="AH57" s="168"/>
      <c r="AI57" s="168"/>
      <c r="AJ57" s="168"/>
    </row>
    <row r="58" spans="1:36" x14ac:dyDescent="0.2">
      <c r="A58" s="481"/>
      <c r="B58" s="188"/>
      <c r="C58" s="188"/>
      <c r="D58" s="188"/>
      <c r="E58" s="188"/>
      <c r="F58" s="188"/>
      <c r="G58" s="188"/>
      <c r="H58" s="188"/>
      <c r="I58" s="188"/>
      <c r="J58" s="188"/>
      <c r="K58" s="188"/>
      <c r="L58" s="188"/>
      <c r="M58" s="188"/>
      <c r="N58" s="188"/>
      <c r="O58" s="189"/>
      <c r="P58" s="190"/>
      <c r="Q58" s="190"/>
      <c r="R58" s="190"/>
      <c r="S58" s="191"/>
      <c r="T58" s="192"/>
      <c r="U58" s="192"/>
      <c r="V58" s="192"/>
      <c r="W58" s="192"/>
      <c r="X58" s="193"/>
      <c r="Y58" s="188"/>
      <c r="Z58" s="197"/>
    </row>
    <row r="59" spans="1:36" ht="15.75" x14ac:dyDescent="0.25">
      <c r="A59" s="482" t="e">
        <f>VLOOKUP(F1,datar,4,FALSE)</f>
        <v>#N/A</v>
      </c>
      <c r="B59" s="854"/>
      <c r="C59" s="855" t="e">
        <f>+IF(B74=0,"","Please investigate the error messages shown below and make the appropriate changes to the form.  Any comments should be added at the bottom of Part 4")</f>
        <v>#N/A</v>
      </c>
      <c r="D59" s="855"/>
      <c r="E59" s="855"/>
      <c r="F59" s="855"/>
      <c r="G59" s="855"/>
      <c r="H59" s="855"/>
      <c r="I59" s="855"/>
      <c r="J59" s="855"/>
      <c r="K59" s="855"/>
      <c r="L59" s="271"/>
      <c r="M59" s="271"/>
      <c r="N59" s="271"/>
      <c r="O59" s="271"/>
      <c r="P59" s="271"/>
      <c r="Q59" s="271"/>
      <c r="R59" s="271"/>
      <c r="S59" s="271"/>
      <c r="T59" s="271"/>
      <c r="U59" s="271"/>
      <c r="V59" s="271"/>
      <c r="W59" s="271"/>
      <c r="X59" s="271"/>
      <c r="Y59" s="267"/>
      <c r="Z59" s="198"/>
    </row>
    <row r="60" spans="1:36" ht="15.75" x14ac:dyDescent="0.25">
      <c r="A60" s="482"/>
      <c r="B60" s="856"/>
      <c r="C60" s="857"/>
      <c r="D60" s="857"/>
      <c r="E60" s="857"/>
      <c r="F60" s="857"/>
      <c r="G60" s="857"/>
      <c r="H60" s="857"/>
      <c r="I60" s="857"/>
      <c r="J60" s="857"/>
      <c r="K60" s="857"/>
      <c r="L60" s="272"/>
      <c r="M60" s="272"/>
      <c r="N60" s="272"/>
      <c r="O60" s="272"/>
      <c r="P60" s="272"/>
      <c r="Q60" s="272"/>
      <c r="R60" s="272"/>
      <c r="S60" s="272"/>
      <c r="T60" s="272"/>
      <c r="U60" s="272"/>
      <c r="V60" s="272"/>
      <c r="W60" s="272"/>
      <c r="X60" s="272"/>
      <c r="Y60" s="268"/>
      <c r="Z60" s="198"/>
    </row>
    <row r="61" spans="1:36" ht="15.75" x14ac:dyDescent="0.25">
      <c r="A61" s="483">
        <f>+IF(C61="",0,1)</f>
        <v>0</v>
      </c>
      <c r="B61" s="856"/>
      <c r="C61" s="2071" t="str">
        <f>IF(K25=+'Part 3'!O31,"","Line 1 does not equal Part 3 Line 4 column 5. Please check why.")</f>
        <v/>
      </c>
      <c r="D61" s="2071"/>
      <c r="E61" s="2071"/>
      <c r="F61" s="2071"/>
      <c r="G61" s="2071"/>
      <c r="H61" s="2071"/>
      <c r="I61" s="2071"/>
      <c r="J61" s="2071"/>
      <c r="K61" s="2071"/>
      <c r="L61" s="272"/>
      <c r="M61" s="272"/>
      <c r="N61" s="272"/>
      <c r="O61" s="273"/>
      <c r="P61" s="273"/>
      <c r="Q61" s="273"/>
      <c r="R61" s="273"/>
      <c r="S61" s="274"/>
      <c r="T61" s="275"/>
      <c r="U61" s="275"/>
      <c r="V61" s="275"/>
      <c r="W61" s="275"/>
      <c r="X61" s="276"/>
      <c r="Y61" s="268"/>
      <c r="Z61" s="198"/>
    </row>
    <row r="62" spans="1:36" ht="15.75" x14ac:dyDescent="0.25">
      <c r="A62" s="483"/>
      <c r="B62" s="856"/>
      <c r="C62" s="819"/>
      <c r="D62" s="857"/>
      <c r="E62" s="857"/>
      <c r="F62" s="857"/>
      <c r="G62" s="857"/>
      <c r="H62" s="857"/>
      <c r="I62" s="857"/>
      <c r="J62" s="857"/>
      <c r="K62" s="857"/>
      <c r="L62" s="272"/>
      <c r="M62" s="272"/>
      <c r="N62" s="272"/>
      <c r="O62" s="273"/>
      <c r="P62" s="273"/>
      <c r="Q62" s="273"/>
      <c r="R62" s="273"/>
      <c r="S62" s="274"/>
      <c r="T62" s="275"/>
      <c r="U62" s="275"/>
      <c r="V62" s="275"/>
      <c r="W62" s="275"/>
      <c r="X62" s="276"/>
      <c r="Y62" s="268"/>
      <c r="Z62" s="198"/>
    </row>
    <row r="63" spans="1:36" ht="15.75" x14ac:dyDescent="0.25">
      <c r="A63" s="483">
        <f>+IF(C63="",0,1)</f>
        <v>0</v>
      </c>
      <c r="B63" s="856"/>
      <c r="C63" s="2071" t="str">
        <f>IF(K31+ K33=ABS(+'Part 2'!$R$50),"","Lines 2 &amp; 3 do not equal Part 2 Line 11 column 3. Please check why.")</f>
        <v/>
      </c>
      <c r="D63" s="2071"/>
      <c r="E63" s="2071"/>
      <c r="F63" s="2071"/>
      <c r="G63" s="2071"/>
      <c r="H63" s="2071"/>
      <c r="I63" s="2071"/>
      <c r="J63" s="2071"/>
      <c r="K63" s="2071"/>
      <c r="L63" s="272"/>
      <c r="M63" s="272"/>
      <c r="N63" s="272"/>
      <c r="O63" s="273"/>
      <c r="P63" s="273"/>
      <c r="Q63" s="273"/>
      <c r="R63" s="273"/>
      <c r="S63" s="274"/>
      <c r="T63" s="275"/>
      <c r="U63" s="275"/>
      <c r="V63" s="275"/>
      <c r="W63" s="275"/>
      <c r="X63" s="276"/>
      <c r="Y63" s="268"/>
      <c r="Z63" s="198"/>
    </row>
    <row r="64" spans="1:36" ht="15.75" x14ac:dyDescent="0.25">
      <c r="A64" s="483"/>
      <c r="B64" s="856"/>
      <c r="C64" s="819"/>
      <c r="D64" s="857"/>
      <c r="E64" s="857"/>
      <c r="F64" s="857"/>
      <c r="G64" s="857"/>
      <c r="H64" s="857"/>
      <c r="I64" s="857"/>
      <c r="J64" s="857"/>
      <c r="K64" s="857"/>
      <c r="L64" s="272"/>
      <c r="M64" s="272"/>
      <c r="N64" s="272"/>
      <c r="O64" s="273"/>
      <c r="P64" s="273"/>
      <c r="Q64" s="273"/>
      <c r="R64" s="273"/>
      <c r="S64" s="274"/>
      <c r="T64" s="275"/>
      <c r="U64" s="275"/>
      <c r="V64" s="275"/>
      <c r="W64" s="275"/>
      <c r="X64" s="276"/>
      <c r="Y64" s="268"/>
      <c r="Z64" s="198"/>
    </row>
    <row r="65" spans="1:114" ht="15.75" x14ac:dyDescent="0.25">
      <c r="A65" s="483" t="e">
        <f t="shared" ref="A65:A73" si="0">+IF(C65="",0,1)</f>
        <v>#N/A</v>
      </c>
      <c r="B65" s="856"/>
      <c r="C65" s="2071" t="e">
        <f>IF(K36=A59,"","Line 4 does not equal the calculated cost of collection provided by DCLG on the data sheet. Please amend.")</f>
        <v>#N/A</v>
      </c>
      <c r="D65" s="2071"/>
      <c r="E65" s="2071"/>
      <c r="F65" s="2071"/>
      <c r="G65" s="2071"/>
      <c r="H65" s="2071"/>
      <c r="I65" s="2071"/>
      <c r="J65" s="2071"/>
      <c r="K65" s="2071"/>
      <c r="L65" s="272"/>
      <c r="M65" s="272"/>
      <c r="N65" s="272"/>
      <c r="O65" s="273"/>
      <c r="P65" s="273"/>
      <c r="Q65" s="273"/>
      <c r="R65" s="273"/>
      <c r="S65" s="274"/>
      <c r="T65" s="275"/>
      <c r="U65" s="275"/>
      <c r="V65" s="275"/>
      <c r="W65" s="275"/>
      <c r="X65" s="276"/>
      <c r="Y65" s="268"/>
      <c r="Z65" s="198"/>
    </row>
    <row r="66" spans="1:114" ht="15.75" x14ac:dyDescent="0.25">
      <c r="A66" s="483"/>
      <c r="B66" s="856"/>
      <c r="C66" s="819"/>
      <c r="D66" s="857"/>
      <c r="E66" s="857"/>
      <c r="F66" s="857"/>
      <c r="G66" s="857"/>
      <c r="H66" s="857"/>
      <c r="I66" s="857"/>
      <c r="J66" s="857"/>
      <c r="K66" s="857"/>
      <c r="L66" s="272"/>
      <c r="M66" s="272"/>
      <c r="N66" s="272"/>
      <c r="O66" s="273"/>
      <c r="P66" s="273"/>
      <c r="Q66" s="273"/>
      <c r="R66" s="273"/>
      <c r="S66" s="274"/>
      <c r="T66" s="275"/>
      <c r="U66" s="275"/>
      <c r="V66" s="275"/>
      <c r="W66" s="275"/>
      <c r="X66" s="276"/>
      <c r="Y66" s="268"/>
      <c r="Z66" s="198"/>
    </row>
    <row r="67" spans="1:114" ht="15.75" x14ac:dyDescent="0.25">
      <c r="A67" s="483" t="e">
        <f t="shared" si="0"/>
        <v>#N/A</v>
      </c>
      <c r="B67" s="856"/>
      <c r="C67" s="2071" t="e">
        <f>IF(K40=K36 + K38,"","Line 6 does not equal line 4 + line 5. Please check why.")</f>
        <v>#N/A</v>
      </c>
      <c r="D67" s="2071"/>
      <c r="E67" s="2071"/>
      <c r="F67" s="2071"/>
      <c r="G67" s="2071"/>
      <c r="H67" s="2071"/>
      <c r="I67" s="2071"/>
      <c r="J67" s="2071"/>
      <c r="K67" s="2071"/>
      <c r="L67" s="272"/>
      <c r="M67" s="272"/>
      <c r="N67" s="272"/>
      <c r="O67" s="273"/>
      <c r="P67" s="273"/>
      <c r="Q67" s="273"/>
      <c r="R67" s="273"/>
      <c r="S67" s="274"/>
      <c r="T67" s="275"/>
      <c r="U67" s="275"/>
      <c r="V67" s="275"/>
      <c r="W67" s="275"/>
      <c r="X67" s="276"/>
      <c r="Y67" s="268"/>
      <c r="Z67" s="198"/>
    </row>
    <row r="68" spans="1:114" ht="15.75" x14ac:dyDescent="0.25">
      <c r="A68" s="483"/>
      <c r="B68" s="856"/>
      <c r="C68" s="819"/>
      <c r="D68" s="857"/>
      <c r="E68" s="857"/>
      <c r="F68" s="857"/>
      <c r="G68" s="857"/>
      <c r="H68" s="857"/>
      <c r="I68" s="857"/>
      <c r="J68" s="857"/>
      <c r="K68" s="857"/>
      <c r="L68" s="272"/>
      <c r="M68" s="272"/>
      <c r="N68" s="272"/>
      <c r="O68" s="273"/>
      <c r="P68" s="273"/>
      <c r="Q68" s="273"/>
      <c r="R68" s="273"/>
      <c r="S68" s="274"/>
      <c r="T68" s="275"/>
      <c r="U68" s="275"/>
      <c r="V68" s="275"/>
      <c r="W68" s="275"/>
      <c r="X68" s="276"/>
      <c r="Y68" s="268"/>
      <c r="Z68" s="198"/>
    </row>
    <row r="69" spans="1:114" ht="15.75" x14ac:dyDescent="0.25">
      <c r="A69" s="483">
        <f t="shared" si="0"/>
        <v>0</v>
      </c>
      <c r="B69" s="856"/>
      <c r="C69" s="2071" t="str">
        <f>IF(K46=+'Part 3'!O44,"","Line 8 does not equal Part 3 Line 8 column 5. Please check why.")</f>
        <v/>
      </c>
      <c r="D69" s="2071"/>
      <c r="E69" s="2071"/>
      <c r="F69" s="2071"/>
      <c r="G69" s="2071"/>
      <c r="H69" s="2071"/>
      <c r="I69" s="2071"/>
      <c r="J69" s="2071"/>
      <c r="K69" s="2071"/>
      <c r="L69" s="272"/>
      <c r="M69" s="272"/>
      <c r="N69" s="272"/>
      <c r="O69" s="273"/>
      <c r="P69" s="273"/>
      <c r="Q69" s="273"/>
      <c r="R69" s="273"/>
      <c r="S69" s="274"/>
      <c r="T69" s="275"/>
      <c r="U69" s="275"/>
      <c r="V69" s="275"/>
      <c r="W69" s="275"/>
      <c r="X69" s="276"/>
      <c r="Y69" s="268"/>
      <c r="Z69" s="198"/>
    </row>
    <row r="70" spans="1:114" ht="15.75" x14ac:dyDescent="0.25">
      <c r="A70" s="483"/>
      <c r="B70" s="856"/>
      <c r="C70" s="819"/>
      <c r="D70" s="857"/>
      <c r="E70" s="857"/>
      <c r="F70" s="857"/>
      <c r="G70" s="857"/>
      <c r="H70" s="857"/>
      <c r="I70" s="857"/>
      <c r="J70" s="857"/>
      <c r="K70" s="857"/>
      <c r="L70" s="272"/>
      <c r="M70" s="272"/>
      <c r="N70" s="272"/>
      <c r="O70" s="273"/>
      <c r="P70" s="273"/>
      <c r="Q70" s="273"/>
      <c r="R70" s="273"/>
      <c r="S70" s="274"/>
      <c r="T70" s="275"/>
      <c r="U70" s="275"/>
      <c r="V70" s="275"/>
      <c r="W70" s="275"/>
      <c r="X70" s="276"/>
      <c r="Y70" s="268"/>
      <c r="Z70" s="198"/>
      <c r="AB70" s="171"/>
    </row>
    <row r="71" spans="1:114" ht="15.75" x14ac:dyDescent="0.25">
      <c r="A71" s="483">
        <f t="shared" si="0"/>
        <v>0</v>
      </c>
      <c r="B71" s="856"/>
      <c r="C71" s="2071" t="str">
        <f>IF(K48=+'Part 3'!O36,"","Line 9 does not equal Part 3 Line 5 column 5. Please check why.")</f>
        <v/>
      </c>
      <c r="D71" s="2071"/>
      <c r="E71" s="2071"/>
      <c r="F71" s="2071"/>
      <c r="G71" s="2071"/>
      <c r="H71" s="2071"/>
      <c r="I71" s="2071"/>
      <c r="J71" s="2071"/>
      <c r="K71" s="2071"/>
      <c r="L71" s="272"/>
      <c r="M71" s="272"/>
      <c r="N71" s="272"/>
      <c r="O71" s="273"/>
      <c r="P71" s="273"/>
      <c r="Q71" s="273"/>
      <c r="R71" s="273"/>
      <c r="S71" s="274"/>
      <c r="T71" s="275"/>
      <c r="U71" s="275"/>
      <c r="V71" s="275"/>
      <c r="W71" s="275"/>
      <c r="X71" s="276"/>
      <c r="Y71" s="268"/>
      <c r="Z71" s="198"/>
      <c r="AB71" s="171"/>
    </row>
    <row r="72" spans="1:114" ht="15.75" x14ac:dyDescent="0.25">
      <c r="A72" s="483"/>
      <c r="B72" s="856"/>
      <c r="C72" s="819"/>
      <c r="D72" s="857"/>
      <c r="E72" s="857"/>
      <c r="F72" s="857"/>
      <c r="G72" s="857"/>
      <c r="H72" s="857"/>
      <c r="I72" s="857"/>
      <c r="J72" s="857"/>
      <c r="K72" s="857"/>
      <c r="L72" s="272"/>
      <c r="M72" s="272"/>
      <c r="N72" s="272"/>
      <c r="O72" s="273"/>
      <c r="P72" s="273"/>
      <c r="Q72" s="273"/>
      <c r="R72" s="273"/>
      <c r="S72" s="274"/>
      <c r="T72" s="275"/>
      <c r="U72" s="275"/>
      <c r="V72" s="275"/>
      <c r="W72" s="275"/>
      <c r="X72" s="276"/>
      <c r="Y72" s="268"/>
      <c r="Z72" s="198"/>
      <c r="AB72" s="168"/>
      <c r="AD72" s="177"/>
      <c r="AE72" s="177"/>
      <c r="AF72" s="177"/>
      <c r="AG72" s="177"/>
      <c r="AH72" s="177"/>
      <c r="AI72" s="177"/>
      <c r="AJ72" s="177"/>
    </row>
    <row r="73" spans="1:114" ht="15.75" x14ac:dyDescent="0.25">
      <c r="A73" s="483" t="e">
        <f t="shared" si="0"/>
        <v>#N/A</v>
      </c>
      <c r="B73" s="856"/>
      <c r="C73" s="819" t="e">
        <f>IF(K25+K31-K33-K40-K43-K46-K48-K56=0,"","Line 12 does not equal line 1 plus line 2, minus lines 3 and 6 to 9. Please check why.")</f>
        <v>#N/A</v>
      </c>
      <c r="D73" s="819"/>
      <c r="E73" s="819"/>
      <c r="F73" s="819"/>
      <c r="G73" s="819"/>
      <c r="H73" s="819"/>
      <c r="I73" s="819"/>
      <c r="J73" s="819"/>
      <c r="K73" s="819"/>
      <c r="L73" s="272"/>
      <c r="M73" s="272"/>
      <c r="N73" s="272"/>
      <c r="O73" s="273"/>
      <c r="P73" s="273"/>
      <c r="Q73" s="273"/>
      <c r="R73" s="273"/>
      <c r="S73" s="274"/>
      <c r="T73" s="275"/>
      <c r="U73" s="275"/>
      <c r="V73" s="275"/>
      <c r="W73" s="275"/>
      <c r="X73" s="276"/>
      <c r="Y73" s="268"/>
      <c r="Z73" s="198"/>
      <c r="AB73" s="168"/>
      <c r="AD73" s="177"/>
      <c r="AE73" s="177"/>
      <c r="AF73" s="177"/>
      <c r="AG73" s="177"/>
      <c r="AH73" s="177"/>
      <c r="AI73" s="177"/>
      <c r="AJ73" s="177"/>
    </row>
    <row r="74" spans="1:114" ht="15.75" x14ac:dyDescent="0.25">
      <c r="A74" s="484"/>
      <c r="B74" s="2076" t="e">
        <f>SUM(A61:A73)</f>
        <v>#N/A</v>
      </c>
      <c r="C74" s="2077"/>
      <c r="D74" s="2077"/>
      <c r="E74" s="2077"/>
      <c r="F74" s="2077"/>
      <c r="G74" s="2077"/>
      <c r="H74" s="2077"/>
      <c r="I74" s="858"/>
      <c r="J74" s="858"/>
      <c r="K74" s="858"/>
      <c r="L74" s="269"/>
      <c r="M74" s="269"/>
      <c r="N74" s="269"/>
      <c r="O74" s="269"/>
      <c r="P74" s="269"/>
      <c r="Q74" s="269"/>
      <c r="R74" s="269"/>
      <c r="S74" s="269"/>
      <c r="T74" s="269"/>
      <c r="U74" s="269"/>
      <c r="V74" s="269"/>
      <c r="W74" s="269"/>
      <c r="X74" s="269"/>
      <c r="Y74" s="270"/>
      <c r="Z74" s="198"/>
      <c r="AB74" s="168"/>
      <c r="AD74" s="177"/>
      <c r="AE74" s="177"/>
      <c r="AF74" s="177"/>
      <c r="AG74" s="177"/>
      <c r="AH74" s="177"/>
      <c r="AI74" s="177"/>
      <c r="AJ74" s="177"/>
    </row>
    <row r="75" spans="1:114" ht="15.75" thickBot="1" x14ac:dyDescent="0.25">
      <c r="A75" s="485"/>
      <c r="B75" s="172"/>
      <c r="C75" s="172"/>
      <c r="D75" s="172"/>
      <c r="E75" s="172"/>
      <c r="F75" s="172"/>
      <c r="G75" s="172"/>
      <c r="H75" s="172"/>
      <c r="I75" s="172"/>
      <c r="J75" s="172"/>
      <c r="K75" s="172"/>
      <c r="L75" s="172"/>
      <c r="M75" s="172"/>
      <c r="N75" s="172"/>
      <c r="O75" s="194"/>
      <c r="P75" s="195"/>
      <c r="Q75" s="195"/>
      <c r="R75" s="195"/>
      <c r="S75" s="196"/>
      <c r="T75" s="195"/>
      <c r="U75" s="195"/>
      <c r="V75" s="195"/>
      <c r="W75" s="195"/>
      <c r="X75" s="195"/>
      <c r="Y75" s="172"/>
      <c r="Z75" s="199"/>
      <c r="AB75" s="168"/>
      <c r="AD75" s="177"/>
      <c r="AE75" s="177"/>
      <c r="AF75" s="177"/>
      <c r="AG75" s="177"/>
      <c r="AH75" s="177"/>
      <c r="AI75" s="177"/>
      <c r="AJ75" s="177"/>
    </row>
    <row r="76" spans="1:114" s="169" customFormat="1" ht="15.75" thickBot="1" x14ac:dyDescent="0.25">
      <c r="A76" s="479"/>
      <c r="B76" s="10"/>
      <c r="C76" s="10"/>
      <c r="D76" s="10"/>
      <c r="E76" s="10"/>
      <c r="F76" s="10"/>
      <c r="G76" s="10"/>
      <c r="H76" s="10"/>
      <c r="I76" s="10"/>
      <c r="J76" s="10"/>
      <c r="K76" s="10"/>
      <c r="L76" s="10"/>
      <c r="M76" s="10"/>
      <c r="N76" s="10"/>
      <c r="O76" s="159"/>
      <c r="P76" s="154"/>
      <c r="Q76" s="154"/>
      <c r="R76" s="154"/>
      <c r="S76" s="201"/>
      <c r="T76" s="154"/>
      <c r="U76" s="154"/>
      <c r="V76" s="154"/>
      <c r="W76" s="154"/>
      <c r="X76" s="154"/>
      <c r="Y76" s="10"/>
      <c r="Z76" s="11"/>
      <c r="AA76" s="8"/>
      <c r="AB76" s="168"/>
      <c r="AC76" s="9"/>
      <c r="AD76" s="177"/>
      <c r="AE76" s="177"/>
      <c r="AF76" s="177"/>
      <c r="AG76" s="177"/>
      <c r="AH76" s="177"/>
      <c r="AI76" s="177"/>
      <c r="AJ76" s="177"/>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row>
    <row r="77" spans="1:114" s="170" customFormat="1" ht="15.75" x14ac:dyDescent="0.25">
      <c r="A77" s="479"/>
      <c r="B77" s="10"/>
      <c r="C77" s="2078" t="str">
        <f>+CONCATENATE("Local Authority : ",+'Part 1'!$L$16)</f>
        <v>Local Authority : ZZZZ</v>
      </c>
      <c r="D77" s="2078"/>
      <c r="E77" s="2078"/>
      <c r="F77" s="2078"/>
      <c r="G77" s="2078"/>
      <c r="H77" s="10"/>
      <c r="I77" s="10"/>
      <c r="J77" s="10"/>
      <c r="K77" s="10"/>
      <c r="L77" s="10"/>
      <c r="M77" s="10"/>
      <c r="N77" s="10"/>
      <c r="O77" s="159"/>
      <c r="P77" s="154"/>
      <c r="Q77" s="154"/>
      <c r="R77" s="154"/>
      <c r="S77" s="201"/>
      <c r="T77" s="154"/>
      <c r="U77" s="154"/>
      <c r="V77" s="154"/>
      <c r="W77" s="973" t="str">
        <f>+W21</f>
        <v>Ver</v>
      </c>
      <c r="X77" s="1053">
        <f>+X21</f>
        <v>1</v>
      </c>
      <c r="Y77" s="10"/>
      <c r="Z77" s="11"/>
      <c r="AA77" s="8"/>
      <c r="AB77" s="168"/>
      <c r="AC77" s="9"/>
      <c r="AD77" s="177"/>
      <c r="AE77" s="177"/>
      <c r="AF77" s="177"/>
      <c r="AG77" s="177"/>
      <c r="AH77" s="177"/>
      <c r="AI77" s="177"/>
      <c r="AJ77" s="177"/>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row>
    <row r="78" spans="1:114" ht="15.75" x14ac:dyDescent="0.25">
      <c r="A78" s="479"/>
      <c r="B78" s="10"/>
      <c r="C78" s="12"/>
      <c r="D78" s="10"/>
      <c r="E78" s="10"/>
      <c r="F78" s="10"/>
      <c r="G78" s="10"/>
      <c r="H78" s="10"/>
      <c r="I78" s="10"/>
      <c r="J78" s="10"/>
      <c r="K78" s="154"/>
      <c r="L78" s="154"/>
      <c r="M78" s="154"/>
      <c r="N78" s="154"/>
      <c r="O78" s="159"/>
      <c r="P78" s="154"/>
      <c r="Q78" s="154"/>
      <c r="R78" s="154"/>
      <c r="S78" s="201"/>
      <c r="T78" s="154"/>
      <c r="U78" s="154"/>
      <c r="V78" s="154"/>
      <c r="W78" s="154"/>
      <c r="X78" s="154"/>
      <c r="Y78" s="10"/>
      <c r="Z78" s="11"/>
      <c r="AB78" s="168"/>
      <c r="AD78" s="177"/>
      <c r="AE78" s="177"/>
      <c r="AF78" s="177"/>
      <c r="AG78" s="177"/>
      <c r="AH78" s="177"/>
      <c r="AI78" s="177"/>
      <c r="AJ78" s="177"/>
    </row>
    <row r="79" spans="1:114" ht="15.75" x14ac:dyDescent="0.25">
      <c r="A79" s="479"/>
      <c r="B79" s="10"/>
      <c r="C79" s="13" t="s">
        <v>281</v>
      </c>
      <c r="D79" s="13"/>
      <c r="E79" s="13"/>
      <c r="F79" s="13"/>
      <c r="G79" s="10"/>
      <c r="H79" s="10"/>
      <c r="I79" s="10"/>
      <c r="J79" s="10"/>
      <c r="K79" s="154"/>
      <c r="L79" s="154"/>
      <c r="M79" s="154"/>
      <c r="N79" s="154"/>
      <c r="O79" s="154"/>
      <c r="P79" s="154"/>
      <c r="Q79" s="154"/>
      <c r="R79" s="154"/>
      <c r="S79" s="154"/>
      <c r="T79" s="154"/>
      <c r="U79" s="154"/>
      <c r="V79" s="154"/>
      <c r="W79" s="154"/>
      <c r="X79" s="154"/>
      <c r="Y79" s="10"/>
      <c r="Z79" s="11"/>
      <c r="AB79" s="168"/>
      <c r="AD79" s="177"/>
      <c r="AE79" s="177"/>
      <c r="AF79" s="177"/>
      <c r="AG79" s="177"/>
      <c r="AH79" s="177"/>
      <c r="AI79" s="177"/>
      <c r="AJ79" s="177"/>
    </row>
    <row r="80" spans="1:114" ht="15.75" x14ac:dyDescent="0.25">
      <c r="A80" s="479"/>
      <c r="B80" s="10"/>
      <c r="C80" s="385" t="s">
        <v>1031</v>
      </c>
      <c r="D80" s="10"/>
      <c r="E80" s="10"/>
      <c r="F80" s="10"/>
      <c r="G80" s="10"/>
      <c r="H80" s="10"/>
      <c r="I80" s="10"/>
      <c r="J80" s="10"/>
      <c r="K80" s="154"/>
      <c r="L80" s="154"/>
      <c r="M80" s="154"/>
      <c r="N80" s="154"/>
      <c r="O80" s="154"/>
      <c r="P80" s="154"/>
      <c r="Q80" s="154"/>
      <c r="R80" s="154"/>
      <c r="S80" s="154"/>
      <c r="T80" s="154"/>
      <c r="U80" s="154"/>
      <c r="V80" s="154"/>
      <c r="W80" s="154"/>
      <c r="X80" s="154"/>
      <c r="Y80" s="10"/>
      <c r="Z80" s="11"/>
      <c r="AB80" s="168"/>
      <c r="AD80" s="177"/>
      <c r="AE80" s="177"/>
      <c r="AF80" s="177"/>
      <c r="AG80" s="177"/>
      <c r="AH80" s="177"/>
      <c r="AI80" s="177"/>
      <c r="AJ80" s="177"/>
    </row>
    <row r="81" spans="1:36" ht="15.75" x14ac:dyDescent="0.25">
      <c r="A81" s="479"/>
      <c r="B81" s="10"/>
      <c r="C81" s="10" t="s">
        <v>2113</v>
      </c>
      <c r="D81" s="10"/>
      <c r="E81" s="10"/>
      <c r="F81" s="10"/>
      <c r="G81" s="10"/>
      <c r="H81" s="10"/>
      <c r="I81" s="10"/>
      <c r="J81" s="10"/>
      <c r="K81" s="154"/>
      <c r="L81" s="154"/>
      <c r="M81" s="154"/>
      <c r="N81" s="154"/>
      <c r="O81" s="154"/>
      <c r="P81" s="154"/>
      <c r="Q81" s="154"/>
      <c r="R81" s="154"/>
      <c r="S81" s="154"/>
      <c r="T81" s="154"/>
      <c r="U81" s="154"/>
      <c r="V81" s="154"/>
      <c r="W81" s="154"/>
      <c r="X81" s="154"/>
      <c r="Y81" s="10"/>
      <c r="Z81" s="11"/>
      <c r="AB81" s="168"/>
      <c r="AD81" s="177"/>
      <c r="AE81" s="177"/>
      <c r="AF81" s="177"/>
      <c r="AG81" s="177"/>
      <c r="AH81" s="177"/>
      <c r="AI81" s="177"/>
      <c r="AJ81" s="177"/>
    </row>
    <row r="82" spans="1:36" x14ac:dyDescent="0.2">
      <c r="A82" s="479"/>
      <c r="B82" s="10"/>
      <c r="C82" s="10"/>
      <c r="D82" s="10" t="s">
        <v>802</v>
      </c>
      <c r="E82" s="10"/>
      <c r="F82" s="10"/>
      <c r="G82" s="10"/>
      <c r="H82" s="10"/>
      <c r="I82" s="10"/>
      <c r="J82" s="10"/>
      <c r="K82" s="154"/>
      <c r="L82" s="154"/>
      <c r="M82" s="154"/>
      <c r="N82" s="154"/>
      <c r="O82" s="154"/>
      <c r="P82" s="154"/>
      <c r="Q82" s="154"/>
      <c r="R82" s="154"/>
      <c r="S82" s="154"/>
      <c r="T82" s="154"/>
      <c r="U82" s="154"/>
      <c r="V82" s="154"/>
      <c r="W82" s="154"/>
      <c r="X82" s="154"/>
      <c r="Y82" s="10"/>
      <c r="Z82" s="11"/>
      <c r="AB82" s="168"/>
      <c r="AD82" s="177"/>
      <c r="AE82" s="177"/>
      <c r="AF82" s="177"/>
      <c r="AG82" s="177"/>
      <c r="AH82" s="177"/>
      <c r="AI82" s="177"/>
      <c r="AJ82" s="177"/>
    </row>
    <row r="83" spans="1:36" x14ac:dyDescent="0.2">
      <c r="A83" s="479"/>
      <c r="B83" s="10"/>
      <c r="C83" s="10"/>
      <c r="D83" s="10" t="s">
        <v>803</v>
      </c>
      <c r="E83" s="10"/>
      <c r="F83" s="10"/>
      <c r="G83" s="10"/>
      <c r="H83" s="10"/>
      <c r="I83" s="10"/>
      <c r="J83" s="10"/>
      <c r="K83" s="154"/>
      <c r="L83" s="154"/>
      <c r="M83" s="154"/>
      <c r="N83" s="154"/>
      <c r="O83" s="154"/>
      <c r="P83" s="154"/>
      <c r="Q83" s="154"/>
      <c r="R83" s="154"/>
      <c r="S83" s="154"/>
      <c r="T83" s="154"/>
      <c r="U83" s="154"/>
      <c r="V83" s="154"/>
      <c r="W83" s="154"/>
      <c r="X83" s="154"/>
      <c r="Y83" s="10"/>
      <c r="Z83" s="11"/>
      <c r="AB83" s="168"/>
      <c r="AD83" s="177"/>
      <c r="AE83" s="177"/>
      <c r="AF83" s="177"/>
      <c r="AG83" s="177"/>
      <c r="AH83" s="177"/>
      <c r="AI83" s="177"/>
      <c r="AJ83" s="177"/>
    </row>
    <row r="84" spans="1:36" x14ac:dyDescent="0.2">
      <c r="A84" s="479"/>
      <c r="B84" s="10"/>
      <c r="C84" s="10"/>
      <c r="D84" s="10" t="s">
        <v>804</v>
      </c>
      <c r="E84" s="10"/>
      <c r="F84" s="10"/>
      <c r="G84" s="10"/>
      <c r="H84" s="10"/>
      <c r="I84" s="10"/>
      <c r="J84" s="10"/>
      <c r="K84" s="154"/>
      <c r="L84" s="154"/>
      <c r="M84" s="154"/>
      <c r="N84" s="154"/>
      <c r="O84" s="154"/>
      <c r="P84" s="154"/>
      <c r="Q84" s="154"/>
      <c r="R84" s="154"/>
      <c r="S84" s="154"/>
      <c r="T84" s="154"/>
      <c r="U84" s="154"/>
      <c r="V84" s="154"/>
      <c r="W84" s="154"/>
      <c r="X84" s="154"/>
      <c r="Y84" s="10"/>
      <c r="Z84" s="11"/>
      <c r="AB84" s="168"/>
      <c r="AD84" s="177"/>
      <c r="AE84" s="177"/>
      <c r="AF84" s="177"/>
      <c r="AG84" s="177"/>
      <c r="AH84" s="177"/>
      <c r="AI84" s="177"/>
      <c r="AJ84" s="177"/>
    </row>
    <row r="85" spans="1:36" x14ac:dyDescent="0.2">
      <c r="A85" s="479"/>
      <c r="B85" s="10"/>
      <c r="C85" s="10" t="s">
        <v>805</v>
      </c>
      <c r="D85" s="10"/>
      <c r="E85" s="10"/>
      <c r="F85" s="10"/>
      <c r="G85" s="10"/>
      <c r="H85" s="10"/>
      <c r="I85" s="10"/>
      <c r="J85" s="10"/>
      <c r="K85" s="154"/>
      <c r="L85" s="154"/>
      <c r="M85" s="154"/>
      <c r="N85" s="154"/>
      <c r="O85" s="154"/>
      <c r="P85" s="154"/>
      <c r="Q85" s="154"/>
      <c r="R85" s="154"/>
      <c r="S85" s="154"/>
      <c r="T85" s="154"/>
      <c r="U85" s="154"/>
      <c r="V85" s="154"/>
      <c r="W85" s="154"/>
      <c r="X85" s="154"/>
      <c r="Y85" s="10"/>
      <c r="Z85" s="11"/>
      <c r="AB85" s="168"/>
      <c r="AD85" s="177"/>
      <c r="AE85" s="177"/>
      <c r="AF85" s="177"/>
      <c r="AG85" s="177"/>
      <c r="AH85" s="177"/>
      <c r="AI85" s="177"/>
      <c r="AJ85" s="177"/>
    </row>
    <row r="86" spans="1:36" x14ac:dyDescent="0.2">
      <c r="A86" s="479"/>
      <c r="B86" s="10"/>
      <c r="C86" s="10"/>
      <c r="D86" s="10"/>
      <c r="E86" s="10"/>
      <c r="F86" s="10"/>
      <c r="G86" s="10"/>
      <c r="H86" s="10"/>
      <c r="I86" s="10"/>
      <c r="J86" s="10"/>
      <c r="K86" s="154"/>
      <c r="L86" s="154"/>
      <c r="M86" s="154"/>
      <c r="N86" s="154"/>
      <c r="O86" s="154"/>
      <c r="P86" s="154"/>
      <c r="Q86" s="154"/>
      <c r="R86" s="154"/>
      <c r="S86" s="154"/>
      <c r="T86" s="154"/>
      <c r="U86" s="154"/>
      <c r="V86" s="154"/>
      <c r="W86" s="154"/>
      <c r="X86" s="154"/>
      <c r="Y86" s="10"/>
      <c r="Z86" s="11"/>
      <c r="AB86" s="168"/>
      <c r="AD86" s="177"/>
      <c r="AE86" s="177"/>
      <c r="AF86" s="177"/>
      <c r="AG86" s="177"/>
      <c r="AH86" s="177"/>
      <c r="AI86" s="177"/>
      <c r="AJ86" s="177"/>
    </row>
    <row r="87" spans="1:36" x14ac:dyDescent="0.2">
      <c r="A87" s="479"/>
      <c r="B87" s="10"/>
      <c r="C87" s="10"/>
      <c r="D87" s="10"/>
      <c r="E87" s="10"/>
      <c r="F87" s="10"/>
      <c r="G87" s="10"/>
      <c r="H87" s="10"/>
      <c r="I87" s="10"/>
      <c r="J87" s="10"/>
      <c r="K87" s="2104" t="s">
        <v>794</v>
      </c>
      <c r="L87" s="2104"/>
      <c r="M87" s="154"/>
      <c r="N87" s="2104" t="s">
        <v>795</v>
      </c>
      <c r="O87" s="2104"/>
      <c r="P87" s="160"/>
      <c r="Q87" s="2104" t="s">
        <v>796</v>
      </c>
      <c r="R87" s="2104"/>
      <c r="S87" s="160"/>
      <c r="T87" s="2104" t="s">
        <v>797</v>
      </c>
      <c r="U87" s="2104"/>
      <c r="V87" s="160"/>
      <c r="W87" s="2104" t="s">
        <v>814</v>
      </c>
      <c r="X87" s="2104"/>
      <c r="Y87" s="10"/>
      <c r="Z87" s="11"/>
      <c r="AB87" s="168"/>
      <c r="AD87" s="177"/>
      <c r="AE87" s="177"/>
      <c r="AF87" s="177"/>
      <c r="AG87" s="177"/>
      <c r="AH87" s="177"/>
      <c r="AI87" s="177"/>
      <c r="AJ87" s="177"/>
    </row>
    <row r="88" spans="1:36" ht="15.75" x14ac:dyDescent="0.2">
      <c r="A88" s="479"/>
      <c r="B88" s="10"/>
      <c r="C88" s="10"/>
      <c r="D88" s="10"/>
      <c r="E88" s="10"/>
      <c r="F88" s="10"/>
      <c r="G88" s="10"/>
      <c r="H88" s="10"/>
      <c r="I88" s="10"/>
      <c r="J88" s="10"/>
      <c r="K88" s="2060" t="s">
        <v>40</v>
      </c>
      <c r="L88" s="2061"/>
      <c r="M88" s="472"/>
      <c r="N88" s="2060" t="str">
        <f>+L16</f>
        <v>ZZZZ</v>
      </c>
      <c r="O88" s="2061"/>
      <c r="P88" s="473"/>
      <c r="Q88" s="2060" t="str">
        <f>+IF(E233="UA","",IF(E233="MD","",IF(E233="Greater London Authority",E233,IF(E233="West of England CA",E233,(CONCATENATE(E233," County Council"))))))</f>
        <v>0 County Council</v>
      </c>
      <c r="R88" s="2061"/>
      <c r="S88" s="473"/>
      <c r="T88" s="2060">
        <f>+IF(K233="County","",IF(K233="NA","",K233))</f>
        <v>0</v>
      </c>
      <c r="U88" s="2061"/>
      <c r="V88" s="472"/>
      <c r="W88" s="2060" t="s">
        <v>806</v>
      </c>
      <c r="X88" s="2060"/>
      <c r="Y88" s="10"/>
      <c r="Z88" s="11"/>
      <c r="AB88" s="168"/>
      <c r="AD88" s="177"/>
      <c r="AE88" s="177"/>
      <c r="AF88" s="177"/>
      <c r="AG88" s="177"/>
      <c r="AH88" s="177"/>
      <c r="AI88" s="177"/>
      <c r="AJ88" s="177"/>
    </row>
    <row r="89" spans="1:36" ht="15.75" x14ac:dyDescent="0.2">
      <c r="A89" s="479"/>
      <c r="B89" s="10"/>
      <c r="C89" s="10"/>
      <c r="D89" s="10"/>
      <c r="E89" s="10"/>
      <c r="F89" s="10"/>
      <c r="G89" s="10"/>
      <c r="H89" s="10"/>
      <c r="I89" s="10"/>
      <c r="J89" s="10"/>
      <c r="K89" s="2060"/>
      <c r="L89" s="2061"/>
      <c r="M89" s="472"/>
      <c r="N89" s="2060"/>
      <c r="O89" s="2061"/>
      <c r="P89" s="473"/>
      <c r="Q89" s="2060"/>
      <c r="R89" s="2061"/>
      <c r="S89" s="473"/>
      <c r="T89" s="2060"/>
      <c r="U89" s="2061"/>
      <c r="V89" s="472"/>
      <c r="W89" s="472"/>
      <c r="X89" s="472"/>
      <c r="Y89" s="10"/>
      <c r="Z89" s="11"/>
      <c r="AB89" s="2056" t="s">
        <v>1090</v>
      </c>
      <c r="AD89" s="177"/>
      <c r="AE89" s="177"/>
      <c r="AF89" s="177"/>
      <c r="AG89" s="177"/>
      <c r="AH89" s="177"/>
      <c r="AI89" s="177"/>
      <c r="AJ89" s="177"/>
    </row>
    <row r="90" spans="1:36" ht="15.75" customHeight="1" x14ac:dyDescent="0.2">
      <c r="A90" s="479"/>
      <c r="B90" s="10"/>
      <c r="C90" s="10"/>
      <c r="D90" s="10"/>
      <c r="E90" s="10"/>
      <c r="F90" s="10"/>
      <c r="G90" s="10"/>
      <c r="H90" s="10"/>
      <c r="I90" s="10"/>
      <c r="J90" s="10"/>
      <c r="K90" s="2061"/>
      <c r="L90" s="2061"/>
      <c r="M90" s="472"/>
      <c r="N90" s="2061"/>
      <c r="O90" s="2061"/>
      <c r="P90" s="473"/>
      <c r="Q90" s="2061"/>
      <c r="R90" s="2061"/>
      <c r="S90" s="473"/>
      <c r="T90" s="2061"/>
      <c r="U90" s="2061"/>
      <c r="V90" s="473"/>
      <c r="W90" s="473"/>
      <c r="X90" s="473"/>
      <c r="Y90" s="10"/>
      <c r="Z90" s="11"/>
      <c r="AB90" s="2057"/>
      <c r="AD90" s="177"/>
      <c r="AE90" s="177"/>
      <c r="AF90" s="177"/>
      <c r="AG90" s="177"/>
      <c r="AH90" s="177"/>
      <c r="AI90" s="177"/>
      <c r="AJ90" s="177"/>
    </row>
    <row r="91" spans="1:36" ht="15" customHeight="1" thickBot="1" x14ac:dyDescent="0.3">
      <c r="A91" s="479"/>
      <c r="B91" s="10"/>
      <c r="C91" s="26" t="s">
        <v>44</v>
      </c>
      <c r="D91" s="10"/>
      <c r="E91" s="10"/>
      <c r="F91" s="10"/>
      <c r="G91" s="10"/>
      <c r="H91" s="10"/>
      <c r="I91" s="10"/>
      <c r="J91" s="524"/>
      <c r="K91" s="2049" t="s">
        <v>786</v>
      </c>
      <c r="L91" s="2049"/>
      <c r="M91" s="522"/>
      <c r="N91" s="2049" t="s">
        <v>786</v>
      </c>
      <c r="O91" s="2049"/>
      <c r="P91" s="523"/>
      <c r="Q91" s="2049" t="s">
        <v>786</v>
      </c>
      <c r="R91" s="2049"/>
      <c r="S91" s="523"/>
      <c r="T91" s="2049" t="s">
        <v>786</v>
      </c>
      <c r="U91" s="2049"/>
      <c r="V91" s="522"/>
      <c r="W91" s="2049" t="s">
        <v>786</v>
      </c>
      <c r="X91" s="2049"/>
      <c r="Y91" s="524"/>
      <c r="Z91" s="11"/>
      <c r="AB91" s="9"/>
      <c r="AD91" s="177"/>
      <c r="AE91" s="177"/>
      <c r="AF91" s="177"/>
      <c r="AG91" s="177"/>
      <c r="AH91" s="177"/>
      <c r="AI91" s="177"/>
      <c r="AJ91" s="177"/>
    </row>
    <row r="92" spans="1:36" ht="15" customHeight="1" thickBot="1" x14ac:dyDescent="0.25">
      <c r="A92" s="479"/>
      <c r="B92" s="10"/>
      <c r="C92" s="10"/>
      <c r="D92" s="2067" t="s">
        <v>2260</v>
      </c>
      <c r="E92" s="2068"/>
      <c r="F92" s="2068"/>
      <c r="G92" s="2068"/>
      <c r="H92" s="2068"/>
      <c r="I92" s="2068"/>
      <c r="J92" s="524"/>
      <c r="K92" s="2052">
        <f>W92-T92-Q92-N92</f>
        <v>1</v>
      </c>
      <c r="L92" s="2053"/>
      <c r="M92" s="526"/>
      <c r="N92" s="2052">
        <f>VLOOKUP($L$17,TierSplit!$A$6:$AG$332,3,FALSE)</f>
        <v>0</v>
      </c>
      <c r="O92" s="2053"/>
      <c r="P92" s="526"/>
      <c r="Q92" s="2062">
        <f>VLOOKUP($L$17,TierSplit!$A$6:$AG$332,6,FALSE)</f>
        <v>0</v>
      </c>
      <c r="R92" s="2063"/>
      <c r="S92" s="526"/>
      <c r="T92" s="2062">
        <f>VLOOKUP($L$17,TierSplit!$A$6:$AG$332,9,FALSE)</f>
        <v>0</v>
      </c>
      <c r="U92" s="2063"/>
      <c r="V92" s="523"/>
      <c r="W92" s="2062">
        <f>1</f>
        <v>1</v>
      </c>
      <c r="X92" s="2063"/>
      <c r="Y92" s="524"/>
      <c r="Z92" s="11"/>
      <c r="AB92" s="9"/>
      <c r="AD92" s="177"/>
      <c r="AE92" s="177"/>
      <c r="AF92" s="177"/>
      <c r="AG92" s="177"/>
      <c r="AH92" s="177"/>
      <c r="AI92" s="177"/>
      <c r="AJ92" s="177"/>
    </row>
    <row r="93" spans="1:36" ht="15" customHeight="1" x14ac:dyDescent="0.2">
      <c r="A93" s="479"/>
      <c r="B93" s="10"/>
      <c r="C93" s="10"/>
      <c r="D93" s="2068"/>
      <c r="E93" s="2068"/>
      <c r="F93" s="2068"/>
      <c r="G93" s="2068"/>
      <c r="H93" s="2068"/>
      <c r="I93" s="2068"/>
      <c r="J93" s="524"/>
      <c r="K93" s="525"/>
      <c r="L93" s="525"/>
      <c r="M93" s="522"/>
      <c r="N93" s="525"/>
      <c r="O93" s="525"/>
      <c r="P93" s="523"/>
      <c r="Q93" s="525"/>
      <c r="R93" s="525"/>
      <c r="S93" s="523"/>
      <c r="T93" s="525"/>
      <c r="U93" s="525"/>
      <c r="V93" s="522"/>
      <c r="W93" s="525"/>
      <c r="X93" s="525"/>
      <c r="Y93" s="524"/>
      <c r="Z93" s="11"/>
      <c r="AB93" s="765" t="s">
        <v>70</v>
      </c>
      <c r="AD93" s="177"/>
      <c r="AE93" s="177"/>
      <c r="AF93" s="177"/>
      <c r="AG93" s="177"/>
      <c r="AH93" s="177"/>
      <c r="AI93" s="177"/>
      <c r="AJ93" s="177"/>
    </row>
    <row r="94" spans="1:36" ht="15" customHeight="1" x14ac:dyDescent="0.2">
      <c r="A94" s="479"/>
      <c r="B94" s="10"/>
      <c r="C94" s="10"/>
      <c r="D94" s="10"/>
      <c r="E94" s="10"/>
      <c r="F94" s="10"/>
      <c r="G94" s="10"/>
      <c r="H94" s="10"/>
      <c r="I94" s="10"/>
      <c r="J94" s="524"/>
      <c r="K94" s="525"/>
      <c r="L94" s="525"/>
      <c r="M94" s="522"/>
      <c r="N94" s="525"/>
      <c r="O94" s="525"/>
      <c r="P94" s="523"/>
      <c r="Q94" s="525"/>
      <c r="R94" s="525"/>
      <c r="S94" s="523"/>
      <c r="T94" s="525"/>
      <c r="U94" s="525"/>
      <c r="V94" s="522"/>
      <c r="W94" s="525"/>
      <c r="X94" s="525"/>
      <c r="Y94" s="524"/>
      <c r="Z94" s="11"/>
      <c r="AB94" s="348" t="s">
        <v>71</v>
      </c>
      <c r="AD94" s="177"/>
      <c r="AE94" s="177"/>
      <c r="AF94" s="177"/>
      <c r="AG94" s="177"/>
      <c r="AH94" s="177"/>
      <c r="AI94" s="177"/>
      <c r="AJ94" s="177"/>
    </row>
    <row r="95" spans="1:36" ht="16.5" thickBot="1" x14ac:dyDescent="0.3">
      <c r="A95" s="479"/>
      <c r="B95" s="10"/>
      <c r="C95" s="13" t="s">
        <v>2145</v>
      </c>
      <c r="D95" s="10"/>
      <c r="E95" s="10"/>
      <c r="F95" s="10"/>
      <c r="G95" s="10"/>
      <c r="H95" s="10"/>
      <c r="I95" s="10"/>
      <c r="J95" s="524"/>
      <c r="K95" s="523"/>
      <c r="L95" s="523"/>
      <c r="M95" s="523"/>
      <c r="N95" s="523"/>
      <c r="O95" s="523"/>
      <c r="P95" s="523"/>
      <c r="Q95" s="523"/>
      <c r="R95" s="523"/>
      <c r="S95" s="523"/>
      <c r="T95" s="523"/>
      <c r="U95" s="523"/>
      <c r="V95" s="523"/>
      <c r="W95" s="523"/>
      <c r="X95" s="523"/>
      <c r="Y95" s="524"/>
      <c r="Z95" s="11"/>
      <c r="AB95" s="347"/>
      <c r="AD95" s="177"/>
      <c r="AE95" s="177"/>
      <c r="AF95" s="177"/>
      <c r="AG95" s="177"/>
      <c r="AH95" s="177"/>
      <c r="AI95" s="177"/>
      <c r="AJ95" s="177"/>
    </row>
    <row r="96" spans="1:36" ht="16.5" thickBot="1" x14ac:dyDescent="0.25">
      <c r="A96" s="479"/>
      <c r="B96" s="10"/>
      <c r="C96" s="10"/>
      <c r="D96" s="2067" t="s">
        <v>2270</v>
      </c>
      <c r="E96" s="2067"/>
      <c r="F96" s="2067"/>
      <c r="G96" s="2067"/>
      <c r="H96" s="2067"/>
      <c r="I96" s="2067"/>
      <c r="J96" s="524"/>
      <c r="K96" s="2046" t="e">
        <f>IF(K92=0,0,+K56-N96-Q96-T96)</f>
        <v>#N/A</v>
      </c>
      <c r="L96" s="2047"/>
      <c r="M96" s="547"/>
      <c r="N96" s="2046" t="e">
        <f>ROUND(+K56*$N$92,0)</f>
        <v>#N/A</v>
      </c>
      <c r="O96" s="2047"/>
      <c r="P96" s="547"/>
      <c r="Q96" s="2046" t="e">
        <f>ROUND(+K56*$Q$92,0)</f>
        <v>#N/A</v>
      </c>
      <c r="R96" s="2047"/>
      <c r="S96" s="547"/>
      <c r="T96" s="2046" t="e">
        <f>ROUND(+K56*$T$92,0)</f>
        <v>#N/A</v>
      </c>
      <c r="U96" s="2047"/>
      <c r="V96" s="547"/>
      <c r="W96" s="2046" t="e">
        <f>+K56</f>
        <v>#N/A</v>
      </c>
      <c r="X96" s="2047"/>
      <c r="Y96" s="524"/>
      <c r="Z96" s="125"/>
      <c r="AB96" s="347" t="e">
        <f>+W96-K56</f>
        <v>#N/A</v>
      </c>
      <c r="AD96" s="177"/>
      <c r="AE96" s="177"/>
      <c r="AF96" s="177"/>
      <c r="AG96" s="177"/>
      <c r="AH96" s="177"/>
      <c r="AI96" s="177"/>
      <c r="AJ96" s="177"/>
    </row>
    <row r="97" spans="1:36" x14ac:dyDescent="0.2">
      <c r="A97" s="479"/>
      <c r="B97" s="10"/>
      <c r="C97" s="10"/>
      <c r="D97" s="2067"/>
      <c r="E97" s="2067"/>
      <c r="F97" s="2067"/>
      <c r="G97" s="2067"/>
      <c r="H97" s="2067"/>
      <c r="I97" s="2067"/>
      <c r="J97" s="524"/>
      <c r="K97" s="547"/>
      <c r="L97" s="547"/>
      <c r="M97" s="547"/>
      <c r="N97" s="547"/>
      <c r="O97" s="547"/>
      <c r="P97" s="547"/>
      <c r="Q97" s="547"/>
      <c r="R97" s="547"/>
      <c r="S97" s="547"/>
      <c r="T97" s="547"/>
      <c r="U97" s="547"/>
      <c r="V97" s="547"/>
      <c r="W97" s="547"/>
      <c r="X97" s="547"/>
      <c r="Y97" s="524"/>
      <c r="Z97" s="11"/>
      <c r="AB97" s="347"/>
      <c r="AD97" s="177"/>
      <c r="AE97" s="177"/>
      <c r="AF97" s="177"/>
      <c r="AG97" s="177"/>
      <c r="AH97" s="177"/>
      <c r="AI97" s="177"/>
      <c r="AJ97" s="177"/>
    </row>
    <row r="98" spans="1:36" ht="15.75" thickBot="1" x14ac:dyDescent="0.25">
      <c r="A98" s="479"/>
      <c r="B98" s="10"/>
      <c r="C98" s="10"/>
      <c r="D98" s="10"/>
      <c r="E98" s="10"/>
      <c r="F98" s="10"/>
      <c r="G98" s="10"/>
      <c r="H98" s="10"/>
      <c r="I98" s="10"/>
      <c r="J98" s="524"/>
      <c r="K98" s="547"/>
      <c r="L98" s="547"/>
      <c r="M98" s="547"/>
      <c r="N98" s="547"/>
      <c r="O98" s="547"/>
      <c r="P98" s="547"/>
      <c r="Q98" s="547"/>
      <c r="R98" s="547"/>
      <c r="S98" s="547"/>
      <c r="T98" s="547"/>
      <c r="U98" s="547"/>
      <c r="V98" s="547"/>
      <c r="W98" s="547"/>
      <c r="X98" s="547"/>
      <c r="Y98" s="524"/>
      <c r="Z98" s="11"/>
      <c r="AB98" s="347" t="e">
        <f>IF(AND(K92=0,K56-N96-Q96-T96&lt;&gt;0),0,+IF(ABS(K96+N96+Q96+T96-W96)&lt;0.5,0,1))</f>
        <v>#N/A</v>
      </c>
      <c r="AD98" s="177"/>
      <c r="AE98" s="177"/>
      <c r="AF98" s="177"/>
      <c r="AG98" s="177"/>
      <c r="AH98" s="177"/>
      <c r="AI98" s="177"/>
      <c r="AJ98" s="177"/>
    </row>
    <row r="99" spans="1:36" ht="16.5" thickBot="1" x14ac:dyDescent="0.25">
      <c r="A99" s="479"/>
      <c r="B99" s="10"/>
      <c r="C99" s="10"/>
      <c r="D99" s="10" t="s">
        <v>2271</v>
      </c>
      <c r="E99" s="10"/>
      <c r="F99" s="10"/>
      <c r="G99" s="10"/>
      <c r="H99" s="10"/>
      <c r="I99" s="10"/>
      <c r="J99" s="524"/>
      <c r="K99" s="2046">
        <f>+'Part 3'!O70</f>
        <v>0</v>
      </c>
      <c r="L99" s="2047"/>
      <c r="M99" s="547"/>
      <c r="N99" s="2046">
        <v>0</v>
      </c>
      <c r="O99" s="2047"/>
      <c r="P99" s="547"/>
      <c r="Q99" s="2046">
        <v>0</v>
      </c>
      <c r="R99" s="2047"/>
      <c r="S99" s="547"/>
      <c r="T99" s="2046">
        <v>0</v>
      </c>
      <c r="U99" s="2047"/>
      <c r="V99" s="547"/>
      <c r="W99" s="2046">
        <f>+K99</f>
        <v>0</v>
      </c>
      <c r="X99" s="2047"/>
      <c r="Y99" s="524"/>
      <c r="Z99" s="11"/>
      <c r="AB99" s="347"/>
      <c r="AD99" s="176"/>
      <c r="AE99" s="177"/>
      <c r="AF99" s="177"/>
      <c r="AG99" s="177"/>
      <c r="AH99" s="177"/>
      <c r="AI99" s="177"/>
      <c r="AJ99" s="177"/>
    </row>
    <row r="100" spans="1:36" ht="16.5" thickBot="1" x14ac:dyDescent="0.25">
      <c r="A100" s="479"/>
      <c r="B100" s="10"/>
      <c r="C100" s="10"/>
      <c r="D100" s="27"/>
      <c r="E100" s="10"/>
      <c r="F100" s="10"/>
      <c r="G100" s="10"/>
      <c r="H100" s="10"/>
      <c r="I100" s="10"/>
      <c r="J100" s="524"/>
      <c r="K100" s="667"/>
      <c r="L100" s="667"/>
      <c r="M100" s="547"/>
      <c r="N100" s="667"/>
      <c r="O100" s="667"/>
      <c r="P100" s="547"/>
      <c r="Q100" s="667"/>
      <c r="R100" s="667"/>
      <c r="S100" s="547"/>
      <c r="T100" s="667"/>
      <c r="U100" s="667"/>
      <c r="V100" s="547"/>
      <c r="W100" s="667"/>
      <c r="X100" s="667"/>
      <c r="Y100" s="524"/>
      <c r="Z100" s="11"/>
      <c r="AB100" s="347"/>
      <c r="AD100" s="176"/>
      <c r="AE100" s="177"/>
      <c r="AF100" s="177"/>
      <c r="AG100" s="177"/>
      <c r="AH100" s="177"/>
      <c r="AI100" s="177"/>
      <c r="AJ100" s="177"/>
    </row>
    <row r="101" spans="1:36" ht="16.5" thickBot="1" x14ac:dyDescent="0.3">
      <c r="A101" s="479"/>
      <c r="B101" s="10"/>
      <c r="C101" s="10"/>
      <c r="D101" s="15">
        <v>16</v>
      </c>
      <c r="E101" s="10"/>
      <c r="F101" s="10"/>
      <c r="G101" s="10"/>
      <c r="H101" s="10"/>
      <c r="I101" s="534" t="s">
        <v>837</v>
      </c>
      <c r="J101" s="532"/>
      <c r="K101" s="2046" t="e">
        <f>ROUND(+K96-K99,0)</f>
        <v>#N/A</v>
      </c>
      <c r="L101" s="2047"/>
      <c r="M101" s="547"/>
      <c r="N101" s="2046" t="e">
        <f>ROUND(+N96-N99,0)</f>
        <v>#N/A</v>
      </c>
      <c r="O101" s="2047"/>
      <c r="P101" s="548"/>
      <c r="Q101" s="2046" t="e">
        <f>ROUND(+Q96-Q99,0)</f>
        <v>#N/A</v>
      </c>
      <c r="R101" s="2047"/>
      <c r="S101" s="548"/>
      <c r="T101" s="2046" t="e">
        <f>ROUND(+T96-T99,0)</f>
        <v>#N/A</v>
      </c>
      <c r="U101" s="2047"/>
      <c r="V101" s="547"/>
      <c r="W101" s="2046" t="e">
        <f>ROUND(+W96-W99,0)</f>
        <v>#N/A</v>
      </c>
      <c r="X101" s="2047"/>
      <c r="Y101" s="524"/>
      <c r="Z101" s="11"/>
      <c r="AB101" s="347"/>
      <c r="AD101" s="176"/>
      <c r="AE101" s="176"/>
      <c r="AF101" s="176"/>
      <c r="AG101" s="176"/>
      <c r="AH101" s="176"/>
      <c r="AI101" s="176"/>
      <c r="AJ101" s="176"/>
    </row>
    <row r="102" spans="1:36" x14ac:dyDescent="0.2">
      <c r="A102" s="479"/>
      <c r="B102" s="10"/>
      <c r="C102" s="10"/>
      <c r="D102" s="10"/>
      <c r="E102" s="10"/>
      <c r="F102" s="10"/>
      <c r="G102" s="10"/>
      <c r="H102" s="10"/>
      <c r="I102" s="10"/>
      <c r="J102" s="524"/>
      <c r="K102" s="547"/>
      <c r="L102" s="547"/>
      <c r="M102" s="547"/>
      <c r="N102" s="547"/>
      <c r="O102" s="547"/>
      <c r="P102" s="547"/>
      <c r="Q102" s="547"/>
      <c r="R102" s="547"/>
      <c r="S102" s="547"/>
      <c r="T102" s="547"/>
      <c r="U102" s="547"/>
      <c r="V102" s="547"/>
      <c r="W102" s="547"/>
      <c r="X102" s="547"/>
      <c r="Y102" s="524"/>
      <c r="Z102" s="11"/>
      <c r="AB102" s="347" t="e">
        <f>+IF(K96-K99-K101=0,0,1)</f>
        <v>#N/A</v>
      </c>
      <c r="AD102" s="176"/>
      <c r="AE102" s="176"/>
      <c r="AF102" s="176"/>
      <c r="AG102" s="176"/>
      <c r="AH102" s="176"/>
      <c r="AI102" s="176"/>
      <c r="AJ102" s="176"/>
    </row>
    <row r="103" spans="1:36" ht="16.5" thickBot="1" x14ac:dyDescent="0.3">
      <c r="A103" s="479"/>
      <c r="B103" s="10"/>
      <c r="C103" s="13" t="s">
        <v>2146</v>
      </c>
      <c r="D103" s="10"/>
      <c r="E103" s="10"/>
      <c r="F103" s="10"/>
      <c r="G103" s="10"/>
      <c r="H103" s="10"/>
      <c r="I103" s="10"/>
      <c r="J103" s="524"/>
      <c r="K103" s="547"/>
      <c r="L103" s="547"/>
      <c r="M103" s="547"/>
      <c r="N103" s="547"/>
      <c r="O103" s="547"/>
      <c r="P103" s="547"/>
      <c r="Q103" s="547"/>
      <c r="R103" s="547"/>
      <c r="S103" s="547"/>
      <c r="T103" s="547"/>
      <c r="U103" s="547"/>
      <c r="V103" s="547"/>
      <c r="W103" s="547"/>
      <c r="X103" s="547"/>
      <c r="Y103" s="524"/>
      <c r="Z103" s="11"/>
      <c r="AB103" s="347"/>
      <c r="AD103" s="176"/>
      <c r="AE103" s="176"/>
      <c r="AF103" s="176"/>
      <c r="AG103" s="176"/>
      <c r="AH103" s="176"/>
      <c r="AI103" s="176"/>
      <c r="AJ103" s="176"/>
    </row>
    <row r="104" spans="1:36" ht="16.5" thickBot="1" x14ac:dyDescent="0.25">
      <c r="A104" s="479"/>
      <c r="B104" s="10"/>
      <c r="C104" s="10"/>
      <c r="D104" s="10" t="s">
        <v>2272</v>
      </c>
      <c r="E104" s="10"/>
      <c r="F104" s="10"/>
      <c r="G104" s="10"/>
      <c r="H104" s="10"/>
      <c r="I104" s="10"/>
      <c r="J104" s="524"/>
      <c r="K104" s="547"/>
      <c r="L104" s="547"/>
      <c r="M104" s="547"/>
      <c r="N104" s="2046" t="e">
        <f>+W104</f>
        <v>#N/A</v>
      </c>
      <c r="O104" s="2047"/>
      <c r="P104" s="547"/>
      <c r="Q104" s="547"/>
      <c r="R104" s="547"/>
      <c r="S104" s="547"/>
      <c r="T104" s="547"/>
      <c r="U104" s="547"/>
      <c r="V104" s="547"/>
      <c r="W104" s="2046" t="e">
        <f>+K40</f>
        <v>#N/A</v>
      </c>
      <c r="X104" s="2047"/>
      <c r="Y104" s="524"/>
      <c r="Z104" s="125"/>
      <c r="AB104" s="347" t="e">
        <f>+IF(N104-W104=0,0,1)</f>
        <v>#N/A</v>
      </c>
      <c r="AD104" s="176"/>
      <c r="AE104" s="176"/>
      <c r="AF104" s="176"/>
      <c r="AG104" s="176"/>
      <c r="AH104" s="176"/>
      <c r="AI104" s="176"/>
      <c r="AJ104" s="176"/>
    </row>
    <row r="105" spans="1:36" ht="15.75" thickBot="1" x14ac:dyDescent="0.25">
      <c r="A105" s="479"/>
      <c r="B105" s="10"/>
      <c r="C105" s="10"/>
      <c r="D105" s="10"/>
      <c r="E105" s="10"/>
      <c r="F105" s="10"/>
      <c r="G105" s="10"/>
      <c r="H105" s="10"/>
      <c r="I105" s="10"/>
      <c r="J105" s="524"/>
      <c r="K105" s="547"/>
      <c r="L105" s="547"/>
      <c r="M105" s="547"/>
      <c r="N105" s="547"/>
      <c r="O105" s="547"/>
      <c r="P105" s="547"/>
      <c r="Q105" s="547"/>
      <c r="R105" s="547"/>
      <c r="S105" s="547"/>
      <c r="T105" s="547"/>
      <c r="U105" s="547"/>
      <c r="V105" s="547"/>
      <c r="W105" s="547"/>
      <c r="X105" s="547"/>
      <c r="Y105" s="524"/>
      <c r="Z105" s="11"/>
      <c r="AB105" s="347"/>
      <c r="AD105" s="176"/>
      <c r="AE105" s="176"/>
      <c r="AF105" s="176"/>
      <c r="AG105" s="176"/>
      <c r="AH105" s="176"/>
      <c r="AI105" s="176"/>
      <c r="AJ105" s="176"/>
    </row>
    <row r="106" spans="1:36" ht="16.5" thickBot="1" x14ac:dyDescent="0.25">
      <c r="A106" s="479"/>
      <c r="B106" s="10"/>
      <c r="C106" s="10"/>
      <c r="D106" s="10" t="s">
        <v>2273</v>
      </c>
      <c r="E106" s="10"/>
      <c r="F106" s="10"/>
      <c r="G106" s="10"/>
      <c r="H106" s="10"/>
      <c r="I106" s="10"/>
      <c r="J106" s="524"/>
      <c r="K106" s="547"/>
      <c r="L106" s="547"/>
      <c r="M106" s="547"/>
      <c r="N106" s="2046">
        <f>+W106</f>
        <v>0</v>
      </c>
      <c r="O106" s="2047"/>
      <c r="P106" s="547"/>
      <c r="Q106" s="547"/>
      <c r="R106" s="547"/>
      <c r="S106" s="547"/>
      <c r="T106" s="547"/>
      <c r="U106" s="547"/>
      <c r="V106" s="547"/>
      <c r="W106" s="2046">
        <f>+K46</f>
        <v>0</v>
      </c>
      <c r="X106" s="2047"/>
      <c r="Y106" s="524"/>
      <c r="Z106" s="125"/>
      <c r="AB106" s="347">
        <f>+IF(N106-W106=0,0,1)</f>
        <v>0</v>
      </c>
      <c r="AD106" s="176"/>
      <c r="AE106" s="176"/>
      <c r="AF106" s="176"/>
      <c r="AG106" s="176"/>
      <c r="AH106" s="176"/>
      <c r="AI106" s="176"/>
      <c r="AJ106" s="176"/>
    </row>
    <row r="107" spans="1:36" ht="15.75" thickBot="1" x14ac:dyDescent="0.25">
      <c r="A107" s="479"/>
      <c r="B107" s="10"/>
      <c r="C107" s="10"/>
      <c r="D107" s="10"/>
      <c r="E107" s="10"/>
      <c r="F107" s="10"/>
      <c r="G107" s="10"/>
      <c r="H107" s="10"/>
      <c r="I107" s="10"/>
      <c r="J107" s="524"/>
      <c r="K107" s="547"/>
      <c r="L107" s="547"/>
      <c r="M107" s="547"/>
      <c r="N107" s="547"/>
      <c r="O107" s="547"/>
      <c r="P107" s="547"/>
      <c r="Q107" s="547"/>
      <c r="R107" s="547"/>
      <c r="S107" s="547"/>
      <c r="T107" s="547"/>
      <c r="U107" s="547"/>
      <c r="V107" s="547"/>
      <c r="W107" s="547"/>
      <c r="X107" s="547"/>
      <c r="Y107" s="524"/>
      <c r="Z107" s="11"/>
      <c r="AB107" s="347"/>
      <c r="AD107" s="176"/>
      <c r="AE107" s="176"/>
      <c r="AF107" s="176"/>
      <c r="AG107" s="176"/>
      <c r="AH107" s="176"/>
      <c r="AI107" s="176"/>
      <c r="AJ107" s="176"/>
    </row>
    <row r="108" spans="1:36" ht="16.5" thickBot="1" x14ac:dyDescent="0.25">
      <c r="A108" s="479"/>
      <c r="B108" s="10"/>
      <c r="C108" s="10"/>
      <c r="D108" s="10" t="s">
        <v>2274</v>
      </c>
      <c r="E108" s="10"/>
      <c r="F108" s="10"/>
      <c r="G108" s="10"/>
      <c r="H108" s="10"/>
      <c r="I108" s="10"/>
      <c r="J108" s="524"/>
      <c r="K108" s="547"/>
      <c r="L108" s="547"/>
      <c r="M108" s="547"/>
      <c r="N108" s="2046">
        <f>+K51</f>
        <v>0</v>
      </c>
      <c r="O108" s="2047"/>
      <c r="P108" s="547"/>
      <c r="Q108" s="2046">
        <f>+K53</f>
        <v>0</v>
      </c>
      <c r="R108" s="2047"/>
      <c r="S108" s="547"/>
      <c r="T108" s="547"/>
      <c r="U108" s="547"/>
      <c r="V108" s="547"/>
      <c r="W108" s="2046">
        <f>+K48</f>
        <v>0</v>
      </c>
      <c r="X108" s="2047"/>
      <c r="Y108" s="524"/>
      <c r="Z108" s="125"/>
      <c r="AB108" s="347">
        <f>+IF(N108+Q108-W108=0,0,1)</f>
        <v>0</v>
      </c>
      <c r="AD108" s="176"/>
      <c r="AE108" s="176"/>
      <c r="AF108" s="176"/>
      <c r="AG108" s="176"/>
      <c r="AH108" s="176"/>
      <c r="AI108" s="176"/>
      <c r="AJ108" s="176"/>
    </row>
    <row r="109" spans="1:36" ht="15.75" thickBot="1" x14ac:dyDescent="0.25">
      <c r="A109" s="479"/>
      <c r="B109" s="10"/>
      <c r="C109" s="10"/>
      <c r="D109" s="10"/>
      <c r="E109" s="10"/>
      <c r="F109" s="10"/>
      <c r="G109" s="10"/>
      <c r="H109" s="10"/>
      <c r="I109" s="10"/>
      <c r="J109" s="524"/>
      <c r="K109" s="547"/>
      <c r="L109" s="547"/>
      <c r="M109" s="547"/>
      <c r="N109" s="547"/>
      <c r="O109" s="547"/>
      <c r="P109" s="547"/>
      <c r="Q109" s="547"/>
      <c r="R109" s="547"/>
      <c r="S109" s="547"/>
      <c r="T109" s="547"/>
      <c r="U109" s="547"/>
      <c r="V109" s="547"/>
      <c r="W109" s="547"/>
      <c r="X109" s="547"/>
      <c r="Y109" s="524"/>
      <c r="Z109" s="11"/>
      <c r="AB109" s="347"/>
      <c r="AD109" s="176"/>
      <c r="AE109" s="176"/>
      <c r="AF109" s="176"/>
      <c r="AG109" s="176"/>
      <c r="AH109" s="176"/>
      <c r="AI109" s="176"/>
      <c r="AJ109" s="176"/>
    </row>
    <row r="110" spans="1:36" ht="16.5" thickBot="1" x14ac:dyDescent="0.25">
      <c r="A110" s="479"/>
      <c r="B110" s="10"/>
      <c r="C110" s="10"/>
      <c r="D110" s="10" t="s">
        <v>2275</v>
      </c>
      <c r="E110" s="10"/>
      <c r="F110" s="10"/>
      <c r="G110" s="10"/>
      <c r="H110" s="10"/>
      <c r="I110" s="10"/>
      <c r="J110" s="524"/>
      <c r="K110" s="547"/>
      <c r="L110" s="547"/>
      <c r="M110" s="547"/>
      <c r="N110" s="2054">
        <f>+W110-Q110-T110</f>
        <v>0</v>
      </c>
      <c r="O110" s="2055"/>
      <c r="P110" s="547"/>
      <c r="Q110" s="2046">
        <f>IF(VLOOKUP('Part 1'!$L17,TierSplit!$A$6:$AG$332,10,FALSE)=1,0,ROUND(+'Part 2'!J132*Q92,0)*-1)</f>
        <v>0</v>
      </c>
      <c r="R110" s="2047"/>
      <c r="S110" s="547"/>
      <c r="T110" s="2046">
        <f>IF(VLOOKUP('Part 1'!$L17,TierSplit!$A$6:$AG$332,10,FALSE)=1,0,ROUND(+'Part 2'!J132*T92,0)*-1)</f>
        <v>0</v>
      </c>
      <c r="U110" s="2047"/>
      <c r="V110" s="547"/>
      <c r="W110" s="2046">
        <f>+'Part 3'!O54</f>
        <v>0</v>
      </c>
      <c r="X110" s="2047"/>
      <c r="Y110" s="524"/>
      <c r="Z110" s="125"/>
      <c r="AB110" s="347">
        <f>+IF(N110+Q110+T110-W110=0,0,1)</f>
        <v>0</v>
      </c>
      <c r="AD110" s="176"/>
      <c r="AE110" s="176"/>
      <c r="AF110" s="176"/>
      <c r="AG110" s="176"/>
      <c r="AH110" s="176"/>
      <c r="AI110" s="176"/>
      <c r="AJ110" s="176"/>
    </row>
    <row r="111" spans="1:36" ht="16.5" thickBot="1" x14ac:dyDescent="0.25">
      <c r="A111" s="479"/>
      <c r="B111" s="10"/>
      <c r="C111" s="10"/>
      <c r="D111" s="10"/>
      <c r="E111" s="10"/>
      <c r="F111" s="10"/>
      <c r="G111" s="10"/>
      <c r="H111" s="10"/>
      <c r="I111" s="10"/>
      <c r="J111" s="524"/>
      <c r="K111" s="523"/>
      <c r="L111" s="523"/>
      <c r="M111" s="523"/>
      <c r="N111" s="526"/>
      <c r="O111" s="523"/>
      <c r="P111" s="523"/>
      <c r="Q111" s="526"/>
      <c r="R111" s="523"/>
      <c r="S111" s="523"/>
      <c r="T111" s="526"/>
      <c r="U111" s="523"/>
      <c r="V111" s="523"/>
      <c r="W111" s="523"/>
      <c r="X111" s="523"/>
      <c r="Y111" s="524"/>
      <c r="Z111" s="11"/>
      <c r="AB111" s="347"/>
      <c r="AD111" s="176"/>
      <c r="AE111" s="176"/>
      <c r="AF111" s="176"/>
      <c r="AG111" s="176"/>
      <c r="AH111" s="176"/>
      <c r="AI111" s="176"/>
      <c r="AJ111" s="176"/>
    </row>
    <row r="112" spans="1:36" ht="16.5" thickBot="1" x14ac:dyDescent="0.25">
      <c r="A112" s="479"/>
      <c r="B112" s="10"/>
      <c r="C112" s="10"/>
      <c r="D112" s="10" t="s">
        <v>2276</v>
      </c>
      <c r="E112" s="10"/>
      <c r="F112" s="10"/>
      <c r="G112" s="10"/>
      <c r="H112" s="10"/>
      <c r="I112" s="10"/>
      <c r="J112" s="524"/>
      <c r="K112" s="523"/>
      <c r="L112" s="523"/>
      <c r="M112" s="523"/>
      <c r="N112" s="2098">
        <f>+K43</f>
        <v>0</v>
      </c>
      <c r="O112" s="2099"/>
      <c r="P112" s="547"/>
      <c r="Q112" s="547"/>
      <c r="R112" s="547"/>
      <c r="S112" s="547"/>
      <c r="T112" s="547"/>
      <c r="U112" s="547"/>
      <c r="V112" s="547"/>
      <c r="W112" s="2098">
        <f>+N112</f>
        <v>0</v>
      </c>
      <c r="X112" s="2099"/>
      <c r="Y112" s="524"/>
      <c r="Z112" s="125"/>
      <c r="AB112" s="347">
        <f>+IF(N112-W112=0,0,1)</f>
        <v>0</v>
      </c>
      <c r="AD112" s="176"/>
      <c r="AE112" s="176"/>
      <c r="AF112" s="176"/>
      <c r="AG112" s="176"/>
      <c r="AH112" s="176"/>
      <c r="AI112" s="176"/>
      <c r="AJ112" s="176"/>
    </row>
    <row r="113" spans="1:36" ht="15.75" thickBot="1" x14ac:dyDescent="0.25">
      <c r="A113" s="479"/>
      <c r="B113" s="10"/>
      <c r="C113" s="10"/>
      <c r="D113" s="27"/>
      <c r="E113" s="10"/>
      <c r="F113" s="10"/>
      <c r="G113" s="10"/>
      <c r="H113" s="10"/>
      <c r="I113" s="10"/>
      <c r="J113" s="524"/>
      <c r="K113" s="523"/>
      <c r="L113" s="523"/>
      <c r="M113" s="523"/>
      <c r="N113" s="523"/>
      <c r="O113" s="523"/>
      <c r="P113" s="523"/>
      <c r="Q113" s="523"/>
      <c r="R113" s="523"/>
      <c r="S113" s="523"/>
      <c r="T113" s="523"/>
      <c r="U113" s="523"/>
      <c r="V113" s="523"/>
      <c r="W113" s="523"/>
      <c r="X113" s="523"/>
      <c r="Y113" s="524"/>
      <c r="Z113" s="11"/>
      <c r="AB113" s="347"/>
      <c r="AD113" s="176"/>
      <c r="AE113" s="176"/>
      <c r="AF113" s="176"/>
      <c r="AG113" s="176"/>
      <c r="AH113" s="176"/>
      <c r="AI113" s="176"/>
      <c r="AJ113" s="176"/>
    </row>
    <row r="114" spans="1:36" ht="16.5" thickBot="1" x14ac:dyDescent="0.25">
      <c r="A114" s="479"/>
      <c r="B114" s="10"/>
      <c r="C114" s="10"/>
      <c r="D114" s="10" t="s">
        <v>2277</v>
      </c>
      <c r="E114" s="10"/>
      <c r="F114" s="10"/>
      <c r="G114" s="10"/>
      <c r="H114" s="10"/>
      <c r="I114" s="10"/>
      <c r="J114" s="524"/>
      <c r="K114" s="1063"/>
      <c r="L114" s="1063"/>
      <c r="M114" s="523"/>
      <c r="N114" s="2050">
        <f>ROUND(+W114*N92*2,0)</f>
        <v>0</v>
      </c>
      <c r="O114" s="2051"/>
      <c r="P114" s="547"/>
      <c r="Q114" s="2050">
        <f>ROUND(+W114*Q92*2,0)</f>
        <v>0</v>
      </c>
      <c r="R114" s="2051"/>
      <c r="S114" s="547"/>
      <c r="T114" s="2050">
        <f>ROUND(+W114*T92*2,0)</f>
        <v>0</v>
      </c>
      <c r="U114" s="2051"/>
      <c r="V114" s="547"/>
      <c r="W114" s="2050">
        <f>+'Part 3'!O62</f>
        <v>0</v>
      </c>
      <c r="X114" s="2051"/>
      <c r="Y114" s="524"/>
      <c r="Z114" s="11"/>
      <c r="AB114" s="347">
        <f>+IF(N114+Q114+T114-W114=0,0,1)</f>
        <v>0</v>
      </c>
      <c r="AD114" s="176"/>
      <c r="AE114" s="176"/>
      <c r="AF114" s="176"/>
      <c r="AG114" s="176"/>
      <c r="AH114" s="176"/>
      <c r="AI114" s="176"/>
      <c r="AJ114" s="176"/>
    </row>
    <row r="115" spans="1:36" ht="16.5" thickBot="1" x14ac:dyDescent="0.25">
      <c r="A115" s="479"/>
      <c r="B115" s="10"/>
      <c r="C115" s="10"/>
      <c r="D115" s="10"/>
      <c r="E115" s="10"/>
      <c r="F115" s="10"/>
      <c r="G115" s="10"/>
      <c r="H115" s="10"/>
      <c r="I115" s="10"/>
      <c r="J115" s="524"/>
      <c r="K115" s="523"/>
      <c r="L115" s="523"/>
      <c r="M115" s="523"/>
      <c r="N115" s="526"/>
      <c r="O115" s="523"/>
      <c r="P115" s="523"/>
      <c r="Q115" s="526"/>
      <c r="R115" s="523"/>
      <c r="S115" s="523"/>
      <c r="T115" s="526"/>
      <c r="U115" s="523"/>
      <c r="V115" s="523"/>
      <c r="W115" s="526"/>
      <c r="X115" s="523"/>
      <c r="Y115" s="524"/>
      <c r="Z115" s="11"/>
      <c r="AB115" s="347"/>
      <c r="AD115" s="176"/>
      <c r="AE115" s="176"/>
      <c r="AF115" s="176"/>
      <c r="AG115" s="176"/>
      <c r="AH115" s="176"/>
      <c r="AI115" s="176"/>
      <c r="AJ115" s="176"/>
    </row>
    <row r="116" spans="1:36" ht="16.5" thickBot="1" x14ac:dyDescent="0.25">
      <c r="A116" s="479"/>
      <c r="B116" s="10"/>
      <c r="C116" s="10"/>
      <c r="D116" s="10" t="s">
        <v>2278</v>
      </c>
      <c r="E116" s="10"/>
      <c r="F116" s="10"/>
      <c r="G116" s="10"/>
      <c r="H116" s="10"/>
      <c r="I116" s="10"/>
      <c r="J116" s="524"/>
      <c r="K116" s="523"/>
      <c r="L116" s="523"/>
      <c r="M116" s="523"/>
      <c r="N116" s="2069">
        <f>+W116</f>
        <v>0</v>
      </c>
      <c r="O116" s="2070"/>
      <c r="P116" s="547"/>
      <c r="Q116" s="2048"/>
      <c r="R116" s="2048"/>
      <c r="S116" s="547"/>
      <c r="T116" s="2048"/>
      <c r="U116" s="2048"/>
      <c r="V116" s="547"/>
      <c r="W116" s="2050">
        <f>'Part 3'!O66</f>
        <v>0</v>
      </c>
      <c r="X116" s="2051"/>
      <c r="Y116" s="524"/>
      <c r="Z116" s="11"/>
      <c r="AB116" s="347">
        <f>+IF(N116-W116=0,0,1)</f>
        <v>0</v>
      </c>
      <c r="AD116" s="176"/>
      <c r="AE116" s="176"/>
      <c r="AF116" s="176"/>
      <c r="AG116" s="176"/>
      <c r="AH116" s="176"/>
      <c r="AI116" s="176"/>
      <c r="AJ116" s="176"/>
    </row>
    <row r="117" spans="1:36" ht="15.75" x14ac:dyDescent="0.2">
      <c r="A117" s="479"/>
      <c r="B117" s="10"/>
      <c r="C117" s="10"/>
      <c r="D117" s="10"/>
      <c r="E117" s="10"/>
      <c r="F117" s="10"/>
      <c r="G117" s="10"/>
      <c r="H117" s="10"/>
      <c r="I117" s="10"/>
      <c r="J117" s="524"/>
      <c r="K117" s="523"/>
      <c r="L117" s="523"/>
      <c r="M117" s="523"/>
      <c r="N117" s="526"/>
      <c r="O117" s="523"/>
      <c r="P117" s="523"/>
      <c r="Q117" s="526"/>
      <c r="R117" s="523"/>
      <c r="S117" s="523"/>
      <c r="T117" s="526"/>
      <c r="U117" s="523"/>
      <c r="V117" s="523"/>
      <c r="W117" s="526"/>
      <c r="X117" s="523"/>
      <c r="Y117" s="524"/>
      <c r="Z117" s="11"/>
      <c r="AB117" s="347"/>
      <c r="AD117" s="176"/>
      <c r="AE117" s="176"/>
      <c r="AF117" s="176"/>
      <c r="AG117" s="176"/>
      <c r="AH117" s="176"/>
      <c r="AI117" s="176"/>
      <c r="AJ117" s="176"/>
    </row>
    <row r="118" spans="1:36" ht="16.5" thickBot="1" x14ac:dyDescent="0.3">
      <c r="A118" s="479"/>
      <c r="B118" s="10"/>
      <c r="C118" s="13" t="s">
        <v>41</v>
      </c>
      <c r="D118" s="10"/>
      <c r="E118" s="10"/>
      <c r="F118" s="10"/>
      <c r="G118" s="10"/>
      <c r="H118" s="10"/>
      <c r="I118" s="10"/>
      <c r="J118" s="524"/>
      <c r="K118" s="2049" t="s">
        <v>786</v>
      </c>
      <c r="L118" s="2049"/>
      <c r="M118" s="522"/>
      <c r="N118" s="2049" t="s">
        <v>786</v>
      </c>
      <c r="O118" s="2049"/>
      <c r="P118" s="523"/>
      <c r="Q118" s="2049" t="s">
        <v>786</v>
      </c>
      <c r="R118" s="2049"/>
      <c r="S118" s="523"/>
      <c r="T118" s="2049" t="s">
        <v>786</v>
      </c>
      <c r="U118" s="2049"/>
      <c r="V118" s="522"/>
      <c r="W118" s="2049" t="s">
        <v>786</v>
      </c>
      <c r="X118" s="2049"/>
      <c r="Y118" s="524"/>
      <c r="Z118" s="11"/>
      <c r="AB118" s="347"/>
      <c r="AD118" s="176"/>
      <c r="AE118" s="176"/>
      <c r="AF118" s="176"/>
      <c r="AG118" s="176"/>
      <c r="AH118" s="176"/>
      <c r="AI118" s="176"/>
      <c r="AJ118" s="176"/>
    </row>
    <row r="119" spans="1:36" ht="15" customHeight="1" thickBot="1" x14ac:dyDescent="0.25">
      <c r="A119" s="479"/>
      <c r="B119" s="10"/>
      <c r="C119" s="10"/>
      <c r="D119" s="2067" t="s">
        <v>2279</v>
      </c>
      <c r="E119" s="2088"/>
      <c r="F119" s="2088"/>
      <c r="G119" s="2088"/>
      <c r="H119" s="2088"/>
      <c r="I119" s="2088"/>
      <c r="J119" s="524"/>
      <c r="K119" s="2052">
        <f>W119-T119-Q119-N119</f>
        <v>1</v>
      </c>
      <c r="L119" s="2053"/>
      <c r="M119" s="526"/>
      <c r="N119" s="2052">
        <f>VLOOKUP($L$17,TierSplit!$A$6:$AG$332,12,FALSE)</f>
        <v>0</v>
      </c>
      <c r="O119" s="2053"/>
      <c r="P119" s="526"/>
      <c r="Q119" s="2062">
        <f>VLOOKUP($L$17,TierSplit!$A$6:$AG$332,15,FALSE)</f>
        <v>0</v>
      </c>
      <c r="R119" s="2063"/>
      <c r="S119" s="526"/>
      <c r="T119" s="2062">
        <f>VLOOKUP($L$17,TierSplit!$A$6:$AG$332,18,FALSE)</f>
        <v>0</v>
      </c>
      <c r="U119" s="2063"/>
      <c r="V119" s="523"/>
      <c r="W119" s="2062">
        <f>1</f>
        <v>1</v>
      </c>
      <c r="X119" s="2063"/>
      <c r="Y119" s="524"/>
      <c r="Z119" s="11"/>
      <c r="AB119" s="347"/>
      <c r="AD119" s="177"/>
      <c r="AE119" s="177"/>
      <c r="AF119" s="177"/>
      <c r="AG119" s="177"/>
      <c r="AH119" s="177"/>
      <c r="AI119" s="177"/>
      <c r="AJ119" s="177"/>
    </row>
    <row r="120" spans="1:36" ht="15" customHeight="1" x14ac:dyDescent="0.2">
      <c r="A120" s="479"/>
      <c r="B120" s="10"/>
      <c r="C120" s="10"/>
      <c r="D120" s="2088"/>
      <c r="E120" s="2088"/>
      <c r="F120" s="2088"/>
      <c r="G120" s="2088"/>
      <c r="H120" s="2088"/>
      <c r="I120" s="2088"/>
      <c r="J120" s="524"/>
      <c r="K120" s="1113"/>
      <c r="L120" s="1113"/>
      <c r="M120" s="522"/>
      <c r="N120" s="1113"/>
      <c r="O120" s="1113"/>
      <c r="P120" s="523"/>
      <c r="Q120" s="1113"/>
      <c r="R120" s="1113"/>
      <c r="S120" s="523"/>
      <c r="T120" s="1113"/>
      <c r="U120" s="1113"/>
      <c r="V120" s="522"/>
      <c r="W120" s="1113"/>
      <c r="X120" s="1113"/>
      <c r="Y120" s="524"/>
      <c r="Z120" s="11"/>
      <c r="AB120" s="347"/>
      <c r="AD120" s="177"/>
      <c r="AE120" s="177"/>
      <c r="AF120" s="177"/>
      <c r="AG120" s="177"/>
      <c r="AH120" s="177"/>
      <c r="AI120" s="177"/>
      <c r="AJ120" s="177"/>
    </row>
    <row r="121" spans="1:36" ht="15" customHeight="1" thickBot="1" x14ac:dyDescent="0.25">
      <c r="A121" s="479"/>
      <c r="B121" s="10"/>
      <c r="C121" s="10"/>
      <c r="D121" s="10"/>
      <c r="E121" s="10"/>
      <c r="F121" s="10"/>
      <c r="G121" s="10"/>
      <c r="H121" s="10"/>
      <c r="I121" s="10"/>
      <c r="J121" s="524"/>
      <c r="K121" s="1117"/>
      <c r="L121" s="1117"/>
      <c r="M121" s="522"/>
      <c r="N121" s="1117"/>
      <c r="O121" s="1117"/>
      <c r="P121" s="523"/>
      <c r="Q121" s="1117"/>
      <c r="R121" s="1117"/>
      <c r="S121" s="523"/>
      <c r="T121" s="1117"/>
      <c r="U121" s="1117"/>
      <c r="V121" s="522"/>
      <c r="W121" s="1117"/>
      <c r="X121" s="1117"/>
      <c r="Y121" s="524"/>
      <c r="Z121" s="11"/>
      <c r="AB121" s="347"/>
      <c r="AD121" s="177"/>
      <c r="AE121" s="177"/>
      <c r="AF121" s="177"/>
      <c r="AG121" s="177"/>
      <c r="AH121" s="177"/>
      <c r="AI121" s="177"/>
      <c r="AJ121" s="177"/>
    </row>
    <row r="122" spans="1:36" ht="16.5" thickBot="1" x14ac:dyDescent="0.25">
      <c r="A122" s="479"/>
      <c r="B122" s="10"/>
      <c r="C122" s="10"/>
      <c r="D122" s="10" t="s">
        <v>2261</v>
      </c>
      <c r="E122" s="10"/>
      <c r="F122" s="10"/>
      <c r="G122" s="10"/>
      <c r="H122" s="10"/>
      <c r="I122" s="10"/>
      <c r="J122" s="524"/>
      <c r="K122" s="2046">
        <f>ROUND(+W122-T122-Q122-N122,0)</f>
        <v>0</v>
      </c>
      <c r="L122" s="2047"/>
      <c r="M122" s="547"/>
      <c r="N122" s="2046">
        <f>ROUND(+W122*N119,0)</f>
        <v>0</v>
      </c>
      <c r="O122" s="2047"/>
      <c r="P122" s="547"/>
      <c r="Q122" s="2046">
        <f>ROUND(+W122*Q119,0)</f>
        <v>0</v>
      </c>
      <c r="R122" s="2047"/>
      <c r="S122" s="547"/>
      <c r="T122" s="2046">
        <f>ROUND(+W122*T119,0)</f>
        <v>0</v>
      </c>
      <c r="U122" s="2047"/>
      <c r="V122" s="547"/>
      <c r="W122" s="2046">
        <f>+'Part 4'!L63</f>
        <v>0</v>
      </c>
      <c r="X122" s="2047"/>
      <c r="Y122" s="524"/>
      <c r="Z122" s="125"/>
      <c r="AB122" s="347">
        <f>+IF(K122+N122+Q122+T122-W122=0,0,1)</f>
        <v>0</v>
      </c>
      <c r="AD122" s="176"/>
      <c r="AE122" s="176"/>
      <c r="AF122" s="176"/>
      <c r="AG122" s="176"/>
      <c r="AH122" s="176"/>
      <c r="AI122" s="176"/>
      <c r="AJ122" s="176"/>
    </row>
    <row r="123" spans="1:36" ht="15.75" thickBot="1" x14ac:dyDescent="0.25">
      <c r="A123" s="479"/>
      <c r="B123" s="10"/>
      <c r="C123" s="10"/>
      <c r="D123" s="10"/>
      <c r="E123" s="10"/>
      <c r="F123" s="10"/>
      <c r="G123" s="10"/>
      <c r="H123" s="10"/>
      <c r="I123" s="10"/>
      <c r="J123" s="524"/>
      <c r="K123" s="547"/>
      <c r="L123" s="547"/>
      <c r="M123" s="547"/>
      <c r="N123" s="547"/>
      <c r="O123" s="547"/>
      <c r="P123" s="547"/>
      <c r="Q123" s="547"/>
      <c r="R123" s="547"/>
      <c r="S123" s="547"/>
      <c r="T123" s="547"/>
      <c r="U123" s="547"/>
      <c r="V123" s="547"/>
      <c r="W123" s="547"/>
      <c r="X123" s="547"/>
      <c r="Y123" s="524"/>
      <c r="Z123" s="11"/>
      <c r="AB123" s="347"/>
      <c r="AD123" s="176"/>
      <c r="AE123" s="176"/>
      <c r="AF123" s="176"/>
      <c r="AG123" s="176"/>
      <c r="AH123" s="176"/>
      <c r="AI123" s="176"/>
      <c r="AJ123" s="176"/>
    </row>
    <row r="124" spans="1:36" x14ac:dyDescent="0.2">
      <c r="A124" s="479"/>
      <c r="B124" s="17"/>
      <c r="C124" s="18"/>
      <c r="D124" s="18"/>
      <c r="E124" s="18"/>
      <c r="F124" s="18"/>
      <c r="G124" s="18"/>
      <c r="H124" s="18"/>
      <c r="I124" s="18"/>
      <c r="J124" s="533"/>
      <c r="K124" s="549"/>
      <c r="L124" s="549"/>
      <c r="M124" s="549"/>
      <c r="N124" s="549"/>
      <c r="O124" s="549"/>
      <c r="P124" s="549"/>
      <c r="Q124" s="549"/>
      <c r="R124" s="549"/>
      <c r="S124" s="549"/>
      <c r="T124" s="549"/>
      <c r="U124" s="549"/>
      <c r="V124" s="549"/>
      <c r="W124" s="549"/>
      <c r="X124" s="549"/>
      <c r="Y124" s="528"/>
      <c r="Z124" s="11"/>
      <c r="AB124" s="347"/>
      <c r="AD124" s="176"/>
      <c r="AE124" s="176"/>
      <c r="AF124" s="176"/>
      <c r="AG124" s="176"/>
      <c r="AH124" s="176"/>
      <c r="AI124" s="176"/>
      <c r="AJ124" s="176"/>
    </row>
    <row r="125" spans="1:36" ht="16.5" thickBot="1" x14ac:dyDescent="0.3">
      <c r="A125" s="479"/>
      <c r="B125" s="19"/>
      <c r="C125" s="20" t="s">
        <v>808</v>
      </c>
      <c r="D125" s="8"/>
      <c r="E125" s="8"/>
      <c r="F125" s="8"/>
      <c r="G125" s="8"/>
      <c r="H125" s="8"/>
      <c r="I125" s="8"/>
      <c r="J125" s="524"/>
      <c r="K125" s="2048" t="s">
        <v>786</v>
      </c>
      <c r="L125" s="2048"/>
      <c r="M125" s="547"/>
      <c r="N125" s="2048" t="s">
        <v>786</v>
      </c>
      <c r="O125" s="2048"/>
      <c r="P125" s="547"/>
      <c r="Q125" s="2048" t="s">
        <v>786</v>
      </c>
      <c r="R125" s="2048"/>
      <c r="S125" s="547"/>
      <c r="T125" s="2048" t="s">
        <v>786</v>
      </c>
      <c r="U125" s="2048"/>
      <c r="V125" s="547"/>
      <c r="W125" s="2048" t="s">
        <v>786</v>
      </c>
      <c r="X125" s="2048"/>
      <c r="Y125" s="529"/>
      <c r="Z125" s="11"/>
      <c r="AB125" s="347"/>
      <c r="AD125" s="176"/>
      <c r="AE125" s="176"/>
      <c r="AF125" s="176"/>
      <c r="AG125" s="176"/>
      <c r="AH125" s="176"/>
      <c r="AI125" s="176"/>
      <c r="AJ125" s="176"/>
    </row>
    <row r="126" spans="1:36" ht="16.5" thickBot="1" x14ac:dyDescent="0.25">
      <c r="A126" s="479"/>
      <c r="B126" s="19"/>
      <c r="C126" s="8" t="s">
        <v>2262</v>
      </c>
      <c r="D126" s="8"/>
      <c r="E126" s="8"/>
      <c r="F126" s="8"/>
      <c r="G126" s="8"/>
      <c r="H126" s="8"/>
      <c r="I126" s="8"/>
      <c r="J126" s="524"/>
      <c r="K126" s="2046" t="e">
        <f>ROUND(+K101+K122,0)</f>
        <v>#N/A</v>
      </c>
      <c r="L126" s="2047"/>
      <c r="M126" s="547"/>
      <c r="N126" s="2046" t="e">
        <f>ROUND(+N101+N104+N106+N108+N110+N112+N114+N116+N122,0)</f>
        <v>#N/A</v>
      </c>
      <c r="O126" s="2047"/>
      <c r="P126" s="547"/>
      <c r="Q126" s="2046" t="e">
        <f>ROUND(+Q101+Q108+Q110+Q114+Q122,0)</f>
        <v>#N/A</v>
      </c>
      <c r="R126" s="2047"/>
      <c r="S126" s="547"/>
      <c r="T126" s="2046" t="e">
        <f>ROUND(+T101+T110+T114+T122,0)</f>
        <v>#N/A</v>
      </c>
      <c r="U126" s="2047"/>
      <c r="V126" s="547"/>
      <c r="W126" s="2046" t="e">
        <f>ROUND(+W101+W104+W106+W108+W110+W112+W114+W116+W122,0)</f>
        <v>#N/A</v>
      </c>
      <c r="X126" s="2047"/>
      <c r="Y126" s="529"/>
      <c r="Z126" s="125"/>
      <c r="AB126" s="348" t="e">
        <f>IF(AND(K92=0,K56-N96-Q96-T96&lt;&gt;0),0,+IF(K126+N126+Q126+T126-W126=0,0,1))</f>
        <v>#N/A</v>
      </c>
      <c r="AC126" s="176"/>
      <c r="AD126" s="176"/>
      <c r="AE126" s="176"/>
      <c r="AF126" s="176"/>
      <c r="AG126" s="176"/>
      <c r="AH126" s="176"/>
      <c r="AI126" s="176"/>
      <c r="AJ126" s="176"/>
    </row>
    <row r="127" spans="1:36" ht="15.75" thickBot="1" x14ac:dyDescent="0.25">
      <c r="A127" s="479"/>
      <c r="B127" s="21"/>
      <c r="C127" s="22"/>
      <c r="D127" s="22"/>
      <c r="E127" s="22"/>
      <c r="F127" s="22"/>
      <c r="G127" s="22"/>
      <c r="H127" s="22"/>
      <c r="I127" s="22"/>
      <c r="J127" s="530"/>
      <c r="K127" s="530"/>
      <c r="L127" s="530"/>
      <c r="M127" s="530"/>
      <c r="N127" s="530"/>
      <c r="O127" s="530"/>
      <c r="P127" s="530"/>
      <c r="Q127" s="530"/>
      <c r="R127" s="530"/>
      <c r="S127" s="530"/>
      <c r="T127" s="530"/>
      <c r="U127" s="530"/>
      <c r="V127" s="530"/>
      <c r="W127" s="530"/>
      <c r="X127" s="530"/>
      <c r="Y127" s="531"/>
      <c r="Z127" s="11"/>
      <c r="AB127" s="9"/>
      <c r="AD127" s="176"/>
      <c r="AE127" s="176"/>
      <c r="AF127" s="176"/>
      <c r="AG127" s="176"/>
      <c r="AH127" s="176"/>
      <c r="AI127" s="176"/>
      <c r="AJ127" s="176"/>
    </row>
    <row r="128" spans="1:36" x14ac:dyDescent="0.2">
      <c r="A128" s="47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1"/>
      <c r="AB128" s="9"/>
      <c r="AD128" s="176"/>
      <c r="AE128" s="176"/>
      <c r="AF128" s="176"/>
      <c r="AG128" s="176"/>
      <c r="AH128" s="176"/>
      <c r="AI128" s="176"/>
      <c r="AJ128" s="176"/>
    </row>
    <row r="129" spans="1:36" x14ac:dyDescent="0.2">
      <c r="A129" s="481"/>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97"/>
      <c r="AB129" s="9"/>
      <c r="AD129" s="176"/>
      <c r="AE129" s="176"/>
      <c r="AF129" s="176"/>
      <c r="AG129" s="176"/>
      <c r="AH129" s="176"/>
      <c r="AI129" s="176"/>
      <c r="AJ129" s="176"/>
    </row>
    <row r="130" spans="1:36" ht="15.75" x14ac:dyDescent="0.25">
      <c r="A130" s="1066"/>
      <c r="B130" s="338"/>
      <c r="C130" s="852" t="e">
        <f>+IF(B151=0,"","Please investigate the error messages shown below and make the appropriate changes to the form.  Any comments should be added at the bottom of Part 4")</f>
        <v>#N/A</v>
      </c>
      <c r="D130" s="852"/>
      <c r="E130" s="852"/>
      <c r="F130" s="852"/>
      <c r="G130" s="852"/>
      <c r="H130" s="852"/>
      <c r="I130" s="852"/>
      <c r="J130" s="852"/>
      <c r="K130" s="852"/>
      <c r="L130" s="339"/>
      <c r="M130" s="339"/>
      <c r="N130" s="339"/>
      <c r="O130" s="339"/>
      <c r="P130" s="339"/>
      <c r="Q130" s="339"/>
      <c r="R130" s="339"/>
      <c r="S130" s="339"/>
      <c r="T130" s="339"/>
      <c r="U130" s="339"/>
      <c r="V130" s="339"/>
      <c r="W130" s="339"/>
      <c r="X130" s="339"/>
      <c r="Y130" s="267"/>
      <c r="Z130" s="198"/>
      <c r="AD130" s="176"/>
      <c r="AE130" s="176"/>
      <c r="AF130" s="176"/>
      <c r="AG130" s="176"/>
      <c r="AH130" s="176"/>
      <c r="AI130" s="176"/>
      <c r="AJ130" s="176"/>
    </row>
    <row r="131" spans="1:36" ht="15.75" x14ac:dyDescent="0.25">
      <c r="A131" s="1066"/>
      <c r="B131" s="340"/>
      <c r="C131" s="853"/>
      <c r="D131" s="853"/>
      <c r="E131" s="853"/>
      <c r="F131" s="853"/>
      <c r="G131" s="853"/>
      <c r="H131" s="853"/>
      <c r="I131" s="853"/>
      <c r="J131" s="853"/>
      <c r="K131" s="853"/>
      <c r="L131" s="341"/>
      <c r="M131" s="341"/>
      <c r="N131" s="341"/>
      <c r="O131" s="341"/>
      <c r="P131" s="341"/>
      <c r="Q131" s="341"/>
      <c r="R131" s="341"/>
      <c r="S131" s="341"/>
      <c r="T131" s="341"/>
      <c r="U131" s="341"/>
      <c r="V131" s="341"/>
      <c r="W131" s="341"/>
      <c r="X131" s="341"/>
      <c r="Y131" s="268"/>
      <c r="Z131" s="198"/>
      <c r="AD131" s="176"/>
      <c r="AE131" s="176"/>
      <c r="AF131" s="176"/>
      <c r="AG131" s="176"/>
      <c r="AH131" s="176"/>
      <c r="AI131" s="176"/>
      <c r="AJ131" s="176"/>
    </row>
    <row r="132" spans="1:36" ht="15.75" x14ac:dyDescent="0.25">
      <c r="A132" s="1067" t="e">
        <f t="shared" ref="A132:A150" si="1">+IF(C132="",0,1)</f>
        <v>#N/A</v>
      </c>
      <c r="B132" s="340"/>
      <c r="C132" s="2114" t="e">
        <f>IF(AB96=0,"","Line 14 column 5 doesn't equal line 12. Please check why.")</f>
        <v>#N/A</v>
      </c>
      <c r="D132" s="2114"/>
      <c r="E132" s="2114"/>
      <c r="F132" s="2114"/>
      <c r="G132" s="2114"/>
      <c r="H132" s="2114"/>
      <c r="I132" s="2114"/>
      <c r="J132" s="2114"/>
      <c r="K132" s="2114"/>
      <c r="L132" s="341"/>
      <c r="M132" s="341"/>
      <c r="N132" s="341"/>
      <c r="O132" s="341"/>
      <c r="P132" s="341"/>
      <c r="Q132" s="341"/>
      <c r="R132" s="341"/>
      <c r="S132" s="341"/>
      <c r="T132" s="341"/>
      <c r="U132" s="341"/>
      <c r="V132" s="341"/>
      <c r="W132" s="341"/>
      <c r="X132" s="341"/>
      <c r="Y132" s="268"/>
      <c r="Z132" s="198"/>
      <c r="AD132" s="176"/>
      <c r="AE132" s="176"/>
      <c r="AF132" s="176"/>
      <c r="AG132" s="176"/>
      <c r="AH132" s="176"/>
      <c r="AI132" s="176"/>
      <c r="AJ132" s="176"/>
    </row>
    <row r="133" spans="1:36" ht="15.75" x14ac:dyDescent="0.25">
      <c r="A133" s="1067"/>
      <c r="B133" s="340"/>
      <c r="C133" s="2114"/>
      <c r="D133" s="2114"/>
      <c r="E133" s="2114"/>
      <c r="F133" s="2114"/>
      <c r="G133" s="2114"/>
      <c r="H133" s="2114"/>
      <c r="I133" s="2114"/>
      <c r="J133" s="2114"/>
      <c r="K133" s="2114"/>
      <c r="L133" s="341"/>
      <c r="M133" s="341"/>
      <c r="N133" s="341"/>
      <c r="O133" s="341"/>
      <c r="P133" s="341"/>
      <c r="Q133" s="341"/>
      <c r="R133" s="341"/>
      <c r="S133" s="341"/>
      <c r="T133" s="341"/>
      <c r="U133" s="341"/>
      <c r="V133" s="341"/>
      <c r="W133" s="341"/>
      <c r="X133" s="341"/>
      <c r="Y133" s="268"/>
      <c r="Z133" s="198"/>
      <c r="AD133" s="176"/>
      <c r="AE133" s="176"/>
      <c r="AF133" s="176"/>
      <c r="AG133" s="176"/>
      <c r="AH133" s="176"/>
      <c r="AI133" s="176"/>
      <c r="AJ133" s="176"/>
    </row>
    <row r="134" spans="1:36" ht="15.75" x14ac:dyDescent="0.25">
      <c r="A134" s="1067" t="e">
        <f t="shared" si="1"/>
        <v>#N/A</v>
      </c>
      <c r="B134" s="340"/>
      <c r="C134" s="828" t="e">
        <f>IF(AB98=0,"","Line 14 column 5 doesn't equal the sum of columns 1 to 4. Please check why.")</f>
        <v>#N/A</v>
      </c>
      <c r="D134" s="828"/>
      <c r="E134" s="828"/>
      <c r="F134" s="828"/>
      <c r="G134" s="828"/>
      <c r="H134" s="828"/>
      <c r="I134" s="828"/>
      <c r="J134" s="828"/>
      <c r="K134" s="828"/>
      <c r="L134" s="341"/>
      <c r="M134" s="341"/>
      <c r="N134" s="341"/>
      <c r="O134" s="341"/>
      <c r="P134" s="341"/>
      <c r="Q134" s="341"/>
      <c r="R134" s="341"/>
      <c r="S134" s="341"/>
      <c r="T134" s="341"/>
      <c r="U134" s="341"/>
      <c r="V134" s="341"/>
      <c r="W134" s="341"/>
      <c r="X134" s="341"/>
      <c r="Y134" s="268"/>
      <c r="Z134" s="198"/>
      <c r="AD134" s="176"/>
      <c r="AE134" s="176"/>
      <c r="AF134" s="176"/>
      <c r="AG134" s="176"/>
      <c r="AH134" s="176"/>
      <c r="AI134" s="176"/>
      <c r="AJ134" s="176"/>
    </row>
    <row r="135" spans="1:36" ht="15.75" x14ac:dyDescent="0.25">
      <c r="A135" s="1067"/>
      <c r="B135" s="340"/>
      <c r="C135" s="2114"/>
      <c r="D135" s="2114"/>
      <c r="E135" s="2114"/>
      <c r="F135" s="2114"/>
      <c r="G135" s="2114"/>
      <c r="H135" s="2114"/>
      <c r="I135" s="2114"/>
      <c r="J135" s="2114"/>
      <c r="K135" s="2114"/>
      <c r="L135" s="341"/>
      <c r="M135" s="341"/>
      <c r="N135" s="341"/>
      <c r="O135" s="341"/>
      <c r="P135" s="341"/>
      <c r="Q135" s="341"/>
      <c r="R135" s="341"/>
      <c r="S135" s="341"/>
      <c r="T135" s="341"/>
      <c r="U135" s="341"/>
      <c r="V135" s="341"/>
      <c r="W135" s="341"/>
      <c r="X135" s="341"/>
      <c r="Y135" s="268"/>
      <c r="Z135" s="198"/>
      <c r="AB135" s="162"/>
      <c r="AD135" s="176"/>
    </row>
    <row r="136" spans="1:36" ht="15.75" x14ac:dyDescent="0.25">
      <c r="A136" s="1067" t="e">
        <f t="shared" si="1"/>
        <v>#N/A</v>
      </c>
      <c r="B136" s="340"/>
      <c r="C136" s="2114" t="e">
        <f>IF(AB102=0,"","Line 16 column 1 doesn't equal line 14 col 1 less line 15 col 1. Please check why.")</f>
        <v>#N/A</v>
      </c>
      <c r="D136" s="2114"/>
      <c r="E136" s="2114"/>
      <c r="F136" s="2114"/>
      <c r="G136" s="2114"/>
      <c r="H136" s="2114"/>
      <c r="I136" s="2114"/>
      <c r="J136" s="2114"/>
      <c r="K136" s="2114"/>
      <c r="L136" s="341"/>
      <c r="M136" s="341"/>
      <c r="N136" s="341"/>
      <c r="O136" s="341"/>
      <c r="P136" s="341"/>
      <c r="Q136" s="341"/>
      <c r="R136" s="341"/>
      <c r="S136" s="341"/>
      <c r="T136" s="341"/>
      <c r="U136" s="341"/>
      <c r="V136" s="341"/>
      <c r="W136" s="341"/>
      <c r="X136" s="341"/>
      <c r="Y136" s="268"/>
      <c r="Z136" s="198"/>
    </row>
    <row r="137" spans="1:36" ht="15.75" x14ac:dyDescent="0.25">
      <c r="A137" s="1067"/>
      <c r="B137" s="340"/>
      <c r="C137" s="828"/>
      <c r="D137" s="828"/>
      <c r="E137" s="828"/>
      <c r="F137" s="828"/>
      <c r="G137" s="828"/>
      <c r="H137" s="828"/>
      <c r="I137" s="828"/>
      <c r="J137" s="828"/>
      <c r="K137" s="828"/>
      <c r="L137" s="341"/>
      <c r="M137" s="341"/>
      <c r="N137" s="341"/>
      <c r="O137" s="341"/>
      <c r="P137" s="341"/>
      <c r="Q137" s="341"/>
      <c r="R137" s="341"/>
      <c r="S137" s="341"/>
      <c r="T137" s="341"/>
      <c r="U137" s="341"/>
      <c r="V137" s="341"/>
      <c r="W137" s="341"/>
      <c r="X137" s="341"/>
      <c r="Y137" s="268"/>
      <c r="Z137" s="198"/>
    </row>
    <row r="138" spans="1:36" ht="15.75" x14ac:dyDescent="0.25">
      <c r="A138" s="1067" t="e">
        <f t="shared" si="1"/>
        <v>#N/A</v>
      </c>
      <c r="B138" s="340"/>
      <c r="C138" s="2114" t="e">
        <f>IF(AB104=0,"","Line 18 column 5 doesn't equal column 2. Please check why.")</f>
        <v>#N/A</v>
      </c>
      <c r="D138" s="2114"/>
      <c r="E138" s="2114"/>
      <c r="F138" s="2114"/>
      <c r="G138" s="2114"/>
      <c r="H138" s="2114"/>
      <c r="I138" s="2114"/>
      <c r="J138" s="2114"/>
      <c r="K138" s="2114"/>
      <c r="L138" s="341"/>
      <c r="M138" s="341"/>
      <c r="N138" s="341"/>
      <c r="O138" s="341"/>
      <c r="P138" s="341"/>
      <c r="Q138" s="341"/>
      <c r="R138" s="341"/>
      <c r="S138" s="341"/>
      <c r="T138" s="341"/>
      <c r="U138" s="341"/>
      <c r="V138" s="341"/>
      <c r="W138" s="341"/>
      <c r="X138" s="341"/>
      <c r="Y138" s="268"/>
      <c r="Z138" s="198"/>
    </row>
    <row r="139" spans="1:36" ht="15.75" x14ac:dyDescent="0.25">
      <c r="A139" s="1067"/>
      <c r="B139" s="340"/>
      <c r="C139" s="2114"/>
      <c r="D139" s="2114"/>
      <c r="E139" s="2114"/>
      <c r="F139" s="2114"/>
      <c r="G139" s="2114"/>
      <c r="H139" s="2114"/>
      <c r="I139" s="2114"/>
      <c r="J139" s="2114"/>
      <c r="K139" s="2114"/>
      <c r="L139" s="341"/>
      <c r="M139" s="341"/>
      <c r="N139" s="341"/>
      <c r="O139" s="341"/>
      <c r="P139" s="341"/>
      <c r="Q139" s="341"/>
      <c r="R139" s="341"/>
      <c r="S139" s="341"/>
      <c r="T139" s="341"/>
      <c r="U139" s="341"/>
      <c r="V139" s="341"/>
      <c r="W139" s="341"/>
      <c r="X139" s="341"/>
      <c r="Y139" s="268"/>
      <c r="Z139" s="198"/>
    </row>
    <row r="140" spans="1:36" ht="15.75" x14ac:dyDescent="0.25">
      <c r="A140" s="1067">
        <f t="shared" si="1"/>
        <v>0</v>
      </c>
      <c r="B140" s="340"/>
      <c r="C140" s="2114" t="str">
        <f>IF(AB106=0,"","Line 19 column 5 doesn't equal column 2. Please check why.")</f>
        <v/>
      </c>
      <c r="D140" s="2114"/>
      <c r="E140" s="2114"/>
      <c r="F140" s="2114"/>
      <c r="G140" s="2114"/>
      <c r="H140" s="2114"/>
      <c r="I140" s="2114"/>
      <c r="J140" s="2114"/>
      <c r="K140" s="2114"/>
      <c r="L140" s="341"/>
      <c r="M140" s="341"/>
      <c r="N140" s="341"/>
      <c r="O140" s="341"/>
      <c r="P140" s="341"/>
      <c r="Q140" s="341"/>
      <c r="R140" s="341"/>
      <c r="S140" s="341"/>
      <c r="T140" s="341"/>
      <c r="U140" s="341"/>
      <c r="V140" s="341"/>
      <c r="W140" s="341"/>
      <c r="X140" s="341"/>
      <c r="Y140" s="268"/>
      <c r="Z140" s="198"/>
    </row>
    <row r="141" spans="1:36" ht="15.75" x14ac:dyDescent="0.25">
      <c r="A141" s="1067"/>
      <c r="B141" s="340"/>
      <c r="C141" s="2114"/>
      <c r="D141" s="2114"/>
      <c r="E141" s="2114"/>
      <c r="F141" s="2114"/>
      <c r="G141" s="2114"/>
      <c r="H141" s="2114"/>
      <c r="I141" s="2114"/>
      <c r="J141" s="2114"/>
      <c r="K141" s="2114"/>
      <c r="L141" s="341"/>
      <c r="M141" s="341"/>
      <c r="N141" s="341"/>
      <c r="O141" s="341"/>
      <c r="P141" s="341"/>
      <c r="Q141" s="341"/>
      <c r="R141" s="341"/>
      <c r="S141" s="341"/>
      <c r="T141" s="341"/>
      <c r="U141" s="341"/>
      <c r="V141" s="341"/>
      <c r="W141" s="341"/>
      <c r="X141" s="341"/>
      <c r="Y141" s="268"/>
      <c r="Z141" s="198"/>
      <c r="AB141" s="9"/>
    </row>
    <row r="142" spans="1:36" ht="15.75" x14ac:dyDescent="0.25">
      <c r="A142" s="1067">
        <f t="shared" si="1"/>
        <v>0</v>
      </c>
      <c r="B142" s="340"/>
      <c r="C142" s="2114" t="str">
        <f>IF(AB108=0,"","Line 20 column 5 doesn't equal column 2 plus column 3. Please check why.")</f>
        <v/>
      </c>
      <c r="D142" s="2114"/>
      <c r="E142" s="2114"/>
      <c r="F142" s="2114"/>
      <c r="G142" s="2114"/>
      <c r="H142" s="2114"/>
      <c r="I142" s="2114"/>
      <c r="J142" s="2114"/>
      <c r="K142" s="2114"/>
      <c r="L142" s="341"/>
      <c r="M142" s="341"/>
      <c r="N142" s="341"/>
      <c r="O142" s="341"/>
      <c r="P142" s="341"/>
      <c r="Q142" s="341"/>
      <c r="R142" s="341"/>
      <c r="S142" s="341"/>
      <c r="T142" s="341"/>
      <c r="U142" s="341"/>
      <c r="V142" s="341"/>
      <c r="W142" s="341"/>
      <c r="X142" s="341"/>
      <c r="Y142" s="268"/>
      <c r="Z142" s="198"/>
      <c r="AB142" s="9"/>
    </row>
    <row r="143" spans="1:36" ht="15.75" x14ac:dyDescent="0.25">
      <c r="A143" s="1067"/>
      <c r="B143" s="340"/>
      <c r="C143" s="2114"/>
      <c r="D143" s="2114"/>
      <c r="E143" s="2114"/>
      <c r="F143" s="2114"/>
      <c r="G143" s="2114"/>
      <c r="H143" s="2114"/>
      <c r="I143" s="2114"/>
      <c r="J143" s="2114"/>
      <c r="K143" s="2114"/>
      <c r="L143" s="341"/>
      <c r="M143" s="341"/>
      <c r="N143" s="341"/>
      <c r="O143" s="341"/>
      <c r="P143" s="341"/>
      <c r="Q143" s="341"/>
      <c r="R143" s="341"/>
      <c r="S143" s="341"/>
      <c r="T143" s="341"/>
      <c r="U143" s="341"/>
      <c r="V143" s="341"/>
      <c r="W143" s="341"/>
      <c r="X143" s="341"/>
      <c r="Y143" s="268"/>
      <c r="Z143" s="198"/>
      <c r="AB143" s="9"/>
    </row>
    <row r="144" spans="1:36" ht="15.75" x14ac:dyDescent="0.25">
      <c r="A144" s="1067">
        <f t="shared" si="1"/>
        <v>0</v>
      </c>
      <c r="B144" s="340"/>
      <c r="C144" s="2114" t="str">
        <f>IF(AB110=0,"","Line 21 column 5 doesn't equal the sum of columns 2, 3 &amp; 4. Please check why.")</f>
        <v/>
      </c>
      <c r="D144" s="2114"/>
      <c r="E144" s="2114"/>
      <c r="F144" s="2114"/>
      <c r="G144" s="2114"/>
      <c r="H144" s="2114"/>
      <c r="I144" s="2114"/>
      <c r="J144" s="2114"/>
      <c r="K144" s="2114"/>
      <c r="L144" s="341"/>
      <c r="M144" s="341"/>
      <c r="N144" s="341"/>
      <c r="O144" s="341"/>
      <c r="P144" s="341"/>
      <c r="Q144" s="341"/>
      <c r="R144" s="341"/>
      <c r="S144" s="341"/>
      <c r="T144" s="341"/>
      <c r="U144" s="341"/>
      <c r="V144" s="341"/>
      <c r="W144" s="341"/>
      <c r="X144" s="341"/>
      <c r="Y144" s="268"/>
      <c r="Z144" s="198"/>
      <c r="AB144" s="9"/>
    </row>
    <row r="145" spans="1:256" ht="15.75" x14ac:dyDescent="0.25">
      <c r="A145" s="1067"/>
      <c r="B145" s="340"/>
      <c r="C145" s="2114"/>
      <c r="D145" s="2114"/>
      <c r="E145" s="2114"/>
      <c r="F145" s="2114"/>
      <c r="G145" s="2114"/>
      <c r="H145" s="2114"/>
      <c r="I145" s="2114"/>
      <c r="J145" s="2114"/>
      <c r="K145" s="2114"/>
      <c r="L145" s="341"/>
      <c r="M145" s="341"/>
      <c r="N145" s="341"/>
      <c r="O145" s="341"/>
      <c r="P145" s="341"/>
      <c r="Q145" s="341"/>
      <c r="R145" s="341"/>
      <c r="S145" s="341"/>
      <c r="T145" s="341"/>
      <c r="U145" s="341"/>
      <c r="V145" s="341"/>
      <c r="W145" s="341"/>
      <c r="X145" s="341"/>
      <c r="Y145" s="268"/>
      <c r="Z145" s="198"/>
      <c r="AB145" s="9"/>
    </row>
    <row r="146" spans="1:256" ht="15.75" x14ac:dyDescent="0.25">
      <c r="A146" s="1067">
        <f t="shared" si="1"/>
        <v>0</v>
      </c>
      <c r="B146" s="340"/>
      <c r="C146" s="2114" t="str">
        <f>IF(AB112=0,"","Line 22 column 5 doesn't equal column 2. Please check why.")</f>
        <v/>
      </c>
      <c r="D146" s="2114"/>
      <c r="E146" s="2114"/>
      <c r="F146" s="2114"/>
      <c r="G146" s="2114"/>
      <c r="H146" s="2114"/>
      <c r="I146" s="2114"/>
      <c r="J146" s="2114"/>
      <c r="K146" s="2114"/>
      <c r="L146" s="341"/>
      <c r="M146" s="341"/>
      <c r="N146" s="341"/>
      <c r="O146" s="341"/>
      <c r="P146" s="341"/>
      <c r="Q146" s="341"/>
      <c r="R146" s="341"/>
      <c r="S146" s="341"/>
      <c r="T146" s="341"/>
      <c r="U146" s="341"/>
      <c r="V146" s="341"/>
      <c r="W146" s="341"/>
      <c r="X146" s="341"/>
      <c r="Y146" s="268"/>
      <c r="Z146" s="198"/>
      <c r="AB146" s="9"/>
    </row>
    <row r="147" spans="1:256" ht="15.75" x14ac:dyDescent="0.25">
      <c r="A147" s="1067"/>
      <c r="B147" s="340"/>
      <c r="C147" s="828"/>
      <c r="D147" s="828"/>
      <c r="E147" s="828"/>
      <c r="F147" s="828"/>
      <c r="G147" s="828"/>
      <c r="H147" s="828"/>
      <c r="I147" s="828"/>
      <c r="J147" s="828"/>
      <c r="K147" s="828"/>
      <c r="L147" s="341"/>
      <c r="M147" s="341"/>
      <c r="N147" s="341"/>
      <c r="O147" s="341"/>
      <c r="P147" s="341"/>
      <c r="Q147" s="341"/>
      <c r="R147" s="341"/>
      <c r="S147" s="341"/>
      <c r="T147" s="341"/>
      <c r="U147" s="341"/>
      <c r="V147" s="341"/>
      <c r="W147" s="341"/>
      <c r="X147" s="341"/>
      <c r="Y147" s="268"/>
      <c r="Z147" s="198"/>
      <c r="AB147" s="9"/>
      <c r="AD147" s="176"/>
    </row>
    <row r="148" spans="1:256" ht="15.75" x14ac:dyDescent="0.25">
      <c r="A148" s="1067">
        <f>+IF(C148="",0,1)</f>
        <v>0</v>
      </c>
      <c r="B148" s="340"/>
      <c r="C148" s="2114" t="str">
        <f>IF(AB122=0,"","Line 24 column 5 doesn't equal the sum of columns 1 to 4. Please check why.")</f>
        <v/>
      </c>
      <c r="D148" s="2114"/>
      <c r="E148" s="2114"/>
      <c r="F148" s="2114"/>
      <c r="G148" s="2114"/>
      <c r="H148" s="2114"/>
      <c r="I148" s="2114"/>
      <c r="J148" s="2114"/>
      <c r="K148" s="2114"/>
      <c r="L148" s="341"/>
      <c r="M148" s="341"/>
      <c r="N148" s="341"/>
      <c r="O148" s="341"/>
      <c r="P148" s="341"/>
      <c r="Q148" s="341"/>
      <c r="R148" s="341"/>
      <c r="S148" s="341"/>
      <c r="T148" s="341"/>
      <c r="U148" s="341"/>
      <c r="V148" s="341"/>
      <c r="W148" s="341"/>
      <c r="X148" s="341"/>
      <c r="Y148" s="268"/>
      <c r="Z148" s="198"/>
      <c r="AB148" s="9"/>
    </row>
    <row r="149" spans="1:256" ht="15.75" x14ac:dyDescent="0.25">
      <c r="A149" s="1067"/>
      <c r="B149" s="340"/>
      <c r="C149" s="2114"/>
      <c r="D149" s="2114"/>
      <c r="E149" s="2114"/>
      <c r="F149" s="2114"/>
      <c r="G149" s="2114"/>
      <c r="H149" s="2114"/>
      <c r="I149" s="2114"/>
      <c r="J149" s="2114"/>
      <c r="K149" s="2114"/>
      <c r="L149" s="341"/>
      <c r="M149" s="341"/>
      <c r="N149" s="341"/>
      <c r="O149" s="341"/>
      <c r="P149" s="341"/>
      <c r="Q149" s="341"/>
      <c r="R149" s="341"/>
      <c r="S149" s="341"/>
      <c r="T149" s="341"/>
      <c r="U149" s="341"/>
      <c r="V149" s="341"/>
      <c r="W149" s="341"/>
      <c r="X149" s="341"/>
      <c r="Y149" s="268"/>
      <c r="Z149" s="198"/>
      <c r="AB149" s="9"/>
      <c r="AC149" s="176"/>
    </row>
    <row r="150" spans="1:256" ht="15.75" x14ac:dyDescent="0.25">
      <c r="A150" s="1067" t="e">
        <f t="shared" si="1"/>
        <v>#N/A</v>
      </c>
      <c r="B150" s="340"/>
      <c r="C150" s="828" t="e">
        <f>IF(AB126=0,"","Line 25 column 5 doesn't equal the sum of columns 1 to 4. Please check why.")</f>
        <v>#N/A</v>
      </c>
      <c r="D150" s="828"/>
      <c r="E150" s="828"/>
      <c r="F150" s="828"/>
      <c r="G150" s="828"/>
      <c r="H150" s="828"/>
      <c r="I150" s="828"/>
      <c r="J150" s="828"/>
      <c r="K150" s="828"/>
      <c r="L150" s="341"/>
      <c r="M150" s="341"/>
      <c r="N150" s="341"/>
      <c r="O150" s="341"/>
      <c r="P150" s="341"/>
      <c r="Q150" s="341"/>
      <c r="R150" s="341"/>
      <c r="S150" s="341"/>
      <c r="T150" s="341"/>
      <c r="U150" s="341"/>
      <c r="V150" s="341"/>
      <c r="W150" s="341"/>
      <c r="X150" s="341"/>
      <c r="Y150" s="268"/>
      <c r="Z150" s="198"/>
      <c r="AB150" s="9"/>
      <c r="AC150" s="176"/>
    </row>
    <row r="151" spans="1:256" ht="15.75" x14ac:dyDescent="0.25">
      <c r="A151" s="484"/>
      <c r="B151" s="2116" t="e">
        <f>SUM(A132:A150)</f>
        <v>#N/A</v>
      </c>
      <c r="C151" s="2117"/>
      <c r="D151" s="2117"/>
      <c r="E151" s="2117"/>
      <c r="F151" s="2117"/>
      <c r="G151" s="2117"/>
      <c r="H151" s="2117"/>
      <c r="I151" s="337"/>
      <c r="J151" s="337"/>
      <c r="K151" s="337"/>
      <c r="L151" s="269"/>
      <c r="M151" s="269"/>
      <c r="N151" s="269"/>
      <c r="O151" s="269"/>
      <c r="P151" s="269"/>
      <c r="Q151" s="269"/>
      <c r="R151" s="269"/>
      <c r="S151" s="269"/>
      <c r="T151" s="269"/>
      <c r="U151" s="269"/>
      <c r="V151" s="269"/>
      <c r="W151" s="269"/>
      <c r="X151" s="269"/>
      <c r="Y151" s="270"/>
      <c r="Z151" s="198"/>
      <c r="AB151" s="9"/>
      <c r="AC151" s="176"/>
    </row>
    <row r="152" spans="1:256" ht="15.75" thickBot="1" x14ac:dyDescent="0.25">
      <c r="A152" s="485"/>
      <c r="B152" s="172"/>
      <c r="C152" s="2115"/>
      <c r="D152" s="2115"/>
      <c r="E152" s="2115"/>
      <c r="F152" s="2115"/>
      <c r="G152" s="2115"/>
      <c r="H152" s="2115"/>
      <c r="I152" s="2115"/>
      <c r="J152" s="172"/>
      <c r="K152" s="172"/>
      <c r="L152" s="172"/>
      <c r="M152" s="172"/>
      <c r="N152" s="172"/>
      <c r="O152" s="172"/>
      <c r="P152" s="172"/>
      <c r="Q152" s="172"/>
      <c r="R152" s="172"/>
      <c r="S152" s="172"/>
      <c r="T152" s="172"/>
      <c r="U152" s="172"/>
      <c r="V152" s="172"/>
      <c r="W152" s="172"/>
      <c r="X152" s="172"/>
      <c r="Y152" s="172"/>
      <c r="Z152" s="199"/>
      <c r="AB152" s="9"/>
      <c r="AC152" s="176"/>
    </row>
    <row r="153" spans="1:256" x14ac:dyDescent="0.2">
      <c r="A153" s="647"/>
      <c r="B153" s="648"/>
      <c r="C153" s="648"/>
      <c r="D153" s="648"/>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9"/>
      <c r="AB153" s="9"/>
    </row>
    <row r="154" spans="1:256" ht="15.75" x14ac:dyDescent="0.25">
      <c r="A154" s="486"/>
      <c r="B154" s="2"/>
      <c r="C154" s="12" t="str">
        <f>+CONCATENATE("Local Authority : ",+'Part 1'!$L$16)</f>
        <v>Local Authority : ZZZZ</v>
      </c>
      <c r="D154" s="2"/>
      <c r="E154" s="2"/>
      <c r="F154" s="2"/>
      <c r="G154" s="2"/>
      <c r="H154" s="2"/>
      <c r="I154" s="2"/>
      <c r="J154" s="2"/>
      <c r="K154" s="2"/>
      <c r="L154" s="2"/>
      <c r="M154" s="2"/>
      <c r="N154" s="2"/>
      <c r="O154" s="2"/>
      <c r="P154" s="2"/>
      <c r="Q154" s="2"/>
      <c r="R154" s="2"/>
      <c r="S154" s="2"/>
      <c r="T154" s="2"/>
      <c r="U154" s="2"/>
      <c r="V154" s="2"/>
      <c r="W154" s="973" t="str">
        <f>+W21</f>
        <v>Ver</v>
      </c>
      <c r="X154" s="1054">
        <f>+X77</f>
        <v>1</v>
      </c>
      <c r="Y154" s="2"/>
      <c r="Z154" s="11"/>
      <c r="AB154" s="9"/>
    </row>
    <row r="155" spans="1:256" ht="15.75" x14ac:dyDescent="0.25">
      <c r="A155" s="486"/>
      <c r="B155" s="2"/>
      <c r="C155" s="12"/>
      <c r="D155" s="2"/>
      <c r="E155" s="2"/>
      <c r="F155" s="2"/>
      <c r="G155" s="2"/>
      <c r="H155" s="2"/>
      <c r="I155" s="2"/>
      <c r="J155" s="2"/>
      <c r="K155" s="2"/>
      <c r="L155" s="2"/>
      <c r="M155" s="2"/>
      <c r="N155" s="2"/>
      <c r="O155" s="2"/>
      <c r="P155" s="2"/>
      <c r="Q155" s="2"/>
      <c r="R155" s="2"/>
      <c r="S155" s="2"/>
      <c r="T155" s="2"/>
      <c r="U155" s="2"/>
      <c r="V155" s="2"/>
      <c r="W155" s="2"/>
      <c r="X155" s="2"/>
      <c r="Y155" s="2"/>
      <c r="Z155" s="11"/>
      <c r="AB155" s="9"/>
    </row>
    <row r="156" spans="1:256" ht="15.75" x14ac:dyDescent="0.25">
      <c r="A156" s="486"/>
      <c r="B156" s="2"/>
      <c r="C156" s="26" t="s">
        <v>39</v>
      </c>
      <c r="D156" s="2"/>
      <c r="E156" s="2"/>
      <c r="F156" s="2"/>
      <c r="G156" s="2"/>
      <c r="H156" s="2"/>
      <c r="I156" s="2"/>
      <c r="J156" s="2"/>
      <c r="K156" s="2"/>
      <c r="L156" s="2"/>
      <c r="M156" s="2"/>
      <c r="N156" s="2"/>
      <c r="O156" s="2"/>
      <c r="P156" s="2"/>
      <c r="Q156" s="2"/>
      <c r="R156" s="2"/>
      <c r="S156" s="2"/>
      <c r="T156" s="2"/>
      <c r="U156" s="2"/>
      <c r="V156" s="2"/>
      <c r="W156" s="2"/>
      <c r="X156" s="2"/>
      <c r="Y156" s="2"/>
      <c r="Z156" s="11"/>
      <c r="AA156" s="764"/>
      <c r="AB156" s="763"/>
      <c r="AC156" s="763"/>
      <c r="AD156" s="763"/>
      <c r="AE156" s="763"/>
      <c r="AF156" s="763"/>
      <c r="AG156" s="763"/>
      <c r="AH156" s="763"/>
      <c r="AI156" s="763"/>
      <c r="AJ156" s="763"/>
      <c r="AK156" s="763"/>
      <c r="AL156" s="763"/>
      <c r="AM156" s="763"/>
      <c r="AN156" s="763"/>
      <c r="AO156" s="763"/>
      <c r="AP156" s="763"/>
      <c r="AQ156" s="763"/>
      <c r="AR156" s="763"/>
      <c r="AS156" s="763"/>
      <c r="AT156" s="763"/>
      <c r="AU156" s="763"/>
      <c r="AV156" s="763"/>
      <c r="AW156" s="763"/>
      <c r="AX156" s="763"/>
      <c r="AY156" s="763"/>
      <c r="AZ156" s="763"/>
      <c r="BA156" s="763"/>
      <c r="BB156" s="763"/>
      <c r="BC156" s="763"/>
      <c r="BD156" s="763"/>
      <c r="BE156" s="763"/>
      <c r="BF156" s="763"/>
      <c r="BG156" s="763"/>
      <c r="BH156" s="763"/>
      <c r="BI156" s="763"/>
      <c r="BJ156" s="763"/>
      <c r="BK156" s="763"/>
      <c r="BL156" s="763"/>
      <c r="BM156" s="763"/>
      <c r="BN156" s="763"/>
      <c r="BO156" s="763"/>
      <c r="BP156" s="763"/>
      <c r="BQ156" s="763"/>
      <c r="BR156" s="763"/>
      <c r="BS156" s="763"/>
      <c r="BT156" s="763"/>
      <c r="BU156" s="763"/>
      <c r="BV156" s="763"/>
      <c r="BW156" s="763"/>
      <c r="BX156" s="763"/>
      <c r="BY156" s="763"/>
      <c r="BZ156" s="763"/>
      <c r="CA156" s="763"/>
      <c r="CB156" s="763"/>
      <c r="CC156" s="763"/>
      <c r="CD156" s="763"/>
      <c r="CE156" s="763"/>
      <c r="CF156" s="763"/>
      <c r="CG156" s="763"/>
      <c r="CH156" s="763"/>
      <c r="CI156" s="763"/>
      <c r="CJ156" s="763"/>
      <c r="CK156" s="763"/>
      <c r="CL156" s="763"/>
      <c r="CM156" s="763"/>
      <c r="CN156" s="763"/>
      <c r="CO156" s="763"/>
      <c r="CP156" s="763"/>
      <c r="CQ156" s="763"/>
      <c r="CR156" s="763"/>
      <c r="CS156" s="763"/>
      <c r="CT156" s="763"/>
      <c r="CU156" s="763"/>
      <c r="CV156" s="763"/>
      <c r="CW156" s="763"/>
      <c r="CX156" s="763"/>
      <c r="CY156" s="763"/>
      <c r="CZ156" s="763"/>
      <c r="DA156" s="763"/>
      <c r="DB156" s="763"/>
      <c r="DC156" s="763"/>
      <c r="DD156" s="763"/>
      <c r="DE156" s="763"/>
      <c r="DF156" s="763"/>
      <c r="DG156" s="763"/>
      <c r="DH156" s="763"/>
      <c r="DI156" s="763"/>
      <c r="DJ156" s="763"/>
      <c r="DK156" s="763"/>
      <c r="DL156" s="763"/>
      <c r="DM156" s="763"/>
      <c r="DN156" s="763"/>
      <c r="DO156" s="763"/>
      <c r="DP156" s="763"/>
      <c r="DQ156" s="763"/>
      <c r="DR156" s="763"/>
      <c r="DS156" s="763"/>
      <c r="DT156" s="763"/>
      <c r="DU156" s="763"/>
      <c r="DV156" s="763"/>
      <c r="DW156" s="763"/>
      <c r="DX156" s="763"/>
      <c r="DY156" s="763"/>
      <c r="DZ156" s="763"/>
      <c r="EA156" s="763"/>
      <c r="EB156" s="763"/>
      <c r="EC156" s="763"/>
      <c r="ED156" s="763"/>
      <c r="EE156" s="763"/>
      <c r="EF156" s="763"/>
      <c r="EG156" s="763"/>
      <c r="EH156" s="763"/>
      <c r="EI156" s="763"/>
      <c r="EJ156" s="763"/>
      <c r="EK156" s="763"/>
      <c r="EL156" s="763"/>
      <c r="EM156" s="763"/>
      <c r="EN156" s="763"/>
      <c r="EO156" s="763"/>
      <c r="EP156" s="763"/>
      <c r="EQ156" s="763"/>
      <c r="ER156" s="763"/>
      <c r="ES156" s="763"/>
      <c r="ET156" s="763"/>
      <c r="EU156" s="763"/>
      <c r="EV156" s="763"/>
      <c r="EW156" s="763"/>
      <c r="EX156" s="763"/>
      <c r="EY156" s="763"/>
      <c r="EZ156" s="763"/>
      <c r="FA156" s="763"/>
      <c r="FB156" s="763"/>
      <c r="FC156" s="763"/>
      <c r="FD156" s="763"/>
      <c r="FE156" s="763"/>
      <c r="FF156" s="763"/>
      <c r="FG156" s="763"/>
      <c r="FH156" s="763"/>
      <c r="FI156" s="763"/>
      <c r="FJ156" s="763"/>
      <c r="FK156" s="763"/>
      <c r="FL156" s="763"/>
      <c r="FM156" s="763"/>
      <c r="FN156" s="763"/>
      <c r="FO156" s="763"/>
      <c r="FP156" s="763"/>
      <c r="FQ156" s="763"/>
      <c r="FR156" s="763"/>
      <c r="FS156" s="763"/>
      <c r="FT156" s="763"/>
      <c r="FU156" s="763"/>
      <c r="FV156" s="763"/>
      <c r="FW156" s="763"/>
      <c r="FX156" s="763"/>
      <c r="FY156" s="763"/>
      <c r="FZ156" s="763"/>
      <c r="GA156" s="763"/>
      <c r="GB156" s="763"/>
      <c r="GC156" s="763"/>
      <c r="GD156" s="763"/>
    </row>
    <row r="157" spans="1:256" ht="15.75" x14ac:dyDescent="0.25">
      <c r="A157" s="650"/>
      <c r="B157" s="385"/>
      <c r="C157" s="385" t="s">
        <v>1031</v>
      </c>
      <c r="D157" s="385"/>
      <c r="E157" s="385"/>
      <c r="F157" s="385"/>
      <c r="G157" s="385"/>
      <c r="H157" s="385"/>
      <c r="I157" s="385"/>
      <c r="J157" s="385"/>
      <c r="K157" s="385"/>
      <c r="L157" s="385"/>
      <c r="M157" s="385"/>
      <c r="N157" s="385"/>
      <c r="O157" s="385"/>
      <c r="P157" s="385"/>
      <c r="Q157" s="385"/>
      <c r="R157" s="385"/>
      <c r="S157" s="385"/>
      <c r="T157" s="385"/>
      <c r="U157" s="385"/>
      <c r="V157" s="385"/>
      <c r="W157" s="385"/>
      <c r="X157" s="385"/>
      <c r="Y157" s="385"/>
      <c r="Z157" s="651"/>
      <c r="AA157" s="762"/>
      <c r="AB157" s="761"/>
      <c r="AC157" s="762"/>
      <c r="AD157" s="762"/>
      <c r="AE157" s="762"/>
      <c r="AF157" s="762"/>
      <c r="AG157" s="762"/>
      <c r="AH157" s="762"/>
      <c r="AI157" s="762"/>
      <c r="AJ157" s="762"/>
      <c r="AK157" s="762"/>
      <c r="AL157" s="762"/>
      <c r="AM157" s="762"/>
      <c r="AN157" s="762"/>
      <c r="AO157" s="762"/>
      <c r="AP157" s="762"/>
      <c r="AQ157" s="762"/>
      <c r="AR157" s="762"/>
      <c r="AS157" s="762"/>
      <c r="AT157" s="762"/>
      <c r="AU157" s="762"/>
      <c r="AV157" s="762"/>
      <c r="AW157" s="762"/>
      <c r="AX157" s="762"/>
      <c r="AY157" s="762"/>
      <c r="AZ157" s="762"/>
      <c r="BA157" s="762"/>
      <c r="BB157" s="762"/>
      <c r="BC157" s="762"/>
      <c r="BD157" s="762"/>
      <c r="BE157" s="762"/>
      <c r="BF157" s="762"/>
      <c r="BG157" s="762"/>
      <c r="BH157" s="762"/>
      <c r="BI157" s="762"/>
      <c r="BJ157" s="762"/>
      <c r="BK157" s="762"/>
      <c r="BL157" s="762"/>
      <c r="BM157" s="762"/>
      <c r="BN157" s="762"/>
      <c r="BO157" s="762"/>
      <c r="BP157" s="762"/>
      <c r="BQ157" s="762"/>
      <c r="BR157" s="762"/>
      <c r="BS157" s="762"/>
      <c r="BT157" s="762"/>
      <c r="BU157" s="762"/>
      <c r="BV157" s="762"/>
      <c r="BW157" s="762"/>
      <c r="BX157" s="762"/>
      <c r="BY157" s="762"/>
      <c r="BZ157" s="762"/>
      <c r="CA157" s="762"/>
      <c r="CB157" s="762"/>
      <c r="CC157" s="762"/>
      <c r="CD157" s="762"/>
      <c r="CE157" s="762"/>
      <c r="CF157" s="762"/>
      <c r="CG157" s="762"/>
      <c r="CH157" s="762"/>
      <c r="CI157" s="762"/>
      <c r="CJ157" s="762"/>
      <c r="CK157" s="762"/>
      <c r="CL157" s="762"/>
      <c r="CM157" s="762"/>
      <c r="CN157" s="762"/>
      <c r="CO157" s="762"/>
      <c r="CP157" s="762"/>
      <c r="CQ157" s="762"/>
      <c r="CR157" s="762"/>
      <c r="CS157" s="762"/>
      <c r="CT157" s="762"/>
      <c r="CU157" s="762"/>
      <c r="CV157" s="762"/>
      <c r="CW157" s="762"/>
      <c r="CX157" s="762"/>
      <c r="CY157" s="762"/>
      <c r="CZ157" s="762"/>
      <c r="DA157" s="762"/>
      <c r="DB157" s="762"/>
      <c r="DC157" s="762"/>
      <c r="DD157" s="762"/>
      <c r="DE157" s="762"/>
      <c r="DF157" s="762"/>
      <c r="DG157" s="762"/>
      <c r="DH157" s="762"/>
      <c r="DI157" s="762"/>
      <c r="DJ157" s="762"/>
      <c r="DK157" s="762"/>
      <c r="DL157" s="762"/>
      <c r="DM157" s="762"/>
      <c r="DN157" s="762"/>
      <c r="DO157" s="762"/>
      <c r="DP157" s="762"/>
      <c r="DQ157" s="762"/>
      <c r="DR157" s="762"/>
      <c r="DS157" s="762"/>
      <c r="DT157" s="762"/>
      <c r="DU157" s="762"/>
      <c r="DV157" s="762"/>
      <c r="DW157" s="762"/>
      <c r="DX157" s="762"/>
      <c r="DY157" s="762"/>
      <c r="DZ157" s="762"/>
      <c r="EA157" s="762"/>
      <c r="EB157" s="762"/>
      <c r="EC157" s="762"/>
      <c r="ED157" s="762"/>
      <c r="EE157" s="762"/>
      <c r="EF157" s="762"/>
      <c r="EG157" s="762"/>
      <c r="EH157" s="762"/>
      <c r="EI157" s="762"/>
      <c r="EJ157" s="762"/>
      <c r="EK157" s="762"/>
      <c r="EL157" s="762"/>
      <c r="EM157" s="762"/>
      <c r="EN157" s="762"/>
      <c r="EO157" s="762"/>
      <c r="EP157" s="762"/>
      <c r="EQ157" s="762"/>
      <c r="ER157" s="762"/>
      <c r="ES157" s="762"/>
      <c r="ET157" s="762"/>
      <c r="EU157" s="762"/>
      <c r="EV157" s="762"/>
      <c r="EW157" s="762"/>
      <c r="EX157" s="762"/>
      <c r="EY157" s="762"/>
      <c r="EZ157" s="762"/>
      <c r="FA157" s="762"/>
      <c r="FB157" s="762"/>
      <c r="FC157" s="762"/>
      <c r="FD157" s="762"/>
      <c r="FE157" s="762"/>
      <c r="FF157" s="762"/>
      <c r="FG157" s="762"/>
      <c r="FH157" s="762"/>
      <c r="FI157" s="762"/>
      <c r="FJ157" s="762"/>
      <c r="FK157" s="762"/>
      <c r="FL157" s="762"/>
      <c r="FM157" s="762"/>
      <c r="FN157" s="762"/>
      <c r="FO157" s="762"/>
      <c r="FP157" s="762"/>
      <c r="FQ157" s="762"/>
      <c r="FR157" s="762"/>
      <c r="FS157" s="762"/>
      <c r="FT157" s="762"/>
      <c r="FU157" s="762"/>
      <c r="FV157" s="762"/>
      <c r="FW157" s="762"/>
      <c r="FX157" s="762"/>
      <c r="FY157" s="762"/>
      <c r="FZ157" s="762"/>
      <c r="GA157" s="762"/>
      <c r="GB157" s="762"/>
      <c r="GC157" s="762"/>
      <c r="GD157" s="762"/>
      <c r="GE157" s="385"/>
      <c r="GF157" s="385"/>
      <c r="GG157" s="385"/>
      <c r="GH157" s="385"/>
      <c r="GI157" s="385"/>
      <c r="GJ157" s="385"/>
      <c r="GK157" s="385"/>
      <c r="GL157" s="385"/>
      <c r="GM157" s="385"/>
      <c r="GN157" s="385"/>
      <c r="GO157" s="385"/>
      <c r="GP157" s="385"/>
      <c r="GQ157" s="385"/>
      <c r="GR157" s="385"/>
      <c r="GS157" s="385"/>
      <c r="GT157" s="385"/>
      <c r="GU157" s="385"/>
      <c r="GV157" s="385"/>
      <c r="GW157" s="385"/>
      <c r="GX157" s="385"/>
      <c r="GY157" s="385"/>
      <c r="GZ157" s="385"/>
      <c r="HA157" s="385"/>
      <c r="HB157" s="385"/>
      <c r="HC157" s="385"/>
      <c r="HD157" s="385"/>
      <c r="HE157" s="385"/>
      <c r="HF157" s="385"/>
      <c r="HG157" s="385"/>
      <c r="HH157" s="385"/>
      <c r="HI157" s="385"/>
      <c r="HJ157" s="385"/>
      <c r="HK157" s="385"/>
      <c r="HL157" s="385"/>
      <c r="HM157" s="385"/>
      <c r="HN157" s="385"/>
      <c r="HO157" s="385"/>
      <c r="HP157" s="385"/>
      <c r="HQ157" s="385"/>
      <c r="HR157" s="385"/>
      <c r="HS157" s="385"/>
      <c r="HT157" s="385"/>
      <c r="HU157" s="385"/>
      <c r="HV157" s="385"/>
      <c r="HW157" s="385"/>
      <c r="HX157" s="385"/>
      <c r="HY157" s="385"/>
      <c r="HZ157" s="385"/>
      <c r="IA157" s="385"/>
      <c r="IB157" s="385"/>
      <c r="IC157" s="385"/>
      <c r="ID157" s="385"/>
      <c r="IE157" s="385"/>
      <c r="IF157" s="385"/>
      <c r="IG157" s="385"/>
      <c r="IH157" s="385"/>
      <c r="II157" s="385"/>
      <c r="IJ157" s="385"/>
      <c r="IK157" s="385"/>
      <c r="IL157" s="385"/>
      <c r="IM157" s="385"/>
      <c r="IN157" s="385"/>
      <c r="IO157" s="385"/>
      <c r="IP157" s="385"/>
      <c r="IQ157" s="385"/>
      <c r="IR157" s="385"/>
      <c r="IS157" s="385"/>
      <c r="IT157" s="385"/>
      <c r="IU157" s="385"/>
      <c r="IV157" s="385"/>
    </row>
    <row r="158" spans="1:256" ht="15" customHeight="1" x14ac:dyDescent="0.2">
      <c r="A158" s="486"/>
      <c r="B158" s="2"/>
      <c r="C158" s="2120" t="s">
        <v>1125</v>
      </c>
      <c r="D158" s="2120"/>
      <c r="E158" s="2120"/>
      <c r="F158" s="2120"/>
      <c r="G158" s="2120"/>
      <c r="H158" s="2120"/>
      <c r="I158" s="2120"/>
      <c r="J158" s="2120"/>
      <c r="K158" s="2120"/>
      <c r="L158" s="2120"/>
      <c r="M158" s="2120"/>
      <c r="N158" s="2120"/>
      <c r="O158" s="2120"/>
      <c r="P158" s="2120"/>
      <c r="Q158" s="2120"/>
      <c r="R158" s="2120"/>
      <c r="S158" s="2120"/>
      <c r="T158" s="2120"/>
      <c r="U158" s="2120"/>
      <c r="V158" s="2120"/>
      <c r="W158" s="2120"/>
      <c r="X158" s="2120"/>
      <c r="Y158" s="2"/>
      <c r="Z158" s="11"/>
      <c r="AA158" s="764"/>
      <c r="AB158" s="2058" t="s">
        <v>1090</v>
      </c>
      <c r="AC158" s="763"/>
      <c r="AD158" s="763"/>
      <c r="AE158" s="763"/>
      <c r="AF158" s="763"/>
      <c r="AG158" s="763"/>
      <c r="AH158" s="763"/>
      <c r="AI158" s="763"/>
      <c r="AJ158" s="763"/>
      <c r="AK158" s="763"/>
      <c r="AL158" s="763"/>
      <c r="AM158" s="763"/>
      <c r="AN158" s="763"/>
      <c r="AO158" s="763"/>
      <c r="AP158" s="763"/>
      <c r="AQ158" s="763"/>
      <c r="AR158" s="763"/>
      <c r="AS158" s="763"/>
      <c r="AT158" s="763"/>
      <c r="AU158" s="763"/>
      <c r="AV158" s="763"/>
      <c r="AW158" s="763"/>
      <c r="AX158" s="763"/>
      <c r="AY158" s="763"/>
      <c r="AZ158" s="763"/>
      <c r="BA158" s="763"/>
      <c r="BB158" s="763"/>
      <c r="BC158" s="763"/>
      <c r="BD158" s="763"/>
      <c r="BE158" s="763"/>
      <c r="BF158" s="763"/>
      <c r="BG158" s="763"/>
      <c r="BH158" s="763"/>
      <c r="BI158" s="763"/>
      <c r="BJ158" s="763"/>
      <c r="BK158" s="763"/>
      <c r="BL158" s="763"/>
      <c r="BM158" s="763"/>
      <c r="BN158" s="763"/>
      <c r="BO158" s="763"/>
      <c r="BP158" s="763"/>
      <c r="BQ158" s="763"/>
      <c r="BR158" s="763"/>
      <c r="BS158" s="763"/>
      <c r="BT158" s="763"/>
      <c r="BU158" s="763"/>
      <c r="BV158" s="763"/>
      <c r="BW158" s="763"/>
      <c r="BX158" s="763"/>
      <c r="BY158" s="763"/>
      <c r="BZ158" s="763"/>
      <c r="CA158" s="763"/>
      <c r="CB158" s="763"/>
      <c r="CC158" s="763"/>
      <c r="CD158" s="763"/>
      <c r="CE158" s="763"/>
      <c r="CF158" s="763"/>
      <c r="CG158" s="763"/>
      <c r="CH158" s="763"/>
      <c r="CI158" s="763"/>
      <c r="CJ158" s="763"/>
      <c r="CK158" s="763"/>
      <c r="CL158" s="763"/>
      <c r="CM158" s="763"/>
      <c r="CN158" s="763"/>
      <c r="CO158" s="763"/>
      <c r="CP158" s="763"/>
      <c r="CQ158" s="763"/>
      <c r="CR158" s="763"/>
      <c r="CS158" s="763"/>
      <c r="CT158" s="763"/>
      <c r="CU158" s="763"/>
      <c r="CV158" s="763"/>
      <c r="CW158" s="763"/>
      <c r="CX158" s="763"/>
      <c r="CY158" s="763"/>
      <c r="CZ158" s="763"/>
      <c r="DA158" s="763"/>
      <c r="DB158" s="763"/>
      <c r="DC158" s="763"/>
      <c r="DD158" s="763"/>
      <c r="DE158" s="763"/>
      <c r="DF158" s="763"/>
      <c r="DG158" s="763"/>
      <c r="DH158" s="763"/>
      <c r="DI158" s="763"/>
      <c r="DJ158" s="763"/>
      <c r="DK158" s="763"/>
      <c r="DL158" s="763"/>
      <c r="DM158" s="763"/>
      <c r="DN158" s="763"/>
      <c r="DO158" s="763"/>
      <c r="DP158" s="763"/>
      <c r="DQ158" s="763"/>
      <c r="DR158" s="763"/>
      <c r="DS158" s="763"/>
      <c r="DT158" s="763"/>
      <c r="DU158" s="763"/>
      <c r="DV158" s="763"/>
      <c r="DW158" s="763"/>
      <c r="DX158" s="763"/>
      <c r="DY158" s="763"/>
      <c r="DZ158" s="763"/>
      <c r="EA158" s="763"/>
      <c r="EB158" s="763"/>
      <c r="EC158" s="763"/>
      <c r="ED158" s="763"/>
      <c r="EE158" s="763"/>
      <c r="EF158" s="763"/>
      <c r="EG158" s="763"/>
      <c r="EH158" s="763"/>
      <c r="EI158" s="763"/>
      <c r="EJ158" s="763"/>
      <c r="EK158" s="763"/>
      <c r="EL158" s="763"/>
      <c r="EM158" s="763"/>
      <c r="EN158" s="763"/>
      <c r="EO158" s="763"/>
      <c r="EP158" s="763"/>
      <c r="EQ158" s="763"/>
      <c r="ER158" s="763"/>
      <c r="ES158" s="763"/>
      <c r="ET158" s="763"/>
      <c r="EU158" s="763"/>
      <c r="EV158" s="763"/>
      <c r="EW158" s="763"/>
      <c r="EX158" s="763"/>
      <c r="EY158" s="763"/>
      <c r="EZ158" s="763"/>
      <c r="FA158" s="763"/>
      <c r="FB158" s="763"/>
      <c r="FC158" s="763"/>
      <c r="FD158" s="763"/>
      <c r="FE158" s="763"/>
      <c r="FF158" s="763"/>
      <c r="FG158" s="763"/>
      <c r="FH158" s="763"/>
      <c r="FI158" s="763"/>
      <c r="FJ158" s="763"/>
      <c r="FK158" s="763"/>
      <c r="FL158" s="763"/>
      <c r="FM158" s="763"/>
      <c r="FN158" s="763"/>
      <c r="FO158" s="763"/>
      <c r="FP158" s="763"/>
      <c r="FQ158" s="763"/>
      <c r="FR158" s="763"/>
      <c r="FS158" s="763"/>
      <c r="FT158" s="763"/>
      <c r="FU158" s="763"/>
      <c r="FV158" s="763"/>
      <c r="FW158" s="763"/>
      <c r="FX158" s="763"/>
      <c r="FY158" s="763"/>
      <c r="FZ158" s="763"/>
      <c r="GA158" s="763"/>
      <c r="GB158" s="763"/>
      <c r="GC158" s="763"/>
      <c r="GD158" s="763"/>
    </row>
    <row r="159" spans="1:256" x14ac:dyDescent="0.2">
      <c r="A159" s="486"/>
      <c r="B159" s="2"/>
      <c r="C159" s="2120"/>
      <c r="D159" s="2120"/>
      <c r="E159" s="2120"/>
      <c r="F159" s="2120"/>
      <c r="G159" s="2120"/>
      <c r="H159" s="2120"/>
      <c r="I159" s="2120"/>
      <c r="J159" s="2120"/>
      <c r="K159" s="2120"/>
      <c r="L159" s="2120"/>
      <c r="M159" s="2120"/>
      <c r="N159" s="2120"/>
      <c r="O159" s="2120"/>
      <c r="P159" s="2120"/>
      <c r="Q159" s="2120"/>
      <c r="R159" s="2120"/>
      <c r="S159" s="2120"/>
      <c r="T159" s="2120"/>
      <c r="U159" s="2120"/>
      <c r="V159" s="2120"/>
      <c r="W159" s="2120"/>
      <c r="X159" s="2120"/>
      <c r="Y159" s="2"/>
      <c r="Z159" s="11"/>
      <c r="AB159" s="2059"/>
    </row>
    <row r="160" spans="1:256" x14ac:dyDescent="0.2">
      <c r="A160" s="486"/>
      <c r="B160" s="2"/>
      <c r="C160" s="2"/>
      <c r="D160" s="2"/>
      <c r="E160" s="2"/>
      <c r="F160" s="2"/>
      <c r="G160" s="2"/>
      <c r="H160" s="2"/>
      <c r="I160" s="2"/>
      <c r="J160" s="2"/>
      <c r="K160" s="2"/>
      <c r="L160" s="2"/>
      <c r="M160" s="2"/>
      <c r="N160" s="2104" t="s">
        <v>795</v>
      </c>
      <c r="O160" s="2104"/>
      <c r="P160" s="160"/>
      <c r="Q160" s="2104" t="s">
        <v>796</v>
      </c>
      <c r="R160" s="2104"/>
      <c r="S160" s="160"/>
      <c r="T160" s="2104" t="s">
        <v>797</v>
      </c>
      <c r="U160" s="2104"/>
      <c r="V160" s="160"/>
      <c r="W160" s="2104" t="s">
        <v>814</v>
      </c>
      <c r="X160" s="2104"/>
      <c r="Y160" s="2"/>
      <c r="Z160" s="11"/>
      <c r="AB160" s="9"/>
    </row>
    <row r="161" spans="1:31" ht="15.75" customHeight="1" x14ac:dyDescent="0.2">
      <c r="A161" s="486"/>
      <c r="B161" s="2"/>
      <c r="C161" s="2"/>
      <c r="D161" s="2"/>
      <c r="E161" s="2"/>
      <c r="F161" s="2"/>
      <c r="G161" s="2"/>
      <c r="H161" s="2"/>
      <c r="I161" s="2"/>
      <c r="J161" s="2"/>
      <c r="K161" s="2"/>
      <c r="L161" s="2"/>
      <c r="M161" s="2"/>
      <c r="N161" s="2060" t="str">
        <f>+N88</f>
        <v>ZZZZ</v>
      </c>
      <c r="O161" s="2060"/>
      <c r="P161" s="154"/>
      <c r="Q161" s="2060" t="str">
        <f>+Q88</f>
        <v>0 County Council</v>
      </c>
      <c r="R161" s="2060"/>
      <c r="S161" s="154"/>
      <c r="T161" s="2060">
        <f>+T88</f>
        <v>0</v>
      </c>
      <c r="U161" s="2060"/>
      <c r="V161" s="639"/>
      <c r="W161" s="2121" t="s">
        <v>806</v>
      </c>
      <c r="X161" s="2121"/>
      <c r="Y161" s="2"/>
      <c r="Z161" s="11"/>
      <c r="AB161" s="9"/>
    </row>
    <row r="162" spans="1:31" ht="15.75" customHeight="1" x14ac:dyDescent="0.2">
      <c r="A162" s="486"/>
      <c r="B162" s="2"/>
      <c r="C162" s="2"/>
      <c r="D162" s="2"/>
      <c r="E162" s="2"/>
      <c r="F162" s="2"/>
      <c r="G162" s="2"/>
      <c r="H162" s="2"/>
      <c r="I162" s="2"/>
      <c r="J162" s="2"/>
      <c r="K162" s="2"/>
      <c r="L162" s="2"/>
      <c r="M162" s="2"/>
      <c r="N162" s="2060"/>
      <c r="O162" s="2060"/>
      <c r="P162" s="154"/>
      <c r="Q162" s="2060"/>
      <c r="R162" s="2060"/>
      <c r="S162" s="154"/>
      <c r="T162" s="2060"/>
      <c r="U162" s="2060"/>
      <c r="V162" s="154"/>
      <c r="W162" s="154"/>
      <c r="X162" s="154"/>
      <c r="Y162" s="2"/>
      <c r="Z162" s="11"/>
      <c r="AB162" s="765" t="s">
        <v>70</v>
      </c>
    </row>
    <row r="163" spans="1:31" ht="15.75" customHeight="1" x14ac:dyDescent="0.2">
      <c r="A163" s="486"/>
      <c r="B163" s="2"/>
      <c r="C163" s="2"/>
      <c r="D163" s="2"/>
      <c r="E163" s="2"/>
      <c r="F163" s="2"/>
      <c r="G163" s="2"/>
      <c r="H163" s="2"/>
      <c r="I163" s="2"/>
      <c r="J163" s="2"/>
      <c r="K163" s="2"/>
      <c r="L163" s="2"/>
      <c r="M163" s="2"/>
      <c r="N163" s="2060"/>
      <c r="O163" s="2060"/>
      <c r="P163" s="154"/>
      <c r="Q163" s="2060"/>
      <c r="R163" s="2060"/>
      <c r="S163" s="154"/>
      <c r="T163" s="2060"/>
      <c r="U163" s="2060"/>
      <c r="V163" s="154"/>
      <c r="W163" s="154"/>
      <c r="X163" s="154"/>
      <c r="Y163" s="2"/>
      <c r="Z163" s="11"/>
      <c r="AB163" s="348" t="s">
        <v>71</v>
      </c>
    </row>
    <row r="164" spans="1:31" ht="16.5" thickBot="1" x14ac:dyDescent="0.3">
      <c r="A164" s="486"/>
      <c r="B164" s="2"/>
      <c r="C164" s="13" t="s">
        <v>963</v>
      </c>
      <c r="D164" s="13"/>
      <c r="E164" s="2"/>
      <c r="F164" s="2"/>
      <c r="G164" s="2"/>
      <c r="H164" s="2"/>
      <c r="I164" s="2"/>
      <c r="J164" s="2"/>
      <c r="K164" s="2"/>
      <c r="L164" s="2"/>
      <c r="M164" s="376"/>
      <c r="N164" s="2049" t="s">
        <v>786</v>
      </c>
      <c r="O164" s="2049"/>
      <c r="P164" s="523"/>
      <c r="Q164" s="2049" t="s">
        <v>786</v>
      </c>
      <c r="R164" s="2049"/>
      <c r="S164" s="523"/>
      <c r="T164" s="2049" t="s">
        <v>786</v>
      </c>
      <c r="U164" s="2049"/>
      <c r="V164" s="522"/>
      <c r="W164" s="2049" t="s">
        <v>786</v>
      </c>
      <c r="X164" s="2049"/>
      <c r="Y164" s="376"/>
      <c r="Z164" s="11"/>
      <c r="AB164" s="347"/>
    </row>
    <row r="165" spans="1:31" ht="16.5" thickBot="1" x14ac:dyDescent="0.25">
      <c r="A165" s="486"/>
      <c r="B165" s="2"/>
      <c r="C165" s="10"/>
      <c r="D165" s="10" t="s">
        <v>2263</v>
      </c>
      <c r="E165" s="10"/>
      <c r="F165" s="10"/>
      <c r="G165" s="10"/>
      <c r="H165" s="10"/>
      <c r="I165" s="10"/>
      <c r="J165" s="10"/>
      <c r="K165" s="10"/>
      <c r="L165" s="668"/>
      <c r="M165" s="669"/>
      <c r="N165" s="2118" t="e">
        <f>ROUND((+N126-N104-N122)*7/466,0)</f>
        <v>#N/A</v>
      </c>
      <c r="O165" s="2119"/>
      <c r="P165" s="523"/>
      <c r="Q165" s="2118" t="e">
        <f>ROUND((+Q126-Q122-Q104)*7/466,0)</f>
        <v>#N/A</v>
      </c>
      <c r="R165" s="2119"/>
      <c r="S165" s="523"/>
      <c r="T165" s="2118" t="e">
        <f>ROUND((+T126-T122-T104)*7/466,0)</f>
        <v>#N/A</v>
      </c>
      <c r="U165" s="2119"/>
      <c r="V165" s="523"/>
      <c r="W165" s="2118" t="e">
        <f>+N165+Q165+T165</f>
        <v>#N/A</v>
      </c>
      <c r="X165" s="2119"/>
      <c r="Y165" s="376"/>
      <c r="Z165" s="125"/>
      <c r="AB165" s="347" t="e">
        <f>+IF(N165+Q165+T165-W165=0,0,1)</f>
        <v>#N/A</v>
      </c>
    </row>
    <row r="166" spans="1:31" x14ac:dyDescent="0.2">
      <c r="A166" s="486"/>
      <c r="B166" s="2"/>
      <c r="C166" s="10"/>
      <c r="D166" s="10"/>
      <c r="E166" s="477"/>
      <c r="F166" s="477"/>
      <c r="G166" s="477"/>
      <c r="H166" s="477"/>
      <c r="I166" s="477"/>
      <c r="J166" s="477"/>
      <c r="K166" s="10"/>
      <c r="L166" s="2"/>
      <c r="M166" s="376"/>
      <c r="N166" s="535"/>
      <c r="O166" s="535"/>
      <c r="P166" s="535"/>
      <c r="Q166" s="535"/>
      <c r="R166" s="535"/>
      <c r="S166" s="535"/>
      <c r="T166" s="535"/>
      <c r="U166" s="535"/>
      <c r="V166" s="535"/>
      <c r="W166" s="535"/>
      <c r="X166" s="535"/>
      <c r="Y166" s="376"/>
      <c r="Z166" s="11"/>
      <c r="AA166" s="205"/>
      <c r="AB166" s="347"/>
    </row>
    <row r="167" spans="1:31" ht="16.5" thickBot="1" x14ac:dyDescent="0.3">
      <c r="A167" s="486"/>
      <c r="B167" s="2"/>
      <c r="C167" s="13" t="s">
        <v>798</v>
      </c>
      <c r="D167" s="10"/>
      <c r="E167" s="477"/>
      <c r="F167" s="477"/>
      <c r="G167" s="477"/>
      <c r="H167" s="477"/>
      <c r="I167" s="477"/>
      <c r="J167" s="477"/>
      <c r="K167" s="10"/>
      <c r="L167" s="2"/>
      <c r="M167" s="376"/>
      <c r="N167" s="535"/>
      <c r="O167" s="535"/>
      <c r="P167" s="535"/>
      <c r="Q167" s="535"/>
      <c r="R167" s="535"/>
      <c r="S167" s="535"/>
      <c r="T167" s="535"/>
      <c r="U167" s="535"/>
      <c r="V167" s="535"/>
      <c r="W167" s="535"/>
      <c r="X167" s="535"/>
      <c r="Y167" s="376"/>
      <c r="Z167" s="11"/>
      <c r="AA167" s="205"/>
      <c r="AB167" s="347"/>
    </row>
    <row r="168" spans="1:31" ht="16.5" thickBot="1" x14ac:dyDescent="0.3">
      <c r="A168" s="486"/>
      <c r="B168" s="2"/>
      <c r="C168" s="10"/>
      <c r="D168" s="10" t="s">
        <v>2281</v>
      </c>
      <c r="E168" s="10"/>
      <c r="F168" s="10"/>
      <c r="G168" s="10"/>
      <c r="H168" s="10"/>
      <c r="I168" s="10"/>
      <c r="J168" s="385"/>
      <c r="K168" s="10"/>
      <c r="L168" s="668"/>
      <c r="M168" s="669"/>
      <c r="N168" s="2118">
        <f>ROUND(+W168-Q168-T168,0)</f>
        <v>0</v>
      </c>
      <c r="O168" s="2119"/>
      <c r="P168" s="670"/>
      <c r="Q168" s="2118">
        <f>+ROUND(((('Part 2'!J56-'Part 2'!J58)+(('Part 2'!J56-'Part 2'!J58)*7/466))*0.5)*-1*Q92,0)</f>
        <v>0</v>
      </c>
      <c r="R168" s="2119"/>
      <c r="S168" s="670"/>
      <c r="T168" s="2118">
        <f>+ROUND(((('Part 2'!J56-'Part 2'!J58)+(('Part 2'!J56-'Part 2'!J58)*7/466))*0.5)*-1*T92,0)</f>
        <v>0</v>
      </c>
      <c r="U168" s="2119"/>
      <c r="V168" s="523"/>
      <c r="W168" s="2118">
        <f>+ROUND(((('Part 2'!J56-'Part 2'!J58)+(('Part 2'!J56-'Part 2'!J58)*7/466))*0.5*VLOOKUP('Part 1'!$L$17,TierSplit!$A$6:$J$332,10,FALSE))+((('Part 2'!N56-'Part 2'!N58)+(('Part 2'!N56-'Part 2'!N58)*7/466))*0.5),0)*-1</f>
        <v>0</v>
      </c>
      <c r="X168" s="2119"/>
      <c r="Y168" s="376"/>
      <c r="Z168" s="125"/>
      <c r="AA168" s="205"/>
      <c r="AB168" s="347">
        <f>+IF(N168+Q168+T168-W168=0,0,1)</f>
        <v>0</v>
      </c>
      <c r="AD168" s="975"/>
      <c r="AE168" s="975"/>
    </row>
    <row r="169" spans="1:31" ht="16.5" thickBot="1" x14ac:dyDescent="0.3">
      <c r="A169" s="486"/>
      <c r="B169" s="2"/>
      <c r="C169" s="13"/>
      <c r="D169" s="10"/>
      <c r="E169" s="477"/>
      <c r="F169" s="477"/>
      <c r="G169" s="477"/>
      <c r="H169" s="477"/>
      <c r="I169" s="477"/>
      <c r="J169" s="477"/>
      <c r="K169" s="10"/>
      <c r="L169" s="2"/>
      <c r="M169" s="376"/>
      <c r="N169" s="535"/>
      <c r="O169" s="535"/>
      <c r="P169" s="535"/>
      <c r="Q169" s="535"/>
      <c r="R169" s="535"/>
      <c r="S169" s="535"/>
      <c r="T169" s="535"/>
      <c r="U169" s="535"/>
      <c r="V169" s="535"/>
      <c r="W169" s="535"/>
      <c r="X169" s="535"/>
      <c r="Y169" s="376"/>
      <c r="Z169" s="11"/>
      <c r="AA169" s="205"/>
      <c r="AB169" s="347"/>
    </row>
    <row r="170" spans="1:31" ht="16.5" thickBot="1" x14ac:dyDescent="0.25">
      <c r="A170" s="486"/>
      <c r="B170" s="2"/>
      <c r="C170" s="10"/>
      <c r="D170" s="10" t="s">
        <v>2264</v>
      </c>
      <c r="E170" s="477"/>
      <c r="F170" s="477"/>
      <c r="G170" s="477"/>
      <c r="H170" s="477"/>
      <c r="I170" s="477"/>
      <c r="J170" s="477"/>
      <c r="K170" s="477"/>
      <c r="L170" s="2"/>
      <c r="M170" s="376"/>
      <c r="N170" s="2118">
        <f>ROUND(+W170-Q170-T170,0)</f>
        <v>0</v>
      </c>
      <c r="O170" s="2119"/>
      <c r="P170" s="523"/>
      <c r="Q170" s="2118">
        <f>ROUND(+('Part 2'!$J$58+('Part 2'!$J$58*7/466))*-1*$Q$92,0)</f>
        <v>0</v>
      </c>
      <c r="R170" s="2119"/>
      <c r="S170" s="523"/>
      <c r="T170" s="2118">
        <f>ROUND(+('Part 2'!$J$58+('Part 2'!$J$58*7/466))*-1*$T$92,0)</f>
        <v>0</v>
      </c>
      <c r="U170" s="2119"/>
      <c r="V170" s="523"/>
      <c r="W170" s="2118">
        <f>ROUND(((ROUND(+('Part 2'!$J$58+('Part 2'!$J$58*7/466))*VLOOKUP('Part 1'!$L$17,TierSplit!$A$6:$J$332,10,FALSE),0)*-1)+(ROUND(+('Part 2'!N58+('Part 2'!N58*7/466)),0)*-1)), 0)</f>
        <v>0</v>
      </c>
      <c r="X170" s="2119"/>
      <c r="Y170" s="376"/>
      <c r="Z170" s="125"/>
      <c r="AB170" s="347">
        <f>+IF(N170+Q170+T170-W170=0,0,1)</f>
        <v>0</v>
      </c>
    </row>
    <row r="171" spans="1:31" x14ac:dyDescent="0.2">
      <c r="A171" s="486"/>
      <c r="B171" s="2"/>
      <c r="C171" s="10"/>
      <c r="D171" s="10"/>
      <c r="E171" s="477"/>
      <c r="F171" s="477"/>
      <c r="G171" s="477"/>
      <c r="H171" s="477"/>
      <c r="I171" s="477"/>
      <c r="J171" s="477"/>
      <c r="K171" s="477"/>
      <c r="L171" s="2"/>
      <c r="M171" s="376"/>
      <c r="N171" s="535"/>
      <c r="O171" s="535"/>
      <c r="P171" s="535"/>
      <c r="Q171" s="535"/>
      <c r="R171" s="535"/>
      <c r="S171" s="535"/>
      <c r="T171" s="535"/>
      <c r="U171" s="535"/>
      <c r="V171" s="535"/>
      <c r="W171" s="535"/>
      <c r="X171" s="535"/>
      <c r="Y171" s="376"/>
      <c r="Z171" s="11"/>
      <c r="AA171" s="205"/>
      <c r="AB171" s="347"/>
    </row>
    <row r="172" spans="1:31" ht="16.5" thickBot="1" x14ac:dyDescent="0.3">
      <c r="A172" s="486"/>
      <c r="B172" s="2"/>
      <c r="C172" s="13" t="s">
        <v>593</v>
      </c>
      <c r="D172" s="10"/>
      <c r="E172" s="477"/>
      <c r="F172" s="477"/>
      <c r="G172" s="477"/>
      <c r="H172" s="477"/>
      <c r="I172" s="477"/>
      <c r="J172" s="477"/>
      <c r="K172" s="477"/>
      <c r="L172" s="2"/>
      <c r="M172" s="376"/>
      <c r="N172" s="535"/>
      <c r="O172" s="535"/>
      <c r="P172" s="535"/>
      <c r="Q172" s="535"/>
      <c r="R172" s="535"/>
      <c r="S172" s="535"/>
      <c r="T172" s="535"/>
      <c r="U172" s="535"/>
      <c r="V172" s="535"/>
      <c r="W172" s="535"/>
      <c r="X172" s="535"/>
      <c r="Y172" s="376"/>
      <c r="Z172" s="11"/>
      <c r="AB172" s="347"/>
    </row>
    <row r="173" spans="1:31" ht="16.5" thickBot="1" x14ac:dyDescent="0.25">
      <c r="A173" s="486"/>
      <c r="B173" s="2"/>
      <c r="C173" s="10"/>
      <c r="D173" s="10" t="s">
        <v>2265</v>
      </c>
      <c r="E173" s="477"/>
      <c r="F173" s="477"/>
      <c r="G173" s="477"/>
      <c r="H173" s="477"/>
      <c r="I173" s="477"/>
      <c r="J173" s="477"/>
      <c r="K173" s="477"/>
      <c r="L173" s="2"/>
      <c r="M173" s="376"/>
      <c r="N173" s="2118">
        <f>ROUND(+W173-Q173-T173,0)</f>
        <v>0</v>
      </c>
      <c r="O173" s="2119"/>
      <c r="P173" s="523"/>
      <c r="Q173" s="2118">
        <f>ROUND(+('Part 2'!$J$153+('Part 2'!$J$153*7/466))*-1*$Q$92,0)</f>
        <v>0</v>
      </c>
      <c r="R173" s="2119"/>
      <c r="S173" s="523"/>
      <c r="T173" s="2118">
        <f>ROUND(+('Part 2'!$J$153+('Part 2'!$J$153*7/466))*-1*$T$92,0)</f>
        <v>0</v>
      </c>
      <c r="U173" s="2119"/>
      <c r="V173" s="523"/>
      <c r="W173" s="2118">
        <f>ROUND(((ROUND(+('Part 2'!$J$153+('Part 2'!$J$153*7/466))*VLOOKUP('Part 1'!$L$17,TierSplit!$A$6:$J$332,10,FALSE),0)*-1)+(ROUND(+('Part 2'!N153+('Part 2'!N153*7/466)),0)*-1)), 0)</f>
        <v>0</v>
      </c>
      <c r="X173" s="2119"/>
      <c r="Y173" s="376"/>
      <c r="Z173" s="125"/>
      <c r="AB173" s="347">
        <f>+IF(N173+Q173+T173-W173=0,0,1)</f>
        <v>0</v>
      </c>
      <c r="AC173" s="476"/>
      <c r="AD173" s="476"/>
    </row>
    <row r="174" spans="1:31" x14ac:dyDescent="0.2">
      <c r="A174" s="486"/>
      <c r="B174" s="2"/>
      <c r="C174" s="10"/>
      <c r="D174" s="10"/>
      <c r="E174" s="477"/>
      <c r="F174" s="477"/>
      <c r="G174" s="477"/>
      <c r="H174" s="477"/>
      <c r="I174" s="477"/>
      <c r="J174" s="477"/>
      <c r="K174" s="477"/>
      <c r="L174" s="2"/>
      <c r="M174" s="376"/>
      <c r="N174" s="535"/>
      <c r="O174" s="535"/>
      <c r="P174" s="535"/>
      <c r="Q174" s="535"/>
      <c r="R174" s="535"/>
      <c r="S174" s="535"/>
      <c r="T174" s="535"/>
      <c r="U174" s="535"/>
      <c r="V174" s="535"/>
      <c r="W174" s="535"/>
      <c r="X174" s="535"/>
      <c r="Y174" s="376"/>
      <c r="Z174" s="11"/>
      <c r="AA174" s="204"/>
      <c r="AB174" s="347"/>
    </row>
    <row r="175" spans="1:31" ht="16.5" thickBot="1" x14ac:dyDescent="0.3">
      <c r="A175" s="486"/>
      <c r="B175" s="2"/>
      <c r="C175" s="13" t="s">
        <v>594</v>
      </c>
      <c r="D175" s="10"/>
      <c r="E175" s="477"/>
      <c r="F175" s="477"/>
      <c r="G175" s="477"/>
      <c r="H175" s="477"/>
      <c r="I175" s="477"/>
      <c r="J175" s="477"/>
      <c r="K175" s="477"/>
      <c r="L175" s="2"/>
      <c r="M175" s="376"/>
      <c r="N175" s="535"/>
      <c r="O175" s="535"/>
      <c r="P175" s="535"/>
      <c r="Q175" s="535"/>
      <c r="R175" s="535"/>
      <c r="S175" s="535"/>
      <c r="T175" s="535"/>
      <c r="U175" s="535"/>
      <c r="V175" s="535"/>
      <c r="W175" s="535"/>
      <c r="X175" s="535"/>
      <c r="Y175" s="376"/>
      <c r="Z175" s="11"/>
      <c r="AB175" s="347"/>
    </row>
    <row r="176" spans="1:31" ht="16.5" thickBot="1" x14ac:dyDescent="0.25">
      <c r="A176" s="486"/>
      <c r="B176" s="2"/>
      <c r="C176" s="10"/>
      <c r="D176" s="10" t="s">
        <v>2266</v>
      </c>
      <c r="E176" s="477"/>
      <c r="F176" s="477"/>
      <c r="G176" s="477"/>
      <c r="H176" s="477"/>
      <c r="I176" s="477"/>
      <c r="J176" s="477"/>
      <c r="K176" s="477"/>
      <c r="L176" s="2"/>
      <c r="M176" s="376"/>
      <c r="N176" s="2118">
        <f>ROUND(+W176-Q176-T176,0)</f>
        <v>0</v>
      </c>
      <c r="O176" s="2119"/>
      <c r="P176" s="523"/>
      <c r="Q176" s="2118">
        <f>ROUND(+('Part 2'!$J$156+('Part 2'!$J$156*7/466))*-1*$Q$92,0)</f>
        <v>0</v>
      </c>
      <c r="R176" s="2119"/>
      <c r="S176" s="523"/>
      <c r="T176" s="2118">
        <f>ROUND(+('Part 2'!$J$156+('Part 2'!$J$156*7/466))*-1*$T$92,0)</f>
        <v>0</v>
      </c>
      <c r="U176" s="2119"/>
      <c r="V176" s="523"/>
      <c r="W176" s="2118">
        <f>ROUND(((ROUND(+('Part 2'!$J$156+('Part 2'!$J$156*7/466))*VLOOKUP('Part 1'!$L$17,TierSplit!$A$6:$J$332,10,FALSE),0)*-1)+(ROUND(+('Part 2'!N156+('Part 2'!N156*7/466)),0)*-1)), 0)</f>
        <v>0</v>
      </c>
      <c r="X176" s="2119"/>
      <c r="Y176" s="376"/>
      <c r="Z176" s="125"/>
      <c r="AB176" s="347">
        <f>+IF(N176+Q176+T176-W176=0,0,1)</f>
        <v>0</v>
      </c>
    </row>
    <row r="177" spans="1:28" x14ac:dyDescent="0.2">
      <c r="A177" s="486"/>
      <c r="B177" s="2"/>
      <c r="C177" s="10"/>
      <c r="D177" s="10"/>
      <c r="E177" s="10"/>
      <c r="F177" s="10"/>
      <c r="G177" s="10"/>
      <c r="H177" s="10"/>
      <c r="I177" s="10"/>
      <c r="J177" s="10"/>
      <c r="K177" s="10"/>
      <c r="L177" s="2"/>
      <c r="M177" s="376"/>
      <c r="N177" s="535"/>
      <c r="O177" s="535"/>
      <c r="P177" s="535"/>
      <c r="Q177" s="535"/>
      <c r="R177" s="535"/>
      <c r="S177" s="535"/>
      <c r="T177" s="535"/>
      <c r="U177" s="535"/>
      <c r="V177" s="535"/>
      <c r="W177" s="535"/>
      <c r="X177" s="535"/>
      <c r="Y177" s="376"/>
      <c r="Z177" s="11"/>
      <c r="AA177" s="204"/>
      <c r="AB177" s="347"/>
    </row>
    <row r="178" spans="1:28" ht="16.5" thickBot="1" x14ac:dyDescent="0.3">
      <c r="A178" s="486"/>
      <c r="B178" s="2"/>
      <c r="C178" s="13" t="s">
        <v>2302</v>
      </c>
      <c r="D178" s="10"/>
      <c r="E178" s="477"/>
      <c r="F178" s="477"/>
      <c r="G178" s="477"/>
      <c r="H178" s="477"/>
      <c r="I178" s="477"/>
      <c r="J178" s="477"/>
      <c r="K178" s="477"/>
      <c r="L178" s="2"/>
      <c r="M178" s="376"/>
      <c r="N178" s="535"/>
      <c r="O178" s="535"/>
      <c r="P178" s="535"/>
      <c r="Q178" s="535"/>
      <c r="R178" s="535"/>
      <c r="S178" s="535"/>
      <c r="T178" s="535"/>
      <c r="U178" s="535"/>
      <c r="V178" s="535"/>
      <c r="W178" s="535"/>
      <c r="X178" s="535"/>
      <c r="Y178" s="376"/>
      <c r="Z178" s="11"/>
      <c r="AB178" s="347"/>
    </row>
    <row r="179" spans="1:28" ht="16.5" thickBot="1" x14ac:dyDescent="0.25">
      <c r="A179" s="486"/>
      <c r="B179" s="2"/>
      <c r="C179" s="10"/>
      <c r="D179" s="10" t="s">
        <v>2307</v>
      </c>
      <c r="E179" s="477"/>
      <c r="F179" s="477"/>
      <c r="G179" s="477"/>
      <c r="H179" s="477"/>
      <c r="I179" s="477"/>
      <c r="J179" s="477"/>
      <c r="K179" s="477"/>
      <c r="L179" s="2"/>
      <c r="M179" s="376"/>
      <c r="N179" s="2118">
        <f>ROUND(+W179-Q179-T179,0)</f>
        <v>0</v>
      </c>
      <c r="O179" s="2119"/>
      <c r="P179" s="523"/>
      <c r="Q179" s="2118">
        <f>ROUND(+('Part 2'!$J$159+('Part 2'!$J$159*7/466))*-1*$Q$92,0)</f>
        <v>0</v>
      </c>
      <c r="R179" s="2119"/>
      <c r="S179" s="523"/>
      <c r="T179" s="2118">
        <f>ROUND(+('Part 2'!$J$159+('Part 2'!$J$159*7/466))*-1*$T$92,0)</f>
        <v>0</v>
      </c>
      <c r="U179" s="2119"/>
      <c r="V179" s="523"/>
      <c r="W179" s="2118">
        <f>ROUND(((ROUND(+('Part 2'!$J$159+('Part 2'!$J$159*7/466))*VLOOKUP('Part 1'!$L$17,TierSplit!$A$6:$J$332,10,FALSE),0)*-1)+(ROUND(+('Part 2'!N159+('Part 2'!N159*7/466)),0)*-1)), 0)</f>
        <v>0</v>
      </c>
      <c r="X179" s="2119"/>
      <c r="Y179" s="376"/>
      <c r="Z179" s="125"/>
      <c r="AB179" s="347">
        <f>+IF(N179+Q179+T179-W179=0,0,1)</f>
        <v>0</v>
      </c>
    </row>
    <row r="180" spans="1:28" x14ac:dyDescent="0.2">
      <c r="A180" s="486"/>
      <c r="B180" s="2"/>
      <c r="C180" s="10"/>
      <c r="D180" s="10"/>
      <c r="E180" s="10"/>
      <c r="F180" s="10"/>
      <c r="G180" s="10"/>
      <c r="H180" s="10"/>
      <c r="I180" s="10"/>
      <c r="J180" s="10"/>
      <c r="K180" s="10"/>
      <c r="L180" s="2"/>
      <c r="M180" s="376"/>
      <c r="N180" s="535"/>
      <c r="O180" s="535"/>
      <c r="P180" s="535"/>
      <c r="Q180" s="535"/>
      <c r="R180" s="535"/>
      <c r="S180" s="535"/>
      <c r="T180" s="535"/>
      <c r="U180" s="535"/>
      <c r="V180" s="535"/>
      <c r="W180" s="535"/>
      <c r="X180" s="535"/>
      <c r="Y180" s="376"/>
      <c r="Z180" s="11"/>
      <c r="AA180" s="204"/>
      <c r="AB180" s="347"/>
    </row>
    <row r="181" spans="1:28" ht="16.5" thickBot="1" x14ac:dyDescent="0.3">
      <c r="A181" s="486"/>
      <c r="B181" s="2"/>
      <c r="C181" s="13" t="s">
        <v>2367</v>
      </c>
      <c r="D181" s="10"/>
      <c r="E181" s="10"/>
      <c r="F181" s="10"/>
      <c r="G181" s="10"/>
      <c r="H181" s="10"/>
      <c r="I181" s="10"/>
      <c r="J181" s="10"/>
      <c r="K181" s="10"/>
      <c r="L181" s="668"/>
      <c r="M181" s="669"/>
      <c r="N181" s="674"/>
      <c r="O181" s="674"/>
      <c r="P181" s="674"/>
      <c r="Q181" s="674"/>
      <c r="R181" s="674"/>
      <c r="S181" s="674"/>
      <c r="T181" s="674"/>
      <c r="U181" s="674"/>
      <c r="V181" s="674"/>
      <c r="W181" s="674"/>
      <c r="X181" s="674"/>
      <c r="Y181" s="376"/>
      <c r="Z181" s="11"/>
      <c r="AB181" s="347"/>
    </row>
    <row r="182" spans="1:28" ht="16.5" thickBot="1" x14ac:dyDescent="0.25">
      <c r="A182" s="486"/>
      <c r="B182" s="2"/>
      <c r="C182" s="10"/>
      <c r="D182" s="10" t="s">
        <v>2368</v>
      </c>
      <c r="E182" s="477"/>
      <c r="F182" s="477"/>
      <c r="G182" s="477"/>
      <c r="H182" s="477"/>
      <c r="I182" s="477"/>
      <c r="J182" s="477"/>
      <c r="K182" s="477"/>
      <c r="L182" s="668"/>
      <c r="M182" s="669"/>
      <c r="N182" s="2118">
        <f>ROUND(+W182-Q182-T182,0)</f>
        <v>0</v>
      </c>
      <c r="O182" s="2119"/>
      <c r="P182" s="523"/>
      <c r="Q182" s="2118">
        <f>ROUND(+('Part 2'!$J$162+('Part 2'!$J$162*7/466))*-1*$Q$92,0)</f>
        <v>0</v>
      </c>
      <c r="R182" s="2119"/>
      <c r="S182" s="523"/>
      <c r="T182" s="2118">
        <f>ROUND(+('Part 2'!$J$162+('Part 2'!$J$162*7/466))*-1*$T$92,0)</f>
        <v>0</v>
      </c>
      <c r="U182" s="2119"/>
      <c r="V182" s="523"/>
      <c r="W182" s="2118">
        <f>ROUND(((ROUND(+('Part 2'!$J$162+('Part 2'!$J$162*7/466))*VLOOKUP('Part 1'!$L$17,TierSplit!$A$6:$J$332,10,FALSE),0)*-1)+(ROUND(+('Part 2'!N162+('Part 2'!N162*7/466)),0)*-1)), 0)</f>
        <v>0</v>
      </c>
      <c r="X182" s="2119"/>
      <c r="Y182" s="376"/>
      <c r="Z182" s="125"/>
      <c r="AB182" s="347">
        <f>+IF(N182+Q182+T182-W182=0,0,1)</f>
        <v>0</v>
      </c>
    </row>
    <row r="183" spans="1:28" ht="15.75" x14ac:dyDescent="0.2">
      <c r="A183" s="486"/>
      <c r="B183" s="2"/>
      <c r="C183" s="10"/>
      <c r="D183" s="10"/>
      <c r="E183" s="477"/>
      <c r="F183" s="477"/>
      <c r="G183" s="477"/>
      <c r="H183" s="477"/>
      <c r="I183" s="477"/>
      <c r="J183" s="477"/>
      <c r="K183" s="477"/>
      <c r="L183" s="668"/>
      <c r="M183" s="669"/>
      <c r="N183" s="526"/>
      <c r="O183" s="526"/>
      <c r="P183" s="523"/>
      <c r="Q183" s="526"/>
      <c r="R183" s="526"/>
      <c r="S183" s="523"/>
      <c r="T183" s="526"/>
      <c r="U183" s="526"/>
      <c r="V183" s="523"/>
      <c r="W183" s="526"/>
      <c r="X183" s="526"/>
      <c r="Y183" s="376"/>
      <c r="Z183" s="125"/>
      <c r="AB183" s="347"/>
    </row>
    <row r="184" spans="1:28" ht="16.5" thickBot="1" x14ac:dyDescent="0.3">
      <c r="A184" s="486"/>
      <c r="B184" s="2"/>
      <c r="C184" s="13" t="s">
        <v>2280</v>
      </c>
      <c r="D184" s="10"/>
      <c r="E184" s="477"/>
      <c r="F184" s="477"/>
      <c r="G184" s="477"/>
      <c r="H184" s="477"/>
      <c r="I184" s="477"/>
      <c r="J184" s="477"/>
      <c r="K184" s="477"/>
      <c r="L184" s="668"/>
      <c r="M184" s="669"/>
      <c r="N184" s="526"/>
      <c r="O184" s="526"/>
      <c r="P184" s="523"/>
      <c r="Q184" s="526"/>
      <c r="R184" s="526"/>
      <c r="S184" s="523"/>
      <c r="T184" s="526"/>
      <c r="U184" s="526"/>
      <c r="V184" s="523"/>
      <c r="W184" s="526"/>
      <c r="X184" s="526"/>
      <c r="Y184" s="376"/>
      <c r="Z184" s="125"/>
      <c r="AB184" s="347"/>
    </row>
    <row r="185" spans="1:28" ht="16.5" thickBot="1" x14ac:dyDescent="0.3">
      <c r="A185" s="486"/>
      <c r="B185" s="2"/>
      <c r="C185" s="10"/>
      <c r="D185" s="10" t="s">
        <v>2304</v>
      </c>
      <c r="E185" s="477"/>
      <c r="F185" s="477"/>
      <c r="G185" s="477"/>
      <c r="H185" s="477"/>
      <c r="I185" s="477"/>
      <c r="J185" s="477"/>
      <c r="K185" s="477"/>
      <c r="L185" s="668"/>
      <c r="M185" s="669"/>
      <c r="N185" s="2130">
        <f>W185-T185-Q185</f>
        <v>0</v>
      </c>
      <c r="O185" s="2131"/>
      <c r="P185" s="523"/>
      <c r="Q185" s="2132">
        <f>IF(VLOOKUP('Part 1'!$L17,TierSplit!$A$6:$AG$332,10,FALSE)=1,'Part 3'!$G49*'Part 1'!Q92,0)</f>
        <v>0</v>
      </c>
      <c r="R185" s="2133"/>
      <c r="S185" s="523"/>
      <c r="T185" s="2132">
        <f>IF(VLOOKUP('Part 1'!$L17,TierSplit!$A$6:$AG$332,10,FALSE)=1,'Part 3'!G49*'Part 1'!T92,0)</f>
        <v>0</v>
      </c>
      <c r="U185" s="2133"/>
      <c r="V185" s="523"/>
      <c r="W185" s="2130">
        <f>IF(VLOOKUP('Part 1'!$L17,TierSplit!$A$6:$AG$332,10,FALSE)=1,'Part 3'!G49+'Part 3'!K49,0)</f>
        <v>0</v>
      </c>
      <c r="X185" s="2131"/>
      <c r="Y185" s="376"/>
      <c r="Z185" s="125"/>
      <c r="AB185" s="347">
        <f>+IF(N185+Q185+T185-W185=0,0,1)</f>
        <v>0</v>
      </c>
    </row>
    <row r="186" spans="1:28" ht="15.75" thickBot="1" x14ac:dyDescent="0.25">
      <c r="A186" s="486"/>
      <c r="B186" s="2"/>
      <c r="C186" s="2"/>
      <c r="D186" s="2"/>
      <c r="E186" s="2"/>
      <c r="F186" s="2"/>
      <c r="G186" s="2"/>
      <c r="H186" s="2"/>
      <c r="I186" s="2"/>
      <c r="J186" s="2"/>
      <c r="K186" s="2"/>
      <c r="L186" s="2"/>
      <c r="M186" s="376"/>
      <c r="N186" s="376"/>
      <c r="O186" s="376"/>
      <c r="P186" s="376"/>
      <c r="Q186" s="376"/>
      <c r="R186" s="376"/>
      <c r="S186" s="376"/>
      <c r="T186" s="376"/>
      <c r="U186" s="376"/>
      <c r="V186" s="376"/>
      <c r="W186" s="376"/>
      <c r="X186" s="376"/>
      <c r="Y186" s="376"/>
      <c r="Z186" s="11"/>
      <c r="AB186" s="347"/>
    </row>
    <row r="187" spans="1:28" x14ac:dyDescent="0.2">
      <c r="A187" s="479"/>
      <c r="B187" s="17"/>
      <c r="C187" s="18"/>
      <c r="D187" s="18"/>
      <c r="E187" s="18"/>
      <c r="F187" s="18"/>
      <c r="G187" s="18"/>
      <c r="H187" s="18"/>
      <c r="I187" s="18"/>
      <c r="J187" s="18"/>
      <c r="K187" s="157"/>
      <c r="L187" s="157"/>
      <c r="M187" s="527"/>
      <c r="N187" s="527"/>
      <c r="O187" s="527"/>
      <c r="P187" s="527"/>
      <c r="Q187" s="527"/>
      <c r="R187" s="527"/>
      <c r="S187" s="527"/>
      <c r="T187" s="527"/>
      <c r="U187" s="527"/>
      <c r="V187" s="527"/>
      <c r="W187" s="527"/>
      <c r="X187" s="527"/>
      <c r="Y187" s="528"/>
      <c r="Z187" s="11"/>
      <c r="AB187" s="347"/>
    </row>
    <row r="188" spans="1:28" ht="16.5" thickBot="1" x14ac:dyDescent="0.3">
      <c r="A188" s="479"/>
      <c r="B188" s="19"/>
      <c r="C188" s="20" t="s">
        <v>808</v>
      </c>
      <c r="D188" s="8"/>
      <c r="E188" s="8"/>
      <c r="F188" s="8"/>
      <c r="G188" s="8"/>
      <c r="H188" s="8"/>
      <c r="I188" s="8"/>
      <c r="J188" s="8"/>
      <c r="K188" s="8"/>
      <c r="L188" s="8"/>
      <c r="M188" s="523"/>
      <c r="N188" s="2049" t="s">
        <v>786</v>
      </c>
      <c r="O188" s="2049"/>
      <c r="P188" s="523"/>
      <c r="Q188" s="2049" t="s">
        <v>786</v>
      </c>
      <c r="R188" s="2049"/>
      <c r="S188" s="523"/>
      <c r="T188" s="2049" t="s">
        <v>786</v>
      </c>
      <c r="U188" s="2049"/>
      <c r="V188" s="523"/>
      <c r="W188" s="2049" t="s">
        <v>786</v>
      </c>
      <c r="X188" s="2049"/>
      <c r="Y188" s="529"/>
      <c r="Z188" s="11"/>
      <c r="AB188" s="347"/>
    </row>
    <row r="189" spans="1:28" ht="16.5" thickBot="1" x14ac:dyDescent="0.25">
      <c r="A189" s="479"/>
      <c r="B189" s="19"/>
      <c r="C189" s="8" t="s">
        <v>2305</v>
      </c>
      <c r="D189" s="8"/>
      <c r="E189" s="8"/>
      <c r="F189" s="8"/>
      <c r="G189" s="8"/>
      <c r="H189" s="8"/>
      <c r="I189" s="8"/>
      <c r="J189" s="8"/>
      <c r="K189" s="203"/>
      <c r="L189" s="203"/>
      <c r="M189" s="523"/>
      <c r="N189" s="2118" t="e">
        <f>+N165+N168+N170+N173+N176+N179+N182+N185</f>
        <v>#N/A</v>
      </c>
      <c r="O189" s="2119"/>
      <c r="P189" s="523"/>
      <c r="Q189" s="2118" t="e">
        <f>+Q165+Q168+Q170+Q173+Q176+Q179+Q182+Q185</f>
        <v>#N/A</v>
      </c>
      <c r="R189" s="2119"/>
      <c r="S189" s="523"/>
      <c r="T189" s="2118" t="e">
        <f>+T165+T168+T170+T173+T176+T179+T182+T185</f>
        <v>#N/A</v>
      </c>
      <c r="U189" s="2119"/>
      <c r="V189" s="523"/>
      <c r="W189" s="2118" t="e">
        <f>+W165+W168+W170+W173+W176+W179+W182+W185</f>
        <v>#N/A</v>
      </c>
      <c r="X189" s="2119"/>
      <c r="Y189" s="529"/>
      <c r="Z189" s="125"/>
      <c r="AB189" s="348" t="e">
        <f>+IF(N189+Q189+T189-W189=0,0,1)</f>
        <v>#N/A</v>
      </c>
    </row>
    <row r="190" spans="1:28" ht="15.75" thickBot="1" x14ac:dyDescent="0.25">
      <c r="A190" s="479"/>
      <c r="B190" s="21"/>
      <c r="C190" s="22"/>
      <c r="D190" s="22"/>
      <c r="E190" s="22"/>
      <c r="F190" s="22"/>
      <c r="G190" s="22"/>
      <c r="H190" s="22"/>
      <c r="I190" s="22"/>
      <c r="J190" s="22"/>
      <c r="K190" s="22"/>
      <c r="L190" s="22"/>
      <c r="M190" s="530"/>
      <c r="N190" s="530"/>
      <c r="O190" s="530"/>
      <c r="P190" s="530"/>
      <c r="Q190" s="530"/>
      <c r="R190" s="530"/>
      <c r="S190" s="530"/>
      <c r="T190" s="530"/>
      <c r="U190" s="530"/>
      <c r="V190" s="530"/>
      <c r="W190" s="530"/>
      <c r="X190" s="530"/>
      <c r="Y190" s="531"/>
      <c r="Z190" s="11"/>
      <c r="AB190" s="171"/>
    </row>
    <row r="191" spans="1:28" x14ac:dyDescent="0.2">
      <c r="A191" s="47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1"/>
      <c r="AB191" s="171"/>
    </row>
    <row r="192" spans="1:28" ht="18.75" customHeight="1" x14ac:dyDescent="0.2">
      <c r="A192" s="479"/>
      <c r="B192" s="10"/>
      <c r="C192" s="2124" t="s">
        <v>2306</v>
      </c>
      <c r="D192" s="2125"/>
      <c r="E192" s="2125"/>
      <c r="F192" s="2125"/>
      <c r="G192" s="2125"/>
      <c r="H192" s="2125"/>
      <c r="I192" s="2125"/>
      <c r="J192" s="2125"/>
      <c r="K192" s="2125"/>
      <c r="L192" s="2125"/>
      <c r="M192" s="2125"/>
      <c r="N192" s="2125"/>
      <c r="O192" s="2125"/>
      <c r="P192" s="2125"/>
      <c r="Q192" s="2125"/>
      <c r="R192" s="2125"/>
      <c r="S192" s="2125"/>
      <c r="T192" s="2125"/>
      <c r="U192" s="2125"/>
      <c r="V192" s="2125"/>
      <c r="W192" s="2125"/>
      <c r="X192" s="2126"/>
      <c r="Y192" s="10"/>
      <c r="Z192" s="11"/>
      <c r="AB192" s="171"/>
    </row>
    <row r="193" spans="1:36" ht="18.75" customHeight="1" x14ac:dyDescent="0.2">
      <c r="A193" s="479"/>
      <c r="B193" s="10"/>
      <c r="C193" s="2127"/>
      <c r="D193" s="2128"/>
      <c r="E193" s="2128"/>
      <c r="F193" s="2128"/>
      <c r="G193" s="2128"/>
      <c r="H193" s="2128"/>
      <c r="I193" s="2128"/>
      <c r="J193" s="2128"/>
      <c r="K193" s="2128"/>
      <c r="L193" s="2128"/>
      <c r="M193" s="2128"/>
      <c r="N193" s="2128"/>
      <c r="O193" s="2128"/>
      <c r="P193" s="2128"/>
      <c r="Q193" s="2128"/>
      <c r="R193" s="2128"/>
      <c r="S193" s="2128"/>
      <c r="T193" s="2128"/>
      <c r="U193" s="2128"/>
      <c r="V193" s="2128"/>
      <c r="W193" s="2128"/>
      <c r="X193" s="2129"/>
      <c r="Y193" s="10"/>
      <c r="Z193" s="11"/>
      <c r="AB193" s="171"/>
    </row>
    <row r="194" spans="1:36" x14ac:dyDescent="0.2">
      <c r="A194" s="47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1"/>
      <c r="AB194" s="171"/>
    </row>
    <row r="195" spans="1:36" x14ac:dyDescent="0.2">
      <c r="A195" s="481"/>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97"/>
      <c r="AB195" s="171"/>
    </row>
    <row r="196" spans="1:36" ht="15.75" x14ac:dyDescent="0.25">
      <c r="A196" s="484"/>
      <c r="B196" s="859"/>
      <c r="C196" s="852" t="e">
        <f>+IF(B211=0,"","Please investigate the error messages shown below and make the appropriate changes to the form.  Any comments should be added at the bottom of Part 4")</f>
        <v>#N/A</v>
      </c>
      <c r="D196" s="860"/>
      <c r="E196" s="860"/>
      <c r="F196" s="860"/>
      <c r="G196" s="860"/>
      <c r="H196" s="860"/>
      <c r="I196" s="860"/>
      <c r="J196" s="860"/>
      <c r="K196" s="860"/>
      <c r="L196" s="342"/>
      <c r="M196" s="342"/>
      <c r="N196" s="342"/>
      <c r="O196" s="342"/>
      <c r="P196" s="261"/>
      <c r="Q196" s="261"/>
      <c r="R196" s="261"/>
      <c r="S196" s="261"/>
      <c r="T196" s="261"/>
      <c r="U196" s="261"/>
      <c r="V196" s="261"/>
      <c r="W196" s="261"/>
      <c r="X196" s="261"/>
      <c r="Y196" s="262"/>
      <c r="Z196" s="198"/>
      <c r="AB196" s="171"/>
    </row>
    <row r="197" spans="1:36" x14ac:dyDescent="0.2">
      <c r="A197" s="484"/>
      <c r="B197" s="861"/>
      <c r="C197" s="862"/>
      <c r="D197" s="862"/>
      <c r="E197" s="862"/>
      <c r="F197" s="862"/>
      <c r="G197" s="862"/>
      <c r="H197" s="862"/>
      <c r="I197" s="862"/>
      <c r="J197" s="862"/>
      <c r="K197" s="862"/>
      <c r="L197" s="343"/>
      <c r="M197" s="343"/>
      <c r="N197" s="343"/>
      <c r="O197" s="343"/>
      <c r="P197" s="263"/>
      <c r="Q197" s="263"/>
      <c r="R197" s="263"/>
      <c r="S197" s="263"/>
      <c r="T197" s="263"/>
      <c r="U197" s="263"/>
      <c r="V197" s="263"/>
      <c r="W197" s="263"/>
      <c r="X197" s="263"/>
      <c r="Y197" s="264"/>
      <c r="Z197" s="198"/>
      <c r="AB197" s="171"/>
    </row>
    <row r="198" spans="1:36" ht="15.75" x14ac:dyDescent="0.25">
      <c r="A198" s="483" t="e">
        <f>+IF(C198="",0,1)</f>
        <v>#N/A</v>
      </c>
      <c r="B198" s="861"/>
      <c r="C198" s="828" t="e">
        <f>IF(AB165=0,"","Line 26 column 5 doesn't equal the sum of columns 2 to 4. Please check why.")</f>
        <v>#N/A</v>
      </c>
      <c r="D198" s="828"/>
      <c r="E198" s="828"/>
      <c r="F198" s="828"/>
      <c r="G198" s="828"/>
      <c r="H198" s="828"/>
      <c r="I198" s="828"/>
      <c r="J198" s="828"/>
      <c r="K198" s="828"/>
      <c r="L198" s="343"/>
      <c r="M198" s="343"/>
      <c r="N198" s="343"/>
      <c r="O198" s="343"/>
      <c r="P198" s="263"/>
      <c r="Q198" s="263"/>
      <c r="R198" s="263"/>
      <c r="S198" s="263"/>
      <c r="T198" s="263"/>
      <c r="U198" s="263"/>
      <c r="V198" s="263"/>
      <c r="W198" s="263"/>
      <c r="X198" s="263"/>
      <c r="Y198" s="264"/>
      <c r="Z198" s="198"/>
      <c r="AB198" s="171"/>
    </row>
    <row r="199" spans="1:36" ht="15.75" x14ac:dyDescent="0.25">
      <c r="A199" s="483"/>
      <c r="B199" s="861"/>
      <c r="C199" s="2114"/>
      <c r="D199" s="2114"/>
      <c r="E199" s="2114"/>
      <c r="F199" s="2114"/>
      <c r="G199" s="2114"/>
      <c r="H199" s="2114"/>
      <c r="I199" s="2114"/>
      <c r="J199" s="2114"/>
      <c r="K199" s="2114"/>
      <c r="L199" s="343"/>
      <c r="M199" s="343"/>
      <c r="N199" s="343"/>
      <c r="O199" s="343"/>
      <c r="P199" s="263"/>
      <c r="Q199" s="263"/>
      <c r="R199" s="263"/>
      <c r="S199" s="263"/>
      <c r="T199" s="263"/>
      <c r="U199" s="263"/>
      <c r="V199" s="263"/>
      <c r="W199" s="263"/>
      <c r="X199" s="263"/>
      <c r="Y199" s="264"/>
      <c r="Z199" s="198"/>
      <c r="AB199" s="171"/>
    </row>
    <row r="200" spans="1:36" ht="15.75" x14ac:dyDescent="0.25">
      <c r="A200" s="483">
        <f>+IF(C200="",0,1)</f>
        <v>0</v>
      </c>
      <c r="B200" s="861"/>
      <c r="C200" s="828" t="str">
        <f>IF(AB168=0,"","Line 27 column 5 doesn't equal the sum of columns 2 to 4. Please check why.")</f>
        <v/>
      </c>
      <c r="D200" s="828"/>
      <c r="E200" s="828"/>
      <c r="F200" s="828"/>
      <c r="G200" s="828"/>
      <c r="H200" s="828"/>
      <c r="I200" s="828"/>
      <c r="J200" s="828"/>
      <c r="K200" s="828"/>
      <c r="L200" s="343"/>
      <c r="M200" s="343"/>
      <c r="N200" s="343"/>
      <c r="O200" s="343"/>
      <c r="P200" s="263"/>
      <c r="Q200" s="263"/>
      <c r="R200" s="263"/>
      <c r="S200" s="263"/>
      <c r="T200" s="263"/>
      <c r="U200" s="263"/>
      <c r="V200" s="263"/>
      <c r="W200" s="263"/>
      <c r="X200" s="263"/>
      <c r="Y200" s="264"/>
      <c r="Z200" s="198"/>
      <c r="AB200" s="171"/>
    </row>
    <row r="201" spans="1:36" ht="15.75" x14ac:dyDescent="0.25">
      <c r="A201" s="483"/>
      <c r="B201" s="861"/>
      <c r="C201" s="2114"/>
      <c r="D201" s="2114"/>
      <c r="E201" s="2114"/>
      <c r="F201" s="2114"/>
      <c r="G201" s="2114"/>
      <c r="H201" s="2114"/>
      <c r="I201" s="2114"/>
      <c r="J201" s="2114"/>
      <c r="K201" s="2114"/>
      <c r="L201" s="343"/>
      <c r="M201" s="343"/>
      <c r="N201" s="343"/>
      <c r="O201" s="343"/>
      <c r="P201" s="263"/>
      <c r="Q201" s="263"/>
      <c r="R201" s="263"/>
      <c r="S201" s="263"/>
      <c r="T201" s="263"/>
      <c r="U201" s="263"/>
      <c r="V201" s="263"/>
      <c r="W201" s="263"/>
      <c r="X201" s="263"/>
      <c r="Y201" s="264"/>
      <c r="Z201" s="198"/>
      <c r="AB201" s="171"/>
    </row>
    <row r="202" spans="1:36" ht="15.75" x14ac:dyDescent="0.25">
      <c r="A202" s="483">
        <f>+IF(C202="",0,1)</f>
        <v>0</v>
      </c>
      <c r="B202" s="861"/>
      <c r="C202" s="828" t="str">
        <f>IF(AB170=0,"","Line 28 column 5 doesn't equal the sum of columns 2 to 4. Please check why.")</f>
        <v/>
      </c>
      <c r="D202" s="828"/>
      <c r="E202" s="828"/>
      <c r="F202" s="828"/>
      <c r="G202" s="828"/>
      <c r="H202" s="828"/>
      <c r="I202" s="828"/>
      <c r="J202" s="828"/>
      <c r="K202" s="828"/>
      <c r="L202" s="343"/>
      <c r="M202" s="343"/>
      <c r="N202" s="343"/>
      <c r="O202" s="343"/>
      <c r="P202" s="263"/>
      <c r="Q202" s="263"/>
      <c r="R202" s="263"/>
      <c r="S202" s="263"/>
      <c r="T202" s="263"/>
      <c r="U202" s="263"/>
      <c r="V202" s="263"/>
      <c r="W202" s="263"/>
      <c r="X202" s="263"/>
      <c r="Y202" s="264"/>
      <c r="Z202" s="198"/>
      <c r="AB202" s="171"/>
    </row>
    <row r="203" spans="1:36" ht="15.75" x14ac:dyDescent="0.25">
      <c r="A203" s="483"/>
      <c r="B203" s="861"/>
      <c r="C203" s="828"/>
      <c r="D203" s="828"/>
      <c r="E203" s="828"/>
      <c r="F203" s="828"/>
      <c r="G203" s="828"/>
      <c r="H203" s="828"/>
      <c r="I203" s="828"/>
      <c r="J203" s="828"/>
      <c r="K203" s="828"/>
      <c r="L203" s="343"/>
      <c r="M203" s="343"/>
      <c r="N203" s="343"/>
      <c r="O203" s="343"/>
      <c r="P203" s="263"/>
      <c r="Q203" s="263"/>
      <c r="R203" s="263"/>
      <c r="S203" s="263"/>
      <c r="T203" s="263"/>
      <c r="U203" s="263"/>
      <c r="V203" s="263"/>
      <c r="W203" s="263"/>
      <c r="X203" s="263"/>
      <c r="Y203" s="264"/>
      <c r="Z203" s="198"/>
      <c r="AB203" s="171"/>
    </row>
    <row r="204" spans="1:36" ht="15.75" x14ac:dyDescent="0.25">
      <c r="A204" s="483">
        <f>+IF(C204="",0,1)</f>
        <v>0</v>
      </c>
      <c r="B204" s="861"/>
      <c r="C204" s="828" t="str">
        <f>IF(AB173=0,"","Line 29 column 5 doesn't equal the sum of columns 2 to 4. Please check why.")</f>
        <v/>
      </c>
      <c r="D204" s="828"/>
      <c r="E204" s="828"/>
      <c r="F204" s="828"/>
      <c r="G204" s="828"/>
      <c r="H204" s="828"/>
      <c r="I204" s="828"/>
      <c r="J204" s="828"/>
      <c r="K204" s="828"/>
      <c r="L204" s="343"/>
      <c r="M204" s="343"/>
      <c r="N204" s="343"/>
      <c r="O204" s="343"/>
      <c r="P204" s="263"/>
      <c r="Q204" s="263"/>
      <c r="R204" s="263"/>
      <c r="S204" s="263"/>
      <c r="T204" s="263"/>
      <c r="U204" s="263"/>
      <c r="V204" s="263"/>
      <c r="W204" s="263"/>
      <c r="X204" s="263"/>
      <c r="Y204" s="264"/>
      <c r="Z204" s="198"/>
      <c r="AB204" s="171"/>
    </row>
    <row r="205" spans="1:36" ht="15.75" x14ac:dyDescent="0.25">
      <c r="A205" s="483"/>
      <c r="B205" s="861"/>
      <c r="C205" s="2114"/>
      <c r="D205" s="2114"/>
      <c r="E205" s="2114"/>
      <c r="F205" s="2114"/>
      <c r="G205" s="2114"/>
      <c r="H205" s="2114"/>
      <c r="I205" s="2114"/>
      <c r="J205" s="2114"/>
      <c r="K205" s="2114"/>
      <c r="L205" s="343"/>
      <c r="M205" s="343"/>
      <c r="N205" s="343"/>
      <c r="O205" s="343"/>
      <c r="P205" s="263"/>
      <c r="Q205" s="263"/>
      <c r="R205" s="263"/>
      <c r="S205" s="263"/>
      <c r="T205" s="263"/>
      <c r="U205" s="263"/>
      <c r="V205" s="263"/>
      <c r="W205" s="263"/>
      <c r="X205" s="263"/>
      <c r="Y205" s="264"/>
      <c r="Z205" s="198"/>
      <c r="AB205" s="171"/>
    </row>
    <row r="206" spans="1:36" ht="15.75" x14ac:dyDescent="0.25">
      <c r="A206" s="483">
        <f>+IF(C206="",0,1)</f>
        <v>0</v>
      </c>
      <c r="B206" s="861"/>
      <c r="C206" s="828" t="str">
        <f>IF(AB176=0,"","Line 30 column 5 doesn't equal the sum of columns 2 to 4. Please check why.")</f>
        <v/>
      </c>
      <c r="D206" s="828"/>
      <c r="E206" s="828"/>
      <c r="F206" s="828"/>
      <c r="G206" s="828"/>
      <c r="H206" s="828"/>
      <c r="I206" s="828"/>
      <c r="J206" s="828"/>
      <c r="K206" s="828"/>
      <c r="L206" s="343"/>
      <c r="M206" s="343"/>
      <c r="N206" s="343"/>
      <c r="O206" s="343"/>
      <c r="P206" s="263"/>
      <c r="Q206" s="263"/>
      <c r="R206" s="263"/>
      <c r="S206" s="263"/>
      <c r="T206" s="263"/>
      <c r="U206" s="263"/>
      <c r="V206" s="263"/>
      <c r="W206" s="263"/>
      <c r="X206" s="263"/>
      <c r="Y206" s="264"/>
      <c r="Z206" s="198"/>
      <c r="AB206" s="171"/>
    </row>
    <row r="207" spans="1:36" ht="15.75" x14ac:dyDescent="0.25">
      <c r="A207" s="483"/>
      <c r="B207" s="861"/>
      <c r="C207" s="2114"/>
      <c r="D207" s="2114"/>
      <c r="E207" s="2114"/>
      <c r="F207" s="2114"/>
      <c r="G207" s="2114"/>
      <c r="H207" s="2114"/>
      <c r="I207" s="2114"/>
      <c r="J207" s="2114"/>
      <c r="K207" s="2114"/>
      <c r="L207" s="343"/>
      <c r="M207" s="343"/>
      <c r="N207" s="343"/>
      <c r="O207" s="343"/>
      <c r="P207" s="263"/>
      <c r="Q207" s="263"/>
      <c r="R207" s="263"/>
      <c r="S207" s="263"/>
      <c r="T207" s="263"/>
      <c r="U207" s="263"/>
      <c r="V207" s="263"/>
      <c r="W207" s="263"/>
      <c r="X207" s="263"/>
      <c r="Y207" s="264"/>
      <c r="Z207" s="198"/>
      <c r="AB207" s="174"/>
      <c r="AC207" s="173"/>
      <c r="AD207" s="173"/>
      <c r="AE207" s="173"/>
      <c r="AF207" s="173"/>
      <c r="AG207" s="173"/>
      <c r="AH207" s="173"/>
      <c r="AI207" s="173"/>
      <c r="AJ207" s="173"/>
    </row>
    <row r="208" spans="1:36" ht="15.75" x14ac:dyDescent="0.25">
      <c r="A208" s="483">
        <f>+IF(C208="",0,1)</f>
        <v>0</v>
      </c>
      <c r="B208" s="861"/>
      <c r="C208" s="828" t="str">
        <f>IF(AB182=0,"","Line 31 column 5 doesn't equal the sum of columns 2 to 4. Please check why.")</f>
        <v/>
      </c>
      <c r="D208" s="828"/>
      <c r="E208" s="828"/>
      <c r="F208" s="828"/>
      <c r="G208" s="828"/>
      <c r="H208" s="828"/>
      <c r="I208" s="828"/>
      <c r="J208" s="828"/>
      <c r="K208" s="828"/>
      <c r="L208" s="343"/>
      <c r="M208" s="343"/>
      <c r="N208" s="343"/>
      <c r="O208" s="343"/>
      <c r="P208" s="263"/>
      <c r="Q208" s="263"/>
      <c r="R208" s="263"/>
      <c r="S208" s="263"/>
      <c r="T208" s="263"/>
      <c r="U208" s="263"/>
      <c r="V208" s="263"/>
      <c r="W208" s="263"/>
      <c r="X208" s="263"/>
      <c r="Y208" s="264"/>
      <c r="Z208" s="198"/>
    </row>
    <row r="209" spans="1:28" ht="15.75" x14ac:dyDescent="0.25">
      <c r="A209" s="483"/>
      <c r="B209" s="861"/>
      <c r="C209" s="2114"/>
      <c r="D209" s="2114"/>
      <c r="E209" s="2114"/>
      <c r="F209" s="2114"/>
      <c r="G209" s="2114"/>
      <c r="H209" s="2114"/>
      <c r="I209" s="2114"/>
      <c r="J209" s="2114"/>
      <c r="K209" s="2114"/>
      <c r="L209" s="343"/>
      <c r="M209" s="343"/>
      <c r="N209" s="343"/>
      <c r="O209" s="343"/>
      <c r="P209" s="263"/>
      <c r="Q209" s="263"/>
      <c r="R209" s="263"/>
      <c r="S209" s="263"/>
      <c r="T209" s="263"/>
      <c r="U209" s="263"/>
      <c r="V209" s="263"/>
      <c r="W209" s="263"/>
      <c r="X209" s="263"/>
      <c r="Y209" s="264"/>
      <c r="Z209" s="198"/>
    </row>
    <row r="210" spans="1:28" ht="15.75" x14ac:dyDescent="0.25">
      <c r="A210" s="483" t="e">
        <f>+IF(C210="",0,1)</f>
        <v>#N/A</v>
      </c>
      <c r="B210" s="861"/>
      <c r="C210" s="828" t="e">
        <f>IF(AB189=0,"","Line 33 column 5 doesn't equal the sum of columns 2 to 4. Please check why.")</f>
        <v>#N/A</v>
      </c>
      <c r="D210" s="828"/>
      <c r="E210" s="828"/>
      <c r="F210" s="828"/>
      <c r="G210" s="828"/>
      <c r="H210" s="828"/>
      <c r="I210" s="828"/>
      <c r="J210" s="828"/>
      <c r="K210" s="828"/>
      <c r="L210" s="343"/>
      <c r="M210" s="343"/>
      <c r="N210" s="343"/>
      <c r="O210" s="343"/>
      <c r="P210" s="263"/>
      <c r="Q210" s="263"/>
      <c r="R210" s="263"/>
      <c r="S210" s="263"/>
      <c r="T210" s="263"/>
      <c r="U210" s="263"/>
      <c r="V210" s="263"/>
      <c r="W210" s="263"/>
      <c r="X210" s="263"/>
      <c r="Y210" s="264"/>
      <c r="Z210" s="198"/>
    </row>
    <row r="211" spans="1:28" x14ac:dyDescent="0.2">
      <c r="A211" s="484"/>
      <c r="B211" s="2134" t="e">
        <f>SUM(A198:A210)</f>
        <v>#N/A</v>
      </c>
      <c r="C211" s="2135"/>
      <c r="D211" s="2135"/>
      <c r="E211" s="2135"/>
      <c r="F211" s="2135"/>
      <c r="G211" s="2135"/>
      <c r="H211" s="2135"/>
      <c r="I211" s="863"/>
      <c r="J211" s="863"/>
      <c r="K211" s="863"/>
      <c r="L211" s="344"/>
      <c r="M211" s="344"/>
      <c r="N211" s="344"/>
      <c r="O211" s="344"/>
      <c r="P211" s="265"/>
      <c r="Q211" s="265"/>
      <c r="R211" s="265"/>
      <c r="S211" s="265"/>
      <c r="T211" s="265"/>
      <c r="U211" s="265"/>
      <c r="V211" s="265"/>
      <c r="W211" s="265"/>
      <c r="X211" s="265"/>
      <c r="Y211" s="266"/>
      <c r="Z211" s="198"/>
    </row>
    <row r="212" spans="1:28" ht="15.75" thickBot="1" x14ac:dyDescent="0.25">
      <c r="A212" s="485"/>
      <c r="B212" s="172"/>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99"/>
    </row>
    <row r="213" spans="1:28" x14ac:dyDescent="0.2">
      <c r="A213" s="1812"/>
      <c r="B213" s="1813"/>
      <c r="C213" s="1813"/>
      <c r="D213" s="1813"/>
      <c r="E213" s="1813"/>
      <c r="F213" s="1813"/>
      <c r="G213" s="1813"/>
      <c r="H213" s="1813"/>
      <c r="I213" s="1813"/>
      <c r="J213" s="1813"/>
      <c r="K213" s="1813"/>
      <c r="L213" s="1813"/>
      <c r="M213" s="1813"/>
      <c r="N213" s="1813"/>
      <c r="O213" s="1813"/>
      <c r="P213" s="1813"/>
      <c r="Q213" s="1813"/>
      <c r="R213" s="1813"/>
      <c r="S213" s="1813"/>
      <c r="T213" s="1813"/>
      <c r="U213" s="1813"/>
      <c r="V213" s="1813"/>
      <c r="W213" s="1813"/>
      <c r="X213" s="1813"/>
      <c r="Y213" s="1813"/>
      <c r="Z213" s="1814"/>
    </row>
    <row r="214" spans="1:28" ht="15.75" x14ac:dyDescent="0.25">
      <c r="A214" s="1815"/>
      <c r="B214" s="540"/>
      <c r="C214" s="1816" t="s">
        <v>72</v>
      </c>
      <c r="D214" s="1817"/>
      <c r="E214" s="1818"/>
      <c r="F214" s="1818"/>
      <c r="G214" s="540"/>
      <c r="H214" s="540"/>
      <c r="I214" s="540"/>
      <c r="J214" s="540"/>
      <c r="K214" s="540"/>
      <c r="L214" s="540"/>
      <c r="M214" s="540"/>
      <c r="N214" s="540"/>
      <c r="O214" s="540"/>
      <c r="P214" s="764"/>
      <c r="Q214" s="764"/>
      <c r="R214" s="764"/>
      <c r="S214" s="764"/>
      <c r="T214" s="764"/>
      <c r="U214" s="764"/>
      <c r="V214" s="764"/>
      <c r="W214" s="764"/>
      <c r="X214" s="764"/>
      <c r="Y214" s="764"/>
      <c r="Z214" s="1819"/>
    </row>
    <row r="215" spans="1:28" s="681" customFormat="1" ht="31.5" customHeight="1" x14ac:dyDescent="0.2">
      <c r="A215" s="1820"/>
      <c r="B215" s="1821"/>
      <c r="C215" s="2123" t="str">
        <f>+IF('Main Validation'!M48&gt;0,"There are a number of validation questions that require an answer. Please complete the main validation sheet","")</f>
        <v>There are a number of validation questions that require an answer. Please complete the main validation sheet</v>
      </c>
      <c r="D215" s="2123"/>
      <c r="E215" s="2123"/>
      <c r="F215" s="2123"/>
      <c r="G215" s="2123"/>
      <c r="H215" s="2123"/>
      <c r="I215" s="2123"/>
      <c r="J215" s="2123"/>
      <c r="K215" s="2123"/>
      <c r="L215" s="2123"/>
      <c r="M215" s="2123"/>
      <c r="N215" s="2123"/>
      <c r="O215" s="2123"/>
      <c r="P215" s="2123"/>
      <c r="Q215" s="2123"/>
      <c r="R215" s="2123"/>
      <c r="S215" s="2123"/>
      <c r="T215" s="2123"/>
      <c r="U215" s="2123"/>
      <c r="V215" s="2123"/>
      <c r="W215" s="2123"/>
      <c r="X215" s="2123"/>
      <c r="Y215" s="1821"/>
      <c r="Z215" s="1822"/>
      <c r="AA215" s="679"/>
      <c r="AB215" s="680"/>
    </row>
    <row r="216" spans="1:28" ht="15.75" x14ac:dyDescent="0.25">
      <c r="A216" s="1815"/>
      <c r="B216" s="540"/>
      <c r="C216" s="2122" t="s">
        <v>758</v>
      </c>
      <c r="D216" s="2122"/>
      <c r="E216" s="2122"/>
      <c r="F216" s="2122"/>
      <c r="G216" s="2122"/>
      <c r="H216" s="2122"/>
      <c r="I216" s="2122"/>
      <c r="J216" s="2122"/>
      <c r="K216" s="2122"/>
      <c r="L216" s="2122"/>
      <c r="M216" s="2122"/>
      <c r="N216" s="2122"/>
      <c r="O216" s="2122"/>
      <c r="P216" s="2122"/>
      <c r="Q216" s="2122"/>
      <c r="R216" s="2122"/>
      <c r="S216" s="2122"/>
      <c r="T216" s="2122"/>
      <c r="U216" s="2122"/>
      <c r="V216" s="2122"/>
      <c r="W216" s="2122"/>
      <c r="X216" s="2122"/>
      <c r="Y216" s="764"/>
      <c r="Z216" s="1819"/>
      <c r="AA216" s="77"/>
    </row>
    <row r="217" spans="1:28" ht="15.75" customHeight="1" x14ac:dyDescent="0.25">
      <c r="A217" s="1815"/>
      <c r="B217" s="540"/>
      <c r="C217" s="2122"/>
      <c r="D217" s="2122"/>
      <c r="E217" s="2122"/>
      <c r="F217" s="2122"/>
      <c r="G217" s="2122"/>
      <c r="H217" s="2122"/>
      <c r="I217" s="2122"/>
      <c r="J217" s="2122"/>
      <c r="K217" s="2122"/>
      <c r="L217" s="2122"/>
      <c r="M217" s="2122"/>
      <c r="N217" s="2122"/>
      <c r="O217" s="2122"/>
      <c r="P217" s="2122"/>
      <c r="Q217" s="2122"/>
      <c r="R217" s="2122"/>
      <c r="S217" s="2122"/>
      <c r="T217" s="2122"/>
      <c r="U217" s="2122"/>
      <c r="V217" s="2122"/>
      <c r="W217" s="2122"/>
      <c r="X217" s="2122"/>
      <c r="Y217" s="764"/>
      <c r="Z217" s="1819"/>
    </row>
    <row r="218" spans="1:28" ht="15.75" x14ac:dyDescent="0.25">
      <c r="A218" s="1815"/>
      <c r="B218" s="1823"/>
      <c r="C218" s="2122"/>
      <c r="D218" s="2122"/>
      <c r="E218" s="2122"/>
      <c r="F218" s="2122"/>
      <c r="G218" s="2122"/>
      <c r="H218" s="2122"/>
      <c r="I218" s="2122"/>
      <c r="J218" s="2122"/>
      <c r="K218" s="2122"/>
      <c r="L218" s="2122"/>
      <c r="M218" s="2122"/>
      <c r="N218" s="2122"/>
      <c r="O218" s="2122"/>
      <c r="P218" s="2122"/>
      <c r="Q218" s="2122"/>
      <c r="R218" s="2122"/>
      <c r="S218" s="2122"/>
      <c r="T218" s="2122"/>
      <c r="U218" s="2122"/>
      <c r="V218" s="2122"/>
      <c r="W218" s="2122"/>
      <c r="X218" s="2122"/>
      <c r="Y218" s="764"/>
      <c r="Z218" s="1819"/>
    </row>
    <row r="219" spans="1:28" x14ac:dyDescent="0.2">
      <c r="A219" s="1824"/>
      <c r="B219" s="443"/>
      <c r="C219" s="1817"/>
      <c r="D219" s="1818"/>
      <c r="E219" s="1818"/>
      <c r="F219" s="540"/>
      <c r="G219" s="540"/>
      <c r="H219" s="540"/>
      <c r="I219" s="540"/>
      <c r="J219" s="540"/>
      <c r="K219" s="540"/>
      <c r="L219" s="540"/>
      <c r="M219" s="540"/>
      <c r="N219" s="540"/>
      <c r="O219" s="540"/>
      <c r="P219" s="764"/>
      <c r="Q219" s="764"/>
      <c r="R219" s="764"/>
      <c r="S219" s="764"/>
      <c r="T219" s="764"/>
      <c r="U219" s="764"/>
      <c r="V219" s="764"/>
      <c r="W219" s="764"/>
      <c r="X219" s="764"/>
      <c r="Y219" s="764"/>
      <c r="Z219" s="1819"/>
    </row>
    <row r="220" spans="1:28" ht="15.75" x14ac:dyDescent="0.25">
      <c r="A220" s="1824"/>
      <c r="B220" s="443"/>
      <c r="C220" s="446"/>
      <c r="D220" s="1818"/>
      <c r="E220" s="1818"/>
      <c r="F220" s="446" t="s">
        <v>676</v>
      </c>
      <c r="G220" s="540"/>
      <c r="H220" s="540"/>
      <c r="I220" s="540"/>
      <c r="J220" s="540"/>
      <c r="K220" s="540"/>
      <c r="L220" s="540"/>
      <c r="M220" s="540"/>
      <c r="N220" s="540"/>
      <c r="O220" s="540"/>
      <c r="P220" s="764"/>
      <c r="Q220" s="764"/>
      <c r="R220" s="764"/>
      <c r="S220" s="764"/>
      <c r="T220" s="764"/>
      <c r="U220" s="764"/>
      <c r="V220" s="764"/>
      <c r="W220" s="764"/>
      <c r="X220" s="764"/>
      <c r="Y220" s="764"/>
      <c r="Z220" s="1819"/>
    </row>
    <row r="221" spans="1:28" ht="15.75" x14ac:dyDescent="0.25">
      <c r="A221" s="1815"/>
      <c r="B221" s="1825"/>
      <c r="C221" s="446"/>
      <c r="D221" s="1818"/>
      <c r="E221" s="1818"/>
      <c r="F221" s="446" t="s">
        <v>678</v>
      </c>
      <c r="G221" s="1826"/>
      <c r="H221" s="1826"/>
      <c r="I221" s="1826"/>
      <c r="J221" s="1826"/>
      <c r="K221" s="1826"/>
      <c r="L221" s="1826"/>
      <c r="M221" s="1826"/>
      <c r="N221" s="1826"/>
      <c r="O221" s="1826"/>
      <c r="P221" s="1827"/>
      <c r="Q221" s="1827"/>
      <c r="R221" s="1827"/>
      <c r="S221" s="1827"/>
      <c r="T221" s="1827"/>
      <c r="U221" s="1827"/>
      <c r="V221" s="1827"/>
      <c r="W221" s="1827"/>
      <c r="X221" s="764"/>
      <c r="Y221" s="764"/>
      <c r="Z221" s="1819"/>
    </row>
    <row r="222" spans="1:28" ht="15.75" x14ac:dyDescent="0.25">
      <c r="A222" s="1815"/>
      <c r="B222" s="1825"/>
      <c r="C222" s="446"/>
      <c r="D222" s="1818"/>
      <c r="E222" s="1818"/>
      <c r="F222" s="446"/>
      <c r="G222" s="540"/>
      <c r="H222" s="540"/>
      <c r="I222" s="540"/>
      <c r="J222" s="540"/>
      <c r="K222" s="540"/>
      <c r="L222" s="540"/>
      <c r="M222" s="540"/>
      <c r="N222" s="540"/>
      <c r="O222" s="540"/>
      <c r="P222" s="764"/>
      <c r="Q222" s="764"/>
      <c r="R222" s="764"/>
      <c r="S222" s="764"/>
      <c r="T222" s="764"/>
      <c r="U222" s="764"/>
      <c r="V222" s="764"/>
      <c r="W222" s="764"/>
      <c r="X222" s="764"/>
      <c r="Y222" s="764"/>
      <c r="Z222" s="1819"/>
    </row>
    <row r="223" spans="1:28" ht="15.75" x14ac:dyDescent="0.25">
      <c r="A223" s="1824"/>
      <c r="B223" s="1825"/>
      <c r="C223" s="446"/>
      <c r="D223" s="1818"/>
      <c r="E223" s="1818"/>
      <c r="F223" s="446"/>
      <c r="G223" s="540"/>
      <c r="H223" s="540"/>
      <c r="I223" s="540"/>
      <c r="J223" s="540"/>
      <c r="K223" s="540"/>
      <c r="L223" s="540"/>
      <c r="M223" s="540"/>
      <c r="N223" s="540"/>
      <c r="O223" s="540"/>
      <c r="P223" s="764"/>
      <c r="Q223" s="764"/>
      <c r="R223" s="764"/>
      <c r="S223" s="764"/>
      <c r="T223" s="764"/>
      <c r="U223" s="764"/>
      <c r="V223" s="764"/>
      <c r="W223" s="764"/>
      <c r="X223" s="764"/>
      <c r="Y223" s="764"/>
      <c r="Z223" s="1819"/>
    </row>
    <row r="224" spans="1:28" ht="15.75" x14ac:dyDescent="0.25">
      <c r="A224" s="1824"/>
      <c r="B224" s="1825"/>
      <c r="C224" s="446"/>
      <c r="D224" s="1818"/>
      <c r="E224" s="1818"/>
      <c r="F224" s="446" t="s">
        <v>679</v>
      </c>
      <c r="G224" s="1826"/>
      <c r="H224" s="1826"/>
      <c r="I224" s="1826"/>
      <c r="J224" s="1826"/>
      <c r="K224" s="1826"/>
      <c r="L224" s="1826"/>
      <c r="M224" s="1826"/>
      <c r="N224" s="1826"/>
      <c r="O224" s="1826"/>
      <c r="P224" s="1827"/>
      <c r="Q224" s="1827"/>
      <c r="R224" s="1827"/>
      <c r="S224" s="1827"/>
      <c r="T224" s="1827"/>
      <c r="U224" s="1827"/>
      <c r="V224" s="1827"/>
      <c r="W224" s="1827"/>
      <c r="X224" s="764"/>
      <c r="Y224" s="764"/>
      <c r="Z224" s="1819"/>
    </row>
    <row r="225" spans="1:28" ht="15.75" x14ac:dyDescent="0.25">
      <c r="A225" s="1824"/>
      <c r="B225" s="1825"/>
      <c r="C225" s="446"/>
      <c r="D225" s="1818"/>
      <c r="E225" s="1818"/>
      <c r="F225" s="446"/>
      <c r="G225" s="1828"/>
      <c r="H225" s="1828"/>
      <c r="I225" s="1828"/>
      <c r="J225" s="1828"/>
      <c r="K225" s="1828"/>
      <c r="L225" s="1828"/>
      <c r="M225" s="1828"/>
      <c r="N225" s="1828"/>
      <c r="O225" s="1828"/>
      <c r="P225" s="1829"/>
      <c r="Q225" s="1829"/>
      <c r="R225" s="1829"/>
      <c r="S225" s="1829"/>
      <c r="T225" s="1829"/>
      <c r="U225" s="1829"/>
      <c r="V225" s="1829"/>
      <c r="W225" s="1829"/>
      <c r="X225" s="764"/>
      <c r="Y225" s="764"/>
      <c r="Z225" s="1819"/>
    </row>
    <row r="226" spans="1:28" x14ac:dyDescent="0.2">
      <c r="A226" s="1824"/>
      <c r="B226" s="443"/>
      <c r="C226" s="1830"/>
      <c r="D226" s="1818"/>
      <c r="E226" s="1818"/>
      <c r="F226" s="1830"/>
      <c r="G226" s="540"/>
      <c r="H226" s="540"/>
      <c r="I226" s="540"/>
      <c r="J226" s="540"/>
      <c r="K226" s="540"/>
      <c r="L226" s="540"/>
      <c r="M226" s="540"/>
      <c r="N226" s="540"/>
      <c r="O226" s="540"/>
      <c r="P226" s="764"/>
      <c r="Q226" s="764"/>
      <c r="R226" s="764"/>
      <c r="S226" s="764"/>
      <c r="T226" s="764"/>
      <c r="U226" s="764"/>
      <c r="V226" s="764"/>
      <c r="W226" s="764"/>
      <c r="X226" s="764"/>
      <c r="Y226" s="764"/>
      <c r="Z226" s="1819"/>
    </row>
    <row r="227" spans="1:28" ht="15.75" x14ac:dyDescent="0.25">
      <c r="A227" s="1815"/>
      <c r="B227" s="1825"/>
      <c r="C227" s="446"/>
      <c r="D227" s="1818"/>
      <c r="E227" s="1818"/>
      <c r="F227" s="446" t="s">
        <v>677</v>
      </c>
      <c r="G227" s="1826"/>
      <c r="H227" s="1826"/>
      <c r="I227" s="1826"/>
      <c r="J227" s="1826"/>
      <c r="K227" s="1826"/>
      <c r="L227" s="1826"/>
      <c r="M227" s="1826"/>
      <c r="N227" s="1826"/>
      <c r="O227" s="1826"/>
      <c r="P227" s="1827"/>
      <c r="Q227" s="1827"/>
      <c r="R227" s="1827"/>
      <c r="S227" s="1827"/>
      <c r="T227" s="1827"/>
      <c r="U227" s="1827"/>
      <c r="V227" s="1827"/>
      <c r="W227" s="1827"/>
      <c r="X227" s="764"/>
      <c r="Y227" s="764"/>
      <c r="Z227" s="1819"/>
    </row>
    <row r="228" spans="1:28" ht="15.75" thickBot="1" x14ac:dyDescent="0.25">
      <c r="A228" s="1831"/>
      <c r="B228" s="456"/>
      <c r="C228" s="456"/>
      <c r="D228" s="1164"/>
      <c r="E228" s="1164"/>
      <c r="F228" s="1164"/>
      <c r="G228" s="1164"/>
      <c r="H228" s="1164"/>
      <c r="I228" s="1164"/>
      <c r="J228" s="1164"/>
      <c r="K228" s="1164"/>
      <c r="L228" s="1164"/>
      <c r="M228" s="1164"/>
      <c r="N228" s="1164"/>
      <c r="O228" s="1164"/>
      <c r="P228" s="1832"/>
      <c r="Q228" s="1832"/>
      <c r="R228" s="1832"/>
      <c r="S228" s="1832"/>
      <c r="T228" s="1832"/>
      <c r="U228" s="1832"/>
      <c r="V228" s="1832"/>
      <c r="W228" s="1832"/>
      <c r="X228" s="1832"/>
      <c r="Y228" s="1832"/>
      <c r="Z228" s="1833"/>
    </row>
    <row r="229" spans="1:28" s="763" customFormat="1" x14ac:dyDescent="0.2">
      <c r="A229" s="1834"/>
      <c r="B229" s="443"/>
      <c r="C229" s="443"/>
      <c r="D229" s="540"/>
      <c r="E229" s="1835"/>
      <c r="F229" s="540"/>
      <c r="G229" s="540"/>
      <c r="H229" s="540"/>
      <c r="I229" s="540"/>
      <c r="J229" s="540"/>
      <c r="K229" s="540"/>
      <c r="L229" s="540"/>
      <c r="M229" s="540"/>
      <c r="N229" s="540"/>
      <c r="O229" s="540"/>
      <c r="P229" s="764"/>
      <c r="Q229" s="764"/>
      <c r="R229" s="764"/>
      <c r="S229" s="764"/>
      <c r="T229" s="764"/>
      <c r="U229" s="848"/>
      <c r="V229" s="848"/>
      <c r="W229" s="848"/>
      <c r="X229" s="848"/>
      <c r="Y229" s="848"/>
      <c r="Z229" s="848"/>
      <c r="AA229" s="848"/>
      <c r="AB229" s="761"/>
    </row>
    <row r="230" spans="1:28" s="1836" customFormat="1" x14ac:dyDescent="0.2">
      <c r="AA230" s="848"/>
      <c r="AB230" s="1837"/>
    </row>
    <row r="231" spans="1:28" s="1836" customFormat="1" x14ac:dyDescent="0.2">
      <c r="A231" s="848"/>
      <c r="B231" s="848"/>
      <c r="C231" s="848"/>
      <c r="D231" s="848"/>
      <c r="E231" s="848"/>
      <c r="F231" s="848"/>
      <c r="G231" s="848"/>
      <c r="H231" s="848"/>
      <c r="I231" s="848"/>
      <c r="J231" s="848"/>
      <c r="K231" s="848"/>
      <c r="L231" s="848"/>
      <c r="M231" s="848"/>
      <c r="N231" s="848"/>
      <c r="O231" s="848"/>
      <c r="P231" s="848"/>
      <c r="Q231" s="848"/>
      <c r="R231" s="848"/>
      <c r="S231" s="848"/>
      <c r="T231" s="848"/>
      <c r="U231" s="848"/>
      <c r="V231" s="848"/>
      <c r="W231" s="848"/>
      <c r="X231" s="848"/>
      <c r="Y231" s="848"/>
      <c r="AA231" s="848"/>
      <c r="AB231" s="1837"/>
    </row>
    <row r="232" spans="1:28" s="1836" customFormat="1" x14ac:dyDescent="0.2">
      <c r="A232" s="848"/>
      <c r="B232" s="848"/>
      <c r="C232" s="848"/>
      <c r="D232" s="848"/>
      <c r="E232" s="848"/>
      <c r="F232" s="848"/>
      <c r="G232" s="848"/>
      <c r="H232" s="848"/>
      <c r="I232" s="848"/>
      <c r="J232" s="848"/>
      <c r="K232" s="848"/>
      <c r="L232" s="848"/>
      <c r="M232" s="848"/>
      <c r="N232" s="848"/>
      <c r="O232" s="848"/>
      <c r="P232" s="848"/>
      <c r="Q232" s="848"/>
      <c r="R232" s="848"/>
      <c r="S232" s="848"/>
      <c r="T232" s="848"/>
      <c r="U232" s="848"/>
      <c r="V232" s="848"/>
      <c r="W232" s="848"/>
      <c r="X232" s="848"/>
      <c r="Y232" s="848"/>
      <c r="AA232" s="848"/>
      <c r="AB232" s="1837"/>
    </row>
    <row r="233" spans="1:28" s="1838" customFormat="1" hidden="1" x14ac:dyDescent="0.25">
      <c r="C233" s="1838" t="str">
        <f>+L17</f>
        <v>EZZZZ</v>
      </c>
      <c r="E233" s="1839">
        <f>VLOOKUP($L$17,TierSplit!$A$6:$J$332,5,FALSE)</f>
        <v>0</v>
      </c>
      <c r="F233" s="1839"/>
      <c r="G233" s="1839"/>
      <c r="H233" s="1839"/>
      <c r="I233" s="1839"/>
      <c r="J233" s="1839"/>
      <c r="K233" s="1839">
        <f>VLOOKUP($L$17,TierSplit!$A$6:$J$332,8,FALSE)</f>
        <v>0</v>
      </c>
      <c r="O233" s="1839" t="str">
        <f>VLOOKUP($L$17,TierSplit!$A$6:$AG$332,32,FALSE)</f>
        <v>No</v>
      </c>
      <c r="P233" s="1839" t="str">
        <f>IF(VLOOKUP($L$17,TierSplit!$A$6:$AG$332,10,FALSE)=1,"Yes","No")</f>
        <v>No</v>
      </c>
      <c r="Q233" s="1839">
        <f>VLOOKUP($L$17,TierSplit!$A$6:$AG$332,20,FALSE)</f>
        <v>0</v>
      </c>
      <c r="R233" s="1839">
        <f>VLOOKUP($L$17,TierSplit!$A$6:$AG$332,21,FALSE)</f>
        <v>0</v>
      </c>
      <c r="S233" s="1839">
        <f>VLOOKUP($L$17,TierSplit!$A$6:$AG$332,22,FALSE)</f>
        <v>0</v>
      </c>
      <c r="T233" s="1839">
        <f>VLOOKUP($L$17,TierSplit!$A$6:$AG$332,23,FALSE)</f>
        <v>0</v>
      </c>
      <c r="U233" s="1839">
        <f>VLOOKUP($L$17,TierSplit!$A$6:$AG$332,25,FALSE)</f>
        <v>0</v>
      </c>
      <c r="V233" s="1839">
        <f>VLOOKUP($L$17,TierSplit!$A$6:$AG$332,26,FALSE)</f>
        <v>0</v>
      </c>
      <c r="W233" s="1839">
        <f>VLOOKUP($L$17,TierSplit!$A$6:$AG$332,27,FALSE)</f>
        <v>0</v>
      </c>
      <c r="X233" s="1839"/>
      <c r="Y233" s="1839"/>
      <c r="AB233" s="1840"/>
    </row>
    <row r="234" spans="1:28" s="1836" customFormat="1" x14ac:dyDescent="0.2">
      <c r="A234" s="848"/>
      <c r="B234" s="848"/>
      <c r="C234" s="848"/>
      <c r="D234" s="848"/>
      <c r="E234" s="848"/>
      <c r="F234" s="848"/>
      <c r="G234" s="848"/>
      <c r="H234" s="848"/>
      <c r="I234" s="848"/>
      <c r="J234" s="848"/>
      <c r="K234" s="848"/>
      <c r="L234" s="848"/>
      <c r="M234" s="848"/>
      <c r="N234" s="848"/>
      <c r="O234" s="848"/>
      <c r="P234" s="848"/>
      <c r="Q234" s="848"/>
      <c r="R234" s="848"/>
      <c r="S234" s="848"/>
      <c r="T234" s="848"/>
      <c r="U234" s="848"/>
      <c r="V234" s="848"/>
      <c r="W234" s="848"/>
      <c r="X234" s="848"/>
      <c r="Y234" s="848"/>
      <c r="AA234" s="848"/>
      <c r="AB234" s="1837"/>
    </row>
    <row r="235" spans="1:28" s="1836" customFormat="1" x14ac:dyDescent="0.2">
      <c r="A235" s="848"/>
      <c r="B235" s="848"/>
      <c r="C235" s="848"/>
      <c r="D235" s="848"/>
      <c r="E235" s="848"/>
      <c r="F235" s="848"/>
      <c r="G235" s="848"/>
      <c r="H235" s="848"/>
      <c r="I235" s="848"/>
      <c r="J235" s="848"/>
      <c r="K235" s="848"/>
      <c r="L235" s="848"/>
      <c r="M235" s="848"/>
      <c r="N235" s="848"/>
      <c r="O235" s="848"/>
      <c r="P235" s="848"/>
      <c r="Q235" s="848"/>
      <c r="R235" s="848"/>
      <c r="S235" s="848"/>
      <c r="T235" s="848"/>
      <c r="U235" s="848"/>
      <c r="V235" s="848"/>
      <c r="W235" s="848"/>
      <c r="X235" s="848"/>
      <c r="Y235" s="848"/>
      <c r="AA235" s="848"/>
      <c r="AB235" s="1837"/>
    </row>
    <row r="236" spans="1:28" s="1836" customFormat="1" x14ac:dyDescent="0.2">
      <c r="A236" s="848"/>
      <c r="B236" s="848"/>
      <c r="C236" s="848"/>
      <c r="D236" s="848"/>
      <c r="E236" s="848"/>
      <c r="F236" s="848"/>
      <c r="G236" s="848"/>
      <c r="H236" s="848"/>
      <c r="I236" s="848"/>
      <c r="J236" s="848"/>
      <c r="K236" s="848"/>
      <c r="L236" s="848"/>
      <c r="M236" s="848"/>
      <c r="N236" s="848"/>
      <c r="O236" s="848"/>
      <c r="P236" s="848"/>
      <c r="Q236" s="848"/>
      <c r="R236" s="848"/>
      <c r="S236" s="848"/>
      <c r="T236" s="848"/>
      <c r="U236" s="848"/>
      <c r="V236" s="848"/>
      <c r="W236" s="848"/>
      <c r="X236" s="960"/>
      <c r="Y236" s="848"/>
      <c r="AA236" s="848"/>
      <c r="AB236" s="1837"/>
    </row>
    <row r="237" spans="1:28" s="1836" customFormat="1" x14ac:dyDescent="0.2">
      <c r="A237" s="848"/>
      <c r="B237" s="848"/>
      <c r="C237" s="848"/>
      <c r="D237" s="848"/>
      <c r="E237" s="848"/>
      <c r="F237" s="848"/>
      <c r="G237" s="848"/>
      <c r="H237" s="848"/>
      <c r="I237" s="848"/>
      <c r="J237" s="848"/>
      <c r="K237" s="848"/>
      <c r="L237" s="848"/>
      <c r="M237" s="848"/>
      <c r="N237" s="848"/>
      <c r="O237" s="848"/>
      <c r="P237" s="848"/>
      <c r="Q237" s="848"/>
      <c r="R237" s="848"/>
      <c r="S237" s="848"/>
      <c r="T237" s="848"/>
      <c r="U237" s="848"/>
      <c r="V237" s="848"/>
      <c r="W237" s="848"/>
      <c r="X237" s="848"/>
      <c r="Y237" s="848"/>
      <c r="AA237" s="848"/>
      <c r="AB237" s="1837"/>
    </row>
    <row r="238" spans="1:28" s="1836" customFormat="1" x14ac:dyDescent="0.2">
      <c r="AA238" s="848"/>
      <c r="AB238" s="1837"/>
    </row>
    <row r="239" spans="1:28" s="1836" customFormat="1" x14ac:dyDescent="0.2">
      <c r="AA239" s="848"/>
      <c r="AB239" s="1837"/>
    </row>
    <row r="240" spans="1:28" s="1836" customFormat="1" x14ac:dyDescent="0.2">
      <c r="AA240" s="848"/>
      <c r="AB240" s="1837"/>
    </row>
    <row r="241" spans="1:28" s="1836" customFormat="1" x14ac:dyDescent="0.2">
      <c r="AA241" s="848"/>
      <c r="AB241" s="1837"/>
    </row>
    <row r="242" spans="1:28" s="1836" customFormat="1" x14ac:dyDescent="0.2">
      <c r="AA242" s="848"/>
      <c r="AB242" s="1837"/>
    </row>
    <row r="243" spans="1:28" s="1836" customFormat="1" x14ac:dyDescent="0.2">
      <c r="AA243" s="848"/>
      <c r="AB243" s="1837"/>
    </row>
    <row r="244" spans="1:28" s="1836" customFormat="1" x14ac:dyDescent="0.2">
      <c r="AA244" s="848"/>
      <c r="AB244" s="1837"/>
    </row>
    <row r="245" spans="1:28" s="1841" customFormat="1" x14ac:dyDescent="0.2">
      <c r="AA245" s="1168"/>
      <c r="AB245" s="1842"/>
    </row>
    <row r="246" spans="1:28" s="1841" customFormat="1" x14ac:dyDescent="0.2">
      <c r="AA246" s="1168"/>
      <c r="AB246" s="1842"/>
    </row>
    <row r="247" spans="1:28" s="1841" customFormat="1" x14ac:dyDescent="0.2">
      <c r="AA247" s="1168"/>
      <c r="AB247" s="1842"/>
    </row>
    <row r="248" spans="1:28" s="1841" customFormat="1" x14ac:dyDescent="0.2">
      <c r="AA248" s="1168"/>
      <c r="AB248" s="1842"/>
    </row>
    <row r="249" spans="1:28" s="1841" customFormat="1" x14ac:dyDescent="0.2">
      <c r="AA249" s="1168"/>
      <c r="AB249" s="1842"/>
    </row>
    <row r="250" spans="1:28" s="1841" customFormat="1" x14ac:dyDescent="0.2">
      <c r="AA250" s="1168"/>
      <c r="AB250" s="1842"/>
    </row>
    <row r="251" spans="1:28" s="1841" customFormat="1" x14ac:dyDescent="0.2">
      <c r="AA251" s="1168"/>
      <c r="AB251" s="1842"/>
    </row>
    <row r="252" spans="1:28" s="1841" customFormat="1" x14ac:dyDescent="0.2">
      <c r="AA252" s="1168"/>
      <c r="AB252" s="1842"/>
    </row>
    <row r="253" spans="1:28" s="763" customFormat="1" x14ac:dyDescent="0.2">
      <c r="A253" s="1841"/>
      <c r="AA253" s="764"/>
      <c r="AB253" s="761"/>
    </row>
    <row r="254" spans="1:28" s="763" customFormat="1" x14ac:dyDescent="0.2">
      <c r="A254" s="1841"/>
      <c r="AA254" s="764"/>
      <c r="AB254" s="761"/>
    </row>
    <row r="255" spans="1:28" s="763" customFormat="1" x14ac:dyDescent="0.2">
      <c r="A255" s="1841"/>
      <c r="AA255" s="764"/>
      <c r="AB255" s="761"/>
    </row>
    <row r="256" spans="1:28" s="763" customFormat="1" x14ac:dyDescent="0.2">
      <c r="A256" s="1841"/>
      <c r="AA256" s="764"/>
      <c r="AB256" s="761"/>
    </row>
    <row r="257" spans="1:28" s="763" customFormat="1" x14ac:dyDescent="0.2">
      <c r="A257" s="1841"/>
      <c r="AA257" s="764"/>
      <c r="AB257" s="761"/>
    </row>
    <row r="258" spans="1:28" s="763" customFormat="1" x14ac:dyDescent="0.2">
      <c r="A258" s="1841"/>
      <c r="AA258" s="764"/>
      <c r="AB258" s="761"/>
    </row>
    <row r="259" spans="1:28" s="763" customFormat="1" x14ac:dyDescent="0.2">
      <c r="A259" s="1841"/>
      <c r="AA259" s="764"/>
      <c r="AB259" s="761"/>
    </row>
    <row r="260" spans="1:28" s="763" customFormat="1" x14ac:dyDescent="0.2">
      <c r="A260" s="1841"/>
      <c r="AA260" s="764"/>
      <c r="AB260" s="761"/>
    </row>
    <row r="261" spans="1:28" s="763" customFormat="1" x14ac:dyDescent="0.2">
      <c r="A261" s="1841"/>
      <c r="AA261" s="764"/>
      <c r="AB261" s="761"/>
    </row>
    <row r="262" spans="1:28" s="763" customFormat="1" x14ac:dyDescent="0.2">
      <c r="A262" s="1841"/>
      <c r="AA262" s="764"/>
      <c r="AB262" s="761"/>
    </row>
    <row r="263" spans="1:28" s="763" customFormat="1" x14ac:dyDescent="0.2">
      <c r="A263" s="1841"/>
      <c r="AA263" s="764"/>
      <c r="AB263" s="761"/>
    </row>
    <row r="264" spans="1:28" s="763" customFormat="1" x14ac:dyDescent="0.2">
      <c r="A264" s="1841"/>
      <c r="AA264" s="764"/>
      <c r="AB264" s="761"/>
    </row>
    <row r="265" spans="1:28" s="763" customFormat="1" x14ac:dyDescent="0.2">
      <c r="A265" s="1841"/>
      <c r="AA265" s="764"/>
      <c r="AB265" s="761"/>
    </row>
    <row r="266" spans="1:28" s="763" customFormat="1" x14ac:dyDescent="0.2">
      <c r="A266" s="1841"/>
      <c r="AA266" s="764"/>
      <c r="AB266" s="761"/>
    </row>
    <row r="267" spans="1:28" s="763" customFormat="1" x14ac:dyDescent="0.2">
      <c r="A267" s="1841"/>
      <c r="AA267" s="764"/>
      <c r="AB267" s="761"/>
    </row>
    <row r="268" spans="1:28" s="763" customFormat="1" x14ac:dyDescent="0.2">
      <c r="A268" s="1841"/>
      <c r="AA268" s="764"/>
      <c r="AB268" s="761"/>
    </row>
    <row r="269" spans="1:28" s="763" customFormat="1" x14ac:dyDescent="0.2">
      <c r="A269" s="1841"/>
      <c r="AA269" s="764"/>
      <c r="AB269" s="761"/>
    </row>
    <row r="270" spans="1:28" s="763" customFormat="1" x14ac:dyDescent="0.2">
      <c r="A270" s="1841"/>
      <c r="AA270" s="764"/>
      <c r="AB270" s="761"/>
    </row>
    <row r="271" spans="1:28" s="763" customFormat="1" x14ac:dyDescent="0.2">
      <c r="A271" s="1841"/>
      <c r="AA271" s="764"/>
      <c r="AB271" s="761"/>
    </row>
    <row r="272" spans="1:28" s="763" customFormat="1" x14ac:dyDescent="0.2">
      <c r="A272" s="1841"/>
      <c r="AA272" s="764"/>
      <c r="AB272" s="761"/>
    </row>
    <row r="273" spans="1:28" s="763" customFormat="1" x14ac:dyDescent="0.2">
      <c r="A273" s="1841"/>
      <c r="AA273" s="764"/>
      <c r="AB273" s="761"/>
    </row>
    <row r="274" spans="1:28" s="763" customFormat="1" x14ac:dyDescent="0.2">
      <c r="A274" s="1841"/>
      <c r="AA274" s="764"/>
      <c r="AB274" s="761"/>
    </row>
    <row r="275" spans="1:28" s="763" customFormat="1" x14ac:dyDescent="0.2">
      <c r="A275" s="1841"/>
      <c r="AA275" s="764"/>
      <c r="AB275" s="761"/>
    </row>
    <row r="276" spans="1:28" s="763" customFormat="1" x14ac:dyDescent="0.2">
      <c r="A276" s="1841"/>
      <c r="AA276" s="764"/>
      <c r="AB276" s="761"/>
    </row>
    <row r="277" spans="1:28" s="763" customFormat="1" x14ac:dyDescent="0.2">
      <c r="A277" s="1841"/>
      <c r="AA277" s="764"/>
      <c r="AB277" s="761"/>
    </row>
    <row r="278" spans="1:28" s="763" customFormat="1" x14ac:dyDescent="0.2">
      <c r="A278" s="1841"/>
      <c r="AA278" s="764"/>
      <c r="AB278" s="761"/>
    </row>
    <row r="279" spans="1:28" s="763" customFormat="1" x14ac:dyDescent="0.2">
      <c r="A279" s="1841"/>
      <c r="AA279" s="764"/>
      <c r="AB279" s="761"/>
    </row>
    <row r="280" spans="1:28" s="763" customFormat="1" x14ac:dyDescent="0.2">
      <c r="A280" s="1841"/>
      <c r="AA280" s="764"/>
      <c r="AB280" s="761"/>
    </row>
    <row r="281" spans="1:28" s="763" customFormat="1" x14ac:dyDescent="0.2">
      <c r="A281" s="1841"/>
      <c r="AA281" s="764"/>
      <c r="AB281" s="761"/>
    </row>
    <row r="282" spans="1:28" s="763" customFormat="1" x14ac:dyDescent="0.2">
      <c r="A282" s="1841"/>
      <c r="AA282" s="764"/>
      <c r="AB282" s="761"/>
    </row>
    <row r="283" spans="1:28" s="763" customFormat="1" x14ac:dyDescent="0.2">
      <c r="A283" s="1841"/>
      <c r="AA283" s="764"/>
      <c r="AB283" s="761"/>
    </row>
    <row r="284" spans="1:28" s="763" customFormat="1" x14ac:dyDescent="0.2">
      <c r="A284" s="1841"/>
      <c r="AA284" s="764"/>
      <c r="AB284" s="761"/>
    </row>
    <row r="285" spans="1:28" s="763" customFormat="1" x14ac:dyDescent="0.2">
      <c r="A285" s="1841"/>
      <c r="AA285" s="764"/>
      <c r="AB285" s="761"/>
    </row>
    <row r="286" spans="1:28" s="763" customFormat="1" x14ac:dyDescent="0.2">
      <c r="A286" s="1841"/>
      <c r="AA286" s="764"/>
      <c r="AB286" s="761"/>
    </row>
    <row r="287" spans="1:28" s="763" customFormat="1" x14ac:dyDescent="0.2">
      <c r="A287" s="1841"/>
      <c r="AA287" s="764"/>
      <c r="AB287" s="761"/>
    </row>
    <row r="288" spans="1:28" s="763" customFormat="1" x14ac:dyDescent="0.2">
      <c r="A288" s="1841"/>
      <c r="AA288" s="764"/>
      <c r="AB288" s="761"/>
    </row>
    <row r="289" spans="1:28" s="763" customFormat="1" x14ac:dyDescent="0.2">
      <c r="A289" s="1841"/>
      <c r="AA289" s="764"/>
      <c r="AB289" s="761"/>
    </row>
    <row r="290" spans="1:28" s="763" customFormat="1" x14ac:dyDescent="0.2">
      <c r="A290" s="1841"/>
      <c r="AA290" s="764"/>
      <c r="AB290" s="761"/>
    </row>
    <row r="291" spans="1:28" s="763" customFormat="1" x14ac:dyDescent="0.2">
      <c r="A291" s="1841"/>
      <c r="AA291" s="764"/>
      <c r="AB291" s="761"/>
    </row>
    <row r="292" spans="1:28" s="763" customFormat="1" x14ac:dyDescent="0.2">
      <c r="A292" s="1841"/>
      <c r="AA292" s="764"/>
      <c r="AB292" s="761"/>
    </row>
    <row r="293" spans="1:28" s="763" customFormat="1" x14ac:dyDescent="0.2">
      <c r="A293" s="1841"/>
      <c r="AA293" s="764"/>
      <c r="AB293" s="761"/>
    </row>
    <row r="294" spans="1:28" s="763" customFormat="1" x14ac:dyDescent="0.2">
      <c r="A294" s="1841"/>
      <c r="AA294" s="764"/>
      <c r="AB294" s="761"/>
    </row>
    <row r="295" spans="1:28" s="763" customFormat="1" x14ac:dyDescent="0.2">
      <c r="A295" s="1841"/>
      <c r="AA295" s="764"/>
      <c r="AB295" s="761"/>
    </row>
    <row r="296" spans="1:28" s="763" customFormat="1" x14ac:dyDescent="0.2">
      <c r="A296" s="1841"/>
      <c r="AA296" s="764"/>
      <c r="AB296" s="761"/>
    </row>
    <row r="297" spans="1:28" s="763" customFormat="1" x14ac:dyDescent="0.2">
      <c r="A297" s="1841"/>
      <c r="AA297" s="764"/>
      <c r="AB297" s="761"/>
    </row>
    <row r="298" spans="1:28" s="763" customFormat="1" x14ac:dyDescent="0.2">
      <c r="A298" s="1841"/>
      <c r="AA298" s="764"/>
      <c r="AB298" s="761"/>
    </row>
    <row r="299" spans="1:28" s="763" customFormat="1" x14ac:dyDescent="0.2">
      <c r="A299" s="1841"/>
      <c r="AA299" s="764"/>
      <c r="AB299" s="761"/>
    </row>
  </sheetData>
  <sheetProtection sheet="1" objects="1" scenarios="1"/>
  <dataConsolidate/>
  <mergeCells count="210">
    <mergeCell ref="W173:X173"/>
    <mergeCell ref="W188:X188"/>
    <mergeCell ref="B211:H211"/>
    <mergeCell ref="C207:K207"/>
    <mergeCell ref="C209:K209"/>
    <mergeCell ref="C201:K201"/>
    <mergeCell ref="C205:K205"/>
    <mergeCell ref="N173:O173"/>
    <mergeCell ref="Q173:R173"/>
    <mergeCell ref="T173:U173"/>
    <mergeCell ref="N179:O179"/>
    <mergeCell ref="Q179:R179"/>
    <mergeCell ref="T179:U179"/>
    <mergeCell ref="W179:X179"/>
    <mergeCell ref="C216:X218"/>
    <mergeCell ref="W182:X182"/>
    <mergeCell ref="N176:O176"/>
    <mergeCell ref="Q176:R176"/>
    <mergeCell ref="T176:U176"/>
    <mergeCell ref="W176:X176"/>
    <mergeCell ref="C199:K199"/>
    <mergeCell ref="N182:O182"/>
    <mergeCell ref="Q182:R182"/>
    <mergeCell ref="T182:U182"/>
    <mergeCell ref="N189:O189"/>
    <mergeCell ref="Q189:R189"/>
    <mergeCell ref="T189:U189"/>
    <mergeCell ref="W189:X189"/>
    <mergeCell ref="C215:X215"/>
    <mergeCell ref="C192:X193"/>
    <mergeCell ref="N188:O188"/>
    <mergeCell ref="Q188:R188"/>
    <mergeCell ref="T188:U188"/>
    <mergeCell ref="N185:O185"/>
    <mergeCell ref="W185:X185"/>
    <mergeCell ref="Q185:R185"/>
    <mergeCell ref="T185:U185"/>
    <mergeCell ref="T170:U170"/>
    <mergeCell ref="W170:X170"/>
    <mergeCell ref="C158:X159"/>
    <mergeCell ref="N160:O160"/>
    <mergeCell ref="Q160:R160"/>
    <mergeCell ref="T160:U160"/>
    <mergeCell ref="W168:X168"/>
    <mergeCell ref="N168:O168"/>
    <mergeCell ref="Q168:R168"/>
    <mergeCell ref="T168:U168"/>
    <mergeCell ref="Q161:R163"/>
    <mergeCell ref="N161:O163"/>
    <mergeCell ref="N164:O164"/>
    <mergeCell ref="Q164:R164"/>
    <mergeCell ref="T164:U164"/>
    <mergeCell ref="W161:X161"/>
    <mergeCell ref="W165:X165"/>
    <mergeCell ref="N165:O165"/>
    <mergeCell ref="Q165:R165"/>
    <mergeCell ref="T165:U165"/>
    <mergeCell ref="N170:O170"/>
    <mergeCell ref="Q170:R170"/>
    <mergeCell ref="W160:X160"/>
    <mergeCell ref="W164:X164"/>
    <mergeCell ref="C138:K138"/>
    <mergeCell ref="C139:K139"/>
    <mergeCell ref="C146:K146"/>
    <mergeCell ref="C149:K149"/>
    <mergeCell ref="C152:I152"/>
    <mergeCell ref="B151:H151"/>
    <mergeCell ref="C148:K148"/>
    <mergeCell ref="C142:K142"/>
    <mergeCell ref="C143:K143"/>
    <mergeCell ref="C140:K140"/>
    <mergeCell ref="C141:K141"/>
    <mergeCell ref="C144:K144"/>
    <mergeCell ref="C145:K145"/>
    <mergeCell ref="C136:K136"/>
    <mergeCell ref="W87:X87"/>
    <mergeCell ref="C132:K132"/>
    <mergeCell ref="C133:K133"/>
    <mergeCell ref="C135:K135"/>
    <mergeCell ref="K87:L87"/>
    <mergeCell ref="K88:L90"/>
    <mergeCell ref="K126:L126"/>
    <mergeCell ref="K122:L122"/>
    <mergeCell ref="K125:L125"/>
    <mergeCell ref="T92:U92"/>
    <mergeCell ref="T96:U96"/>
    <mergeCell ref="T91:U91"/>
    <mergeCell ref="N92:O92"/>
    <mergeCell ref="W104:X104"/>
    <mergeCell ref="Q96:R96"/>
    <mergeCell ref="W88:X88"/>
    <mergeCell ref="Q108:R108"/>
    <mergeCell ref="N108:O108"/>
    <mergeCell ref="N125:O125"/>
    <mergeCell ref="N114:O114"/>
    <mergeCell ref="Q114:R114"/>
    <mergeCell ref="N112:O112"/>
    <mergeCell ref="N122:O122"/>
    <mergeCell ref="N126:O126"/>
    <mergeCell ref="W110:X110"/>
    <mergeCell ref="W118:X118"/>
    <mergeCell ref="W126:X126"/>
    <mergeCell ref="W125:X125"/>
    <mergeCell ref="T126:U126"/>
    <mergeCell ref="R1:S1"/>
    <mergeCell ref="K36:L36"/>
    <mergeCell ref="K33:L33"/>
    <mergeCell ref="K25:L25"/>
    <mergeCell ref="N56:O56"/>
    <mergeCell ref="T87:U87"/>
    <mergeCell ref="N87:O87"/>
    <mergeCell ref="Q87:R87"/>
    <mergeCell ref="A2:Z2"/>
    <mergeCell ref="A3:Z3"/>
    <mergeCell ref="Q47:W47"/>
    <mergeCell ref="K31:L31"/>
    <mergeCell ref="E12:J12"/>
    <mergeCell ref="A10:Z10"/>
    <mergeCell ref="C25:I28"/>
    <mergeCell ref="C30:I30"/>
    <mergeCell ref="A4:Z4"/>
    <mergeCell ref="T114:U114"/>
    <mergeCell ref="D119:I120"/>
    <mergeCell ref="K119:L119"/>
    <mergeCell ref="L19:P19"/>
    <mergeCell ref="A5:Z5"/>
    <mergeCell ref="C23:G23"/>
    <mergeCell ref="K118:L118"/>
    <mergeCell ref="N118:O118"/>
    <mergeCell ref="K54:W54"/>
    <mergeCell ref="P56:R56"/>
    <mergeCell ref="K99:L99"/>
    <mergeCell ref="C63:K63"/>
    <mergeCell ref="C65:K65"/>
    <mergeCell ref="K38:L38"/>
    <mergeCell ref="K40:L40"/>
    <mergeCell ref="D96:I97"/>
    <mergeCell ref="C48:I49"/>
    <mergeCell ref="K43:L43"/>
    <mergeCell ref="K46:L46"/>
    <mergeCell ref="K48:L48"/>
    <mergeCell ref="N104:O104"/>
    <mergeCell ref="W91:X91"/>
    <mergeCell ref="W92:X92"/>
    <mergeCell ref="Q99:R99"/>
    <mergeCell ref="W112:X112"/>
    <mergeCell ref="C77:G77"/>
    <mergeCell ref="L20:P20"/>
    <mergeCell ref="A7:Z7"/>
    <mergeCell ref="K24:L24"/>
    <mergeCell ref="A9:Z9"/>
    <mergeCell ref="L16:P16"/>
    <mergeCell ref="T99:U99"/>
    <mergeCell ref="L17:P17"/>
    <mergeCell ref="L18:P18"/>
    <mergeCell ref="T161:U163"/>
    <mergeCell ref="K91:L91"/>
    <mergeCell ref="C46:I47"/>
    <mergeCell ref="K56:L56"/>
    <mergeCell ref="K101:L101"/>
    <mergeCell ref="K92:L92"/>
    <mergeCell ref="D92:I93"/>
    <mergeCell ref="K96:L96"/>
    <mergeCell ref="N116:O116"/>
    <mergeCell ref="Q116:R116"/>
    <mergeCell ref="Q101:R101"/>
    <mergeCell ref="N99:O99"/>
    <mergeCell ref="N101:O101"/>
    <mergeCell ref="N88:O90"/>
    <mergeCell ref="N96:O96"/>
    <mergeCell ref="N91:O91"/>
    <mergeCell ref="C61:K61"/>
    <mergeCell ref="K51:L51"/>
    <mergeCell ref="K53:L53"/>
    <mergeCell ref="Q125:R125"/>
    <mergeCell ref="C67:K67"/>
    <mergeCell ref="C69:K69"/>
    <mergeCell ref="C71:K71"/>
    <mergeCell ref="B74:H74"/>
    <mergeCell ref="AB35:AB36"/>
    <mergeCell ref="AB158:AB159"/>
    <mergeCell ref="AB89:AB90"/>
    <mergeCell ref="W114:X114"/>
    <mergeCell ref="Q88:R90"/>
    <mergeCell ref="T88:U90"/>
    <mergeCell ref="Q91:R91"/>
    <mergeCell ref="Q92:R92"/>
    <mergeCell ref="W108:X108"/>
    <mergeCell ref="T101:U101"/>
    <mergeCell ref="W96:X96"/>
    <mergeCell ref="W106:X106"/>
    <mergeCell ref="W99:X99"/>
    <mergeCell ref="W101:X101"/>
    <mergeCell ref="Q119:R119"/>
    <mergeCell ref="T119:U119"/>
    <mergeCell ref="W119:X119"/>
    <mergeCell ref="Q126:R126"/>
    <mergeCell ref="N106:O106"/>
    <mergeCell ref="Q122:R122"/>
    <mergeCell ref="Q110:R110"/>
    <mergeCell ref="T110:U110"/>
    <mergeCell ref="T122:U122"/>
    <mergeCell ref="T125:U125"/>
    <mergeCell ref="Q118:R118"/>
    <mergeCell ref="T118:U118"/>
    <mergeCell ref="W122:X122"/>
    <mergeCell ref="T116:U116"/>
    <mergeCell ref="W116:X116"/>
    <mergeCell ref="N119:O119"/>
    <mergeCell ref="N110:O110"/>
  </mergeCells>
  <phoneticPr fontId="5" type="noConversion"/>
  <conditionalFormatting sqref="K43:L43">
    <cfRule type="expression" dxfId="354" priority="68" stopIfTrue="1">
      <formula>AND($L$16&lt;&gt;"City of London")=TRUE</formula>
    </cfRule>
    <cfRule type="expression" dxfId="353" priority="69" stopIfTrue="1">
      <formula>AND($L$16="City of London")=TRUE</formula>
    </cfRule>
  </conditionalFormatting>
  <conditionalFormatting sqref="N112:O112">
    <cfRule type="expression" dxfId="352" priority="62" stopIfTrue="1">
      <formula>AND($L$16&lt;&gt;"City of London")=TRUE</formula>
    </cfRule>
    <cfRule type="expression" dxfId="351" priority="63" stopIfTrue="1">
      <formula>AND($L$16="City of London")=TRUE</formula>
    </cfRule>
  </conditionalFormatting>
  <conditionalFormatting sqref="W112:X112">
    <cfRule type="expression" dxfId="350" priority="60" stopIfTrue="1">
      <formula>AND($L$16&lt;&gt;"City of London")=TRUE</formula>
    </cfRule>
    <cfRule type="expression" dxfId="349" priority="61" stopIfTrue="1">
      <formula>AND($L$16="City of London")=TRUE</formula>
    </cfRule>
  </conditionalFormatting>
  <conditionalFormatting sqref="K38:L38">
    <cfRule type="cellIs" dxfId="348" priority="58" stopIfTrue="1" operator="lessThan">
      <formula>0</formula>
    </cfRule>
  </conditionalFormatting>
  <conditionalFormatting sqref="K53:L53">
    <cfRule type="expression" dxfId="347" priority="51" stopIfTrue="1">
      <formula>AND($U$233="Yes")=TRUE</formula>
    </cfRule>
  </conditionalFormatting>
  <conditionalFormatting sqref="Z25">
    <cfRule type="expression" dxfId="346" priority="50">
      <formula>AND($AB41=0)=FALSE</formula>
    </cfRule>
  </conditionalFormatting>
  <conditionalFormatting sqref="Y25">
    <cfRule type="expression" dxfId="345" priority="49">
      <formula>AND($AB41=0)=FALSE</formula>
    </cfRule>
  </conditionalFormatting>
  <conditionalFormatting sqref="Z31">
    <cfRule type="expression" dxfId="344" priority="48">
      <formula>AND($AB$43=0)=FALSE</formula>
    </cfRule>
  </conditionalFormatting>
  <conditionalFormatting sqref="Y31">
    <cfRule type="expression" dxfId="343" priority="47">
      <formula>AND($AB$43=0)=FALSE</formula>
    </cfRule>
  </conditionalFormatting>
  <conditionalFormatting sqref="Z33">
    <cfRule type="expression" dxfId="342" priority="44">
      <formula>AND($AB$43=0)=FALSE</formula>
    </cfRule>
  </conditionalFormatting>
  <conditionalFormatting sqref="Y33">
    <cfRule type="expression" dxfId="341" priority="43">
      <formula>AND($AB$43=0)=FALSE</formula>
    </cfRule>
  </conditionalFormatting>
  <conditionalFormatting sqref="Y36:Z36">
    <cfRule type="expression" dxfId="340" priority="36">
      <formula>AND(AB47=0)=FALSE</formula>
    </cfRule>
    <cfRule type="expression" dxfId="339" priority="41">
      <formula>AND($AB45=0)=FALSE</formula>
    </cfRule>
  </conditionalFormatting>
  <conditionalFormatting sqref="Y38:Z38">
    <cfRule type="expression" dxfId="338" priority="35">
      <formula>AND($AB47=0)=FALSE</formula>
    </cfRule>
  </conditionalFormatting>
  <conditionalFormatting sqref="Y40:Z40">
    <cfRule type="expression" dxfId="337" priority="33">
      <formula>AND($AB47=0)=FALSE</formula>
    </cfRule>
  </conditionalFormatting>
  <conditionalFormatting sqref="Y46:Z46">
    <cfRule type="expression" dxfId="336" priority="32">
      <formula>AND($AB49=0)=FALSE</formula>
    </cfRule>
  </conditionalFormatting>
  <conditionalFormatting sqref="Y48:Z48">
    <cfRule type="expression" dxfId="335" priority="31">
      <formula>AND($AB49=0)=FALSE</formula>
    </cfRule>
  </conditionalFormatting>
  <conditionalFormatting sqref="Y56:Z56">
    <cfRule type="expression" dxfId="334" priority="30">
      <formula>AND($AB53=0)=FALSE</formula>
    </cfRule>
  </conditionalFormatting>
  <conditionalFormatting sqref="Z165">
    <cfRule type="expression" dxfId="333" priority="29">
      <formula>AND($AB165=0)=FALSE</formula>
    </cfRule>
  </conditionalFormatting>
  <conditionalFormatting sqref="Z168">
    <cfRule type="expression" dxfId="332" priority="22">
      <formula>AND($AB168=0)=FALSE</formula>
    </cfRule>
  </conditionalFormatting>
  <conditionalFormatting sqref="Z170">
    <cfRule type="expression" dxfId="331" priority="21">
      <formula>AND($AB170=0)=FALSE</formula>
    </cfRule>
  </conditionalFormatting>
  <conditionalFormatting sqref="Z173">
    <cfRule type="expression" dxfId="330" priority="20">
      <formula>AND($AB173=0)=FALSE</formula>
    </cfRule>
  </conditionalFormatting>
  <conditionalFormatting sqref="Z176">
    <cfRule type="expression" dxfId="329" priority="19">
      <formula>AND($AB176=0)=FALSE</formula>
    </cfRule>
  </conditionalFormatting>
  <conditionalFormatting sqref="Z182:Z185">
    <cfRule type="expression" dxfId="328" priority="18">
      <formula>AND($AB182=0)=FALSE</formula>
    </cfRule>
  </conditionalFormatting>
  <conditionalFormatting sqref="Z189">
    <cfRule type="expression" dxfId="327" priority="17">
      <formula>AND($AB189=0)=FALSE</formula>
    </cfRule>
  </conditionalFormatting>
  <conditionalFormatting sqref="Z96">
    <cfRule type="expression" dxfId="326" priority="16">
      <formula>AND($AB96+AB98=0)=FALSE</formula>
    </cfRule>
  </conditionalFormatting>
  <conditionalFormatting sqref="Z112">
    <cfRule type="expression" dxfId="325" priority="15">
      <formula>AND($AB112=0)=FALSE</formula>
    </cfRule>
  </conditionalFormatting>
  <conditionalFormatting sqref="Z122">
    <cfRule type="expression" dxfId="324" priority="14">
      <formula>AND($AB122=0)=FALSE</formula>
    </cfRule>
  </conditionalFormatting>
  <conditionalFormatting sqref="Z126">
    <cfRule type="expression" dxfId="323" priority="13">
      <formula>AND($AB126=0)=FALSE</formula>
    </cfRule>
  </conditionalFormatting>
  <conditionalFormatting sqref="Z110">
    <cfRule type="expression" dxfId="322" priority="12">
      <formula>AND($AB110=0)=FALSE</formula>
    </cfRule>
  </conditionalFormatting>
  <conditionalFormatting sqref="Z108">
    <cfRule type="expression" dxfId="321" priority="11">
      <formula>AND($AB108=0)=FALSE</formula>
    </cfRule>
  </conditionalFormatting>
  <conditionalFormatting sqref="Z106">
    <cfRule type="expression" dxfId="320" priority="10">
      <formula>AND($AB106=0)=FALSE</formula>
    </cfRule>
  </conditionalFormatting>
  <conditionalFormatting sqref="Z104">
    <cfRule type="expression" dxfId="319" priority="9">
      <formula>AND($AB104=0)=FALSE</formula>
    </cfRule>
  </conditionalFormatting>
  <conditionalFormatting sqref="N116:O116">
    <cfRule type="expression" dxfId="318" priority="6">
      <formula>AND($L$16&lt;&gt;"North Somerset")=TRUE</formula>
    </cfRule>
  </conditionalFormatting>
  <conditionalFormatting sqref="W116:X116">
    <cfRule type="expression" dxfId="317" priority="5">
      <formula>AND($L$16&lt;&gt;"North Somerset")=TRUE</formula>
    </cfRule>
  </conditionalFormatting>
  <conditionalFormatting sqref="N110 Q110 T110 W110">
    <cfRule type="expression" dxfId="316" priority="4">
      <formula>AND($Q$233&lt;&gt;"Yes")=TRUE</formula>
    </cfRule>
  </conditionalFormatting>
  <conditionalFormatting sqref="Q185 W185 N185 T185">
    <cfRule type="expression" dxfId="315" priority="3">
      <formula>AND($P$233&lt;&gt;"Yes")=TRUE</formula>
    </cfRule>
  </conditionalFormatting>
  <conditionalFormatting sqref="Z179">
    <cfRule type="expression" dxfId="314" priority="1">
      <formula>AND($AB179=0)=FALSE</formula>
    </cfRule>
  </conditionalFormatting>
  <dataValidations count="11">
    <dataValidation type="whole" operator="greaterThanOrEqual" allowBlank="1" showInputMessage="1" showErrorMessage="1" errorTitle="Positive whole number required" error="This number MUST be a positive whole number. " sqref="K38:L38">
      <formula1>0</formula1>
    </dataValidation>
    <dataValidation type="custom" allowBlank="1" showInputMessage="1" showErrorMessage="1" error="Data entry not allowed" sqref="K36:L36 K31:L31 K33:L33">
      <formula1>$L$16="n/a"</formula1>
    </dataValidation>
    <dataValidation type="custom" allowBlank="1" showInputMessage="1" showErrorMessage="1" sqref="K56:L56">
      <formula1>$L$16="n/a"</formula1>
    </dataValidation>
    <dataValidation type="whole" operator="greaterThanOrEqual" allowBlank="1" showInputMessage="1" showErrorMessage="1" sqref="K53:L53">
      <formula1>0</formula1>
    </dataValidation>
    <dataValidation type="custom" allowBlank="1" showInputMessage="1" showErrorMessage="1" error="Do not try to enter data here_x000a_" sqref="B233:N233">
      <formula1>"if(z217=""n/a"")"</formula1>
    </dataValidation>
    <dataValidation type="custom" allowBlank="1" showInputMessage="1" showErrorMessage="1" sqref="N112:O112 W112:X112">
      <formula1>O85="n/a"</formula1>
    </dataValidation>
    <dataValidation type="custom" allowBlank="1" showInputMessage="1" showErrorMessage="1" error="This data is pre-filled from Part 3 of the form" sqref="K48:L48">
      <formula1>L16="n/a"</formula1>
    </dataValidation>
    <dataValidation type="custom" allowBlank="1" showInputMessage="1" showErrorMessage="1" errorTitle="Data entry not allowed" sqref="K25:L25">
      <formula1>L16="n/a"</formula1>
    </dataValidation>
    <dataValidation type="custom" allowBlank="1" showInputMessage="1" showErrorMessage="1" errorTitle="Data entry not allowed" sqref="K40:L40">
      <formula1>L16="N/A"</formula1>
    </dataValidation>
    <dataValidation type="whole" operator="greaterThanOrEqual" allowBlank="1" showInputMessage="1" showErrorMessage="1" errorTitle="Positive number required" error="Line 10 cannot be negative" sqref="K51:L51">
      <formula1>0</formula1>
    </dataValidation>
    <dataValidation type="custom" allowBlank="1" showInputMessage="1" showErrorMessage="1" error="This data is pre-filled from Part 3 of the form_x000a_" sqref="K46:L46">
      <formula1>L16="N/A"</formula1>
    </dataValidation>
  </dataValidations>
  <printOptions horizontalCentered="1"/>
  <pageMargins left="0.39370078740157483" right="0.39370078740157483" top="0.59055118110236227" bottom="0.59055118110236227" header="0.51181102362204722" footer="0.51181102362204722"/>
  <pageSetup paperSize="9" scale="50" fitToHeight="2" orientation="portrait" r:id="rId1"/>
  <headerFooter alignWithMargins="0"/>
  <rowBreaks count="2" manualBreakCount="2">
    <brk id="75" max="25" man="1"/>
    <brk id="152"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2053" r:id="rId4" name="List Box 5">
              <controlPr locked="0" defaultSize="0" autoFill="0" autoLine="0" autoPict="0">
                <anchor moveWithCells="1">
                  <from>
                    <xdr:col>10</xdr:col>
                    <xdr:colOff>561975</xdr:colOff>
                    <xdr:row>10</xdr:row>
                    <xdr:rowOff>85725</xdr:rowOff>
                  </from>
                  <to>
                    <xdr:col>15</xdr:col>
                    <xdr:colOff>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31" id="{2F5B5C7D-4C72-4292-A2E9-89996A6AC4DF}">
            <xm:f>'Main Validation'!#REF!&gt;0</xm:f>
            <x14:dxf>
              <font>
                <b/>
                <i val="0"/>
                <color rgb="FFFF0000"/>
              </font>
            </x14:dxf>
          </x14:cfRule>
          <xm:sqref>A9:Z9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pageSetUpPr fitToPage="1"/>
  </sheetPr>
  <dimension ref="A1:AH86"/>
  <sheetViews>
    <sheetView workbookViewId="0">
      <selection activeCell="C50" sqref="C50"/>
    </sheetView>
  </sheetViews>
  <sheetFormatPr defaultColWidth="9.140625" defaultRowHeight="15" x14ac:dyDescent="0.2"/>
  <cols>
    <col min="1" max="2" width="1.7109375" style="1611" customWidth="1"/>
    <col min="3" max="3" width="21.42578125" style="1611" customWidth="1"/>
    <col min="4" max="4" width="11" style="1611" customWidth="1"/>
    <col min="5" max="5" width="22.85546875" style="1611" customWidth="1"/>
    <col min="6" max="6" width="5.7109375" style="1611" customWidth="1"/>
    <col min="7" max="8" width="11.42578125" style="1611" customWidth="1"/>
    <col min="9" max="10" width="2.7109375" style="1611" customWidth="1"/>
    <col min="11" max="12" width="11.42578125" style="1611" customWidth="1"/>
    <col min="13" max="14" width="2.7109375" style="1611" customWidth="1"/>
    <col min="15" max="16" width="11.42578125" style="1611" customWidth="1"/>
    <col min="17" max="18" width="1.7109375" style="1611" customWidth="1"/>
    <col min="19" max="19" width="9.140625" style="37"/>
    <col min="20" max="20" width="10.85546875" style="37" bestFit="1" customWidth="1"/>
    <col min="21" max="21" width="11.28515625" style="495" hidden="1" customWidth="1"/>
    <col min="22" max="22" width="9.140625" style="37" hidden="1" customWidth="1"/>
    <col min="23" max="24" width="9.140625" style="37"/>
    <col min="25" max="25" width="6.42578125" style="37" customWidth="1"/>
    <col min="26" max="16384" width="9.140625" style="37"/>
  </cols>
  <sheetData>
    <row r="1" spans="1:23" x14ac:dyDescent="0.2">
      <c r="A1" s="1368"/>
      <c r="B1" s="1369"/>
      <c r="C1" s="1369"/>
      <c r="D1" s="1369"/>
      <c r="E1" s="1369"/>
      <c r="F1" s="1369"/>
      <c r="G1" s="1369"/>
      <c r="H1" s="1369"/>
      <c r="I1" s="1369"/>
      <c r="J1" s="1369"/>
      <c r="K1" s="1369"/>
      <c r="L1" s="1369"/>
      <c r="M1" s="1369"/>
      <c r="N1" s="1369"/>
      <c r="O1" s="1369"/>
      <c r="P1" s="1548"/>
      <c r="Q1" s="1548"/>
      <c r="R1" s="1370"/>
    </row>
    <row r="2" spans="1:23" ht="15.75" x14ac:dyDescent="0.25">
      <c r="A2" s="2540" t="s">
        <v>36</v>
      </c>
      <c r="B2" s="2541"/>
      <c r="C2" s="2541"/>
      <c r="D2" s="2541"/>
      <c r="E2" s="2541"/>
      <c r="F2" s="2541"/>
      <c r="G2" s="2541"/>
      <c r="H2" s="2541"/>
      <c r="I2" s="2541"/>
      <c r="J2" s="2541"/>
      <c r="K2" s="2541"/>
      <c r="L2" s="2541"/>
      <c r="M2" s="2541"/>
      <c r="N2" s="2541"/>
      <c r="O2" s="2541"/>
      <c r="P2" s="2541"/>
      <c r="Q2" s="2541"/>
      <c r="R2" s="2542"/>
    </row>
    <row r="3" spans="1:23" ht="15.75" x14ac:dyDescent="0.25">
      <c r="A3" s="2543" t="s">
        <v>2119</v>
      </c>
      <c r="B3" s="2544"/>
      <c r="C3" s="2544"/>
      <c r="D3" s="2544"/>
      <c r="E3" s="2544"/>
      <c r="F3" s="2544"/>
      <c r="G3" s="2544"/>
      <c r="H3" s="2544"/>
      <c r="I3" s="2544"/>
      <c r="J3" s="2544"/>
      <c r="K3" s="2544"/>
      <c r="L3" s="2544"/>
      <c r="M3" s="2544"/>
      <c r="N3" s="2544"/>
      <c r="O3" s="2544"/>
      <c r="P3" s="2544"/>
      <c r="Q3" s="2544"/>
      <c r="R3" s="2545"/>
    </row>
    <row r="4" spans="1:23" ht="15.75" x14ac:dyDescent="0.25">
      <c r="A4" s="1549"/>
      <c r="B4" s="1550"/>
      <c r="C4" s="1550"/>
      <c r="D4" s="1550"/>
      <c r="E4" s="1550"/>
      <c r="F4" s="1550"/>
      <c r="G4" s="1550"/>
      <c r="H4" s="1550"/>
      <c r="I4" s="1550"/>
      <c r="J4" s="1550"/>
      <c r="K4" s="1550"/>
      <c r="L4" s="1550"/>
      <c r="M4" s="1550"/>
      <c r="N4" s="1550"/>
      <c r="O4" s="1550"/>
      <c r="P4" s="1550"/>
      <c r="Q4" s="1550"/>
      <c r="R4" s="1551"/>
    </row>
    <row r="5" spans="1:23" x14ac:dyDescent="0.2">
      <c r="A5" s="2546" t="s">
        <v>1070</v>
      </c>
      <c r="B5" s="2535"/>
      <c r="C5" s="2535"/>
      <c r="D5" s="2535"/>
      <c r="E5" s="2535"/>
      <c r="F5" s="2535"/>
      <c r="G5" s="2535"/>
      <c r="H5" s="2535"/>
      <c r="I5" s="2535"/>
      <c r="J5" s="2535"/>
      <c r="K5" s="2535"/>
      <c r="L5" s="2535"/>
      <c r="M5" s="2535"/>
      <c r="N5" s="2535"/>
      <c r="O5" s="2535"/>
      <c r="P5" s="2535"/>
      <c r="Q5" s="2535"/>
      <c r="R5" s="2547"/>
    </row>
    <row r="6" spans="1:23" x14ac:dyDescent="0.2">
      <c r="A6" s="1552"/>
      <c r="B6" s="1550"/>
      <c r="C6" s="1550"/>
      <c r="D6" s="1550"/>
      <c r="E6" s="1550"/>
      <c r="F6" s="1550"/>
      <c r="G6" s="1550"/>
      <c r="H6" s="1550"/>
      <c r="I6" s="1550"/>
      <c r="J6" s="1550"/>
      <c r="K6" s="1550"/>
      <c r="L6" s="1550"/>
      <c r="M6" s="1550"/>
      <c r="N6" s="1550"/>
      <c r="O6" s="1550"/>
      <c r="P6" s="1550"/>
      <c r="Q6" s="1550"/>
      <c r="R6" s="1551"/>
    </row>
    <row r="7" spans="1:23" x14ac:dyDescent="0.2">
      <c r="A7" s="2546" t="str">
        <f>+IF('Main Validation'!M48=0,"If you are content with your answers please return this form to DCLG as soon as possible","Please check the Validation tab and answer the validation queries that need to be answered")</f>
        <v>Please check the Validation tab and answer the validation queries that need to be answered</v>
      </c>
      <c r="B7" s="2535"/>
      <c r="C7" s="2535"/>
      <c r="D7" s="2535"/>
      <c r="E7" s="2535"/>
      <c r="F7" s="2535"/>
      <c r="G7" s="2535"/>
      <c r="H7" s="2535"/>
      <c r="I7" s="2535"/>
      <c r="J7" s="2535"/>
      <c r="K7" s="2535"/>
      <c r="L7" s="2535"/>
      <c r="M7" s="2535"/>
      <c r="N7" s="2535"/>
      <c r="O7" s="2535"/>
      <c r="P7" s="2535"/>
      <c r="Q7" s="2535"/>
      <c r="R7" s="2547"/>
      <c r="W7" s="9"/>
    </row>
    <row r="8" spans="1:23" ht="15.75" thickBot="1" x14ac:dyDescent="0.25">
      <c r="A8" s="1371"/>
      <c r="B8" s="1372"/>
      <c r="C8" s="1372"/>
      <c r="D8" s="1372"/>
      <c r="E8" s="1372"/>
      <c r="F8" s="1372"/>
      <c r="G8" s="1372"/>
      <c r="H8" s="1372"/>
      <c r="I8" s="1372"/>
      <c r="J8" s="1372"/>
      <c r="K8" s="1372"/>
      <c r="L8" s="1372"/>
      <c r="M8" s="1372"/>
      <c r="N8" s="1372"/>
      <c r="O8" s="1373" t="s">
        <v>1195</v>
      </c>
      <c r="P8" s="1374">
        <f>+'Part 1'!X21</f>
        <v>1</v>
      </c>
      <c r="Q8" s="1553"/>
      <c r="R8" s="1375"/>
    </row>
    <row r="9" spans="1:23" x14ac:dyDescent="0.2">
      <c r="A9" s="1384"/>
      <c r="B9" s="1385"/>
      <c r="C9" s="2548"/>
      <c r="D9" s="2548"/>
      <c r="E9" s="2548"/>
      <c r="F9" s="2548"/>
      <c r="G9" s="2548"/>
      <c r="H9" s="1385"/>
      <c r="I9" s="1385"/>
      <c r="J9" s="1385"/>
      <c r="K9" s="1385"/>
      <c r="L9" s="1385"/>
      <c r="M9" s="1385"/>
      <c r="N9" s="1385"/>
      <c r="O9" s="1385"/>
      <c r="P9" s="1385"/>
      <c r="Q9" s="1385"/>
      <c r="R9" s="1387"/>
    </row>
    <row r="10" spans="1:23" ht="18" x14ac:dyDescent="0.25">
      <c r="A10" s="1379"/>
      <c r="B10" s="1380"/>
      <c r="C10" s="1381" t="str">
        <f>+CONCATENATE("Local Authority : ",+'Part 1'!L16)</f>
        <v>Local Authority : ZZZZ</v>
      </c>
      <c r="D10" s="1381"/>
      <c r="E10" s="1382"/>
      <c r="F10" s="1382"/>
      <c r="G10" s="1382"/>
      <c r="H10" s="1380"/>
      <c r="I10" s="1380"/>
      <c r="J10" s="1380"/>
      <c r="K10" s="1380"/>
      <c r="L10" s="1380"/>
      <c r="M10" s="1380"/>
      <c r="N10" s="1380"/>
      <c r="O10" s="1380"/>
      <c r="P10" s="1380"/>
      <c r="Q10" s="1380"/>
      <c r="R10" s="1383"/>
    </row>
    <row r="11" spans="1:23" ht="15.75" x14ac:dyDescent="0.25">
      <c r="A11" s="1554"/>
      <c r="B11" s="1382"/>
      <c r="C11" s="1382"/>
      <c r="D11" s="1382"/>
      <c r="E11" s="1555"/>
      <c r="F11" s="1556"/>
      <c r="G11" s="1556"/>
      <c r="H11" s="1556"/>
      <c r="I11" s="1556"/>
      <c r="J11" s="1380"/>
      <c r="K11" s="1380"/>
      <c r="L11" s="1380"/>
      <c r="M11" s="1380"/>
      <c r="N11" s="1380"/>
      <c r="O11" s="1380"/>
      <c r="P11" s="1380"/>
      <c r="Q11" s="1380"/>
      <c r="R11" s="1383"/>
    </row>
    <row r="12" spans="1:23" ht="15.75" x14ac:dyDescent="0.25">
      <c r="A12" s="1554"/>
      <c r="B12" s="1382"/>
      <c r="C12" s="1557" t="s">
        <v>1069</v>
      </c>
      <c r="D12" s="1382"/>
      <c r="E12" s="1555"/>
      <c r="F12" s="1556"/>
      <c r="G12" s="1556"/>
      <c r="H12" s="1556"/>
      <c r="I12" s="1556"/>
      <c r="J12" s="1380"/>
      <c r="K12" s="2539"/>
      <c r="L12" s="2539"/>
      <c r="M12" s="2539"/>
      <c r="N12" s="1380"/>
      <c r="O12" s="1380"/>
      <c r="P12" s="1380"/>
      <c r="Q12" s="1380"/>
      <c r="R12" s="1383"/>
    </row>
    <row r="13" spans="1:23" ht="15.75" customHeight="1" x14ac:dyDescent="0.25">
      <c r="A13" s="1558"/>
      <c r="B13" s="1555"/>
      <c r="C13" s="2533" t="str">
        <f>+IF('Part 1'!Q233=0,"You should complete column 1 only",IF('Part 1'!S233=0,"You should complete columns 1 &amp; 2",IF('Part 1'!T233=0,"You should complete columns 1,2 &amp; 3","You should complete columns 1, 2, 3 &amp; 4")))</f>
        <v>You should complete column 1 only</v>
      </c>
      <c r="D13" s="2533"/>
      <c r="E13" s="2533"/>
      <c r="F13" s="1559"/>
      <c r="G13" s="2534" t="s">
        <v>794</v>
      </c>
      <c r="H13" s="2534"/>
      <c r="I13" s="1556"/>
      <c r="J13" s="1386"/>
      <c r="K13" s="2534" t="s">
        <v>795</v>
      </c>
      <c r="L13" s="2534"/>
      <c r="M13" s="1386"/>
      <c r="N13" s="1386"/>
      <c r="O13" s="2535" t="s">
        <v>796</v>
      </c>
      <c r="P13" s="2534"/>
      <c r="Q13" s="1386"/>
      <c r="R13" s="1383"/>
      <c r="U13" s="2198" t="s">
        <v>1090</v>
      </c>
    </row>
    <row r="14" spans="1:23" ht="15.75" customHeight="1" x14ac:dyDescent="0.25">
      <c r="A14" s="1558"/>
      <c r="B14" s="1555"/>
      <c r="C14" s="1555"/>
      <c r="D14" s="1555"/>
      <c r="E14" s="1555"/>
      <c r="F14" s="1555"/>
      <c r="G14" s="2536" t="s">
        <v>964</v>
      </c>
      <c r="H14" s="2525"/>
      <c r="I14" s="1556"/>
      <c r="J14" s="1388"/>
      <c r="K14" s="2537" t="s">
        <v>2288</v>
      </c>
      <c r="L14" s="2538"/>
      <c r="M14" s="1560"/>
      <c r="N14" s="1388"/>
      <c r="O14" s="2524" t="s">
        <v>35</v>
      </c>
      <c r="P14" s="2525"/>
      <c r="Q14" s="1388"/>
      <c r="R14" s="1383"/>
      <c r="U14" s="2199"/>
    </row>
    <row r="15" spans="1:23" ht="34.5" customHeight="1" x14ac:dyDescent="0.25">
      <c r="A15" s="1558"/>
      <c r="B15" s="1555"/>
      <c r="C15" s="1555"/>
      <c r="D15" s="1555"/>
      <c r="E15" s="1555"/>
      <c r="F15" s="1555"/>
      <c r="G15" s="2525"/>
      <c r="H15" s="2525"/>
      <c r="I15" s="1556"/>
      <c r="J15" s="1388"/>
      <c r="K15" s="2538"/>
      <c r="L15" s="2538"/>
      <c r="M15" s="1560"/>
      <c r="N15" s="1388"/>
      <c r="O15" s="2525"/>
      <c r="P15" s="2525"/>
      <c r="Q15" s="1380"/>
      <c r="R15" s="1383"/>
    </row>
    <row r="16" spans="1:23" ht="30" customHeight="1" x14ac:dyDescent="0.25">
      <c r="A16" s="1558"/>
      <c r="B16" s="1555"/>
      <c r="C16" s="1555"/>
      <c r="D16" s="1555"/>
      <c r="E16" s="1555"/>
      <c r="F16" s="1555"/>
      <c r="G16" s="2530" t="s">
        <v>970</v>
      </c>
      <c r="H16" s="2530"/>
      <c r="I16" s="1556"/>
      <c r="J16" s="1561"/>
      <c r="K16" s="2531"/>
      <c r="L16" s="2531"/>
      <c r="M16" s="1560"/>
      <c r="N16" s="1561"/>
      <c r="O16" s="2531" t="s">
        <v>971</v>
      </c>
      <c r="P16" s="2531"/>
      <c r="Q16" s="1380"/>
      <c r="R16" s="1383"/>
      <c r="U16" s="661" t="s">
        <v>965</v>
      </c>
    </row>
    <row r="17" spans="1:34" ht="16.5" thickBot="1" x14ac:dyDescent="0.3">
      <c r="A17" s="1558"/>
      <c r="B17" s="1382"/>
      <c r="C17" s="1382" t="s">
        <v>809</v>
      </c>
      <c r="D17" s="1382"/>
      <c r="E17" s="1555"/>
      <c r="F17" s="1555"/>
      <c r="G17" s="2532" t="s">
        <v>786</v>
      </c>
      <c r="H17" s="2532"/>
      <c r="I17" s="1556"/>
      <c r="J17" s="1380"/>
      <c r="K17" s="2532" t="s">
        <v>786</v>
      </c>
      <c r="L17" s="2532"/>
      <c r="M17" s="1560"/>
      <c r="N17" s="1380"/>
      <c r="O17" s="2532" t="s">
        <v>786</v>
      </c>
      <c r="P17" s="2532"/>
      <c r="Q17" s="1380"/>
      <c r="R17" s="1383"/>
      <c r="U17" s="488"/>
    </row>
    <row r="18" spans="1:34" ht="16.5" thickBot="1" x14ac:dyDescent="0.3">
      <c r="A18" s="1558"/>
      <c r="B18" s="1555"/>
      <c r="C18" s="2505" t="s">
        <v>838</v>
      </c>
      <c r="D18" s="2528"/>
      <c r="E18" s="2528"/>
      <c r="F18" s="1555"/>
      <c r="G18" s="2494">
        <f>+'Part 2'!J181</f>
        <v>0</v>
      </c>
      <c r="H18" s="2495"/>
      <c r="I18" s="1556"/>
      <c r="J18" s="1389"/>
      <c r="K18" s="2500">
        <f>'Part 2'!N181</f>
        <v>0</v>
      </c>
      <c r="L18" s="2501"/>
      <c r="M18" s="1562"/>
      <c r="N18" s="1389"/>
      <c r="O18" s="2494">
        <f>+'Part 2'!R181</f>
        <v>0</v>
      </c>
      <c r="P18" s="2495"/>
      <c r="Q18" s="1386"/>
      <c r="R18" s="1387"/>
      <c r="U18" s="488">
        <f>IF(+G18+K18-O18=0,0,1)</f>
        <v>0</v>
      </c>
      <c r="W18" s="176">
        <f>IF(G18='Part 3'!G18,0,1)</f>
        <v>0</v>
      </c>
      <c r="X18" s="176">
        <f>IF(H18='Part 3'!H18,0,1)</f>
        <v>0</v>
      </c>
      <c r="Y18" s="176">
        <f>IF(I18='Part 3'!I18,0,1)</f>
        <v>0</v>
      </c>
      <c r="Z18" s="176">
        <f>IF(J18='Part 3'!J18,0,1)</f>
        <v>0</v>
      </c>
      <c r="AA18" s="176">
        <f>IF(K18='Part 3'!K18,0,1)</f>
        <v>0</v>
      </c>
      <c r="AB18" s="176">
        <f>IF(L18='Part 3'!L18,0,1)</f>
        <v>0</v>
      </c>
      <c r="AC18" s="176">
        <f>IF(M18='Part 3'!M18,0,1)</f>
        <v>0</v>
      </c>
      <c r="AD18" s="176">
        <f>IF(N18='Part 3'!N18,0,1)</f>
        <v>0</v>
      </c>
      <c r="AE18" s="176">
        <f>IF(O18='Part 3'!O18,0,1)</f>
        <v>0</v>
      </c>
      <c r="AF18" s="176">
        <f>IF(P18='Part 3'!P18,0,1)</f>
        <v>0</v>
      </c>
      <c r="AH18" s="1537">
        <f>IF(SUM(W18:AF18)&gt;0,1,0)</f>
        <v>0</v>
      </c>
    </row>
    <row r="19" spans="1:34" ht="15.75" x14ac:dyDescent="0.25">
      <c r="A19" s="1558"/>
      <c r="B19" s="1555"/>
      <c r="C19" s="2528"/>
      <c r="D19" s="2528"/>
      <c r="E19" s="2528"/>
      <c r="F19" s="1555"/>
      <c r="G19" s="1389"/>
      <c r="H19" s="1389"/>
      <c r="I19" s="1556"/>
      <c r="J19" s="1563"/>
      <c r="K19" s="1563"/>
      <c r="L19" s="1563"/>
      <c r="M19" s="1563"/>
      <c r="N19" s="1389"/>
      <c r="O19" s="1389"/>
      <c r="P19" s="1389"/>
      <c r="Q19" s="1380"/>
      <c r="R19" s="1383"/>
      <c r="U19" s="488"/>
      <c r="AH19" s="1537"/>
    </row>
    <row r="20" spans="1:34" ht="15.75" customHeight="1" x14ac:dyDescent="0.25">
      <c r="A20" s="1558"/>
      <c r="B20" s="1555"/>
      <c r="C20" s="2529"/>
      <c r="D20" s="2529"/>
      <c r="E20" s="2529"/>
      <c r="F20" s="1555"/>
      <c r="G20" s="1564"/>
      <c r="H20" s="1564"/>
      <c r="I20" s="1564"/>
      <c r="J20" s="1563"/>
      <c r="K20" s="1563"/>
      <c r="L20" s="1563"/>
      <c r="M20" s="1563"/>
      <c r="N20" s="1389"/>
      <c r="O20" s="1389"/>
      <c r="P20" s="1389"/>
      <c r="Q20" s="1380"/>
      <c r="R20" s="1383"/>
      <c r="U20" s="488">
        <f>IF(+G18+K18-'Part 2'!R181=0,0,1)</f>
        <v>0</v>
      </c>
      <c r="AH20" s="1537"/>
    </row>
    <row r="21" spans="1:34" ht="15.75" x14ac:dyDescent="0.25">
      <c r="A21" s="1558"/>
      <c r="B21" s="1555"/>
      <c r="C21" s="1565"/>
      <c r="D21" s="1555"/>
      <c r="E21" s="1555"/>
      <c r="F21" s="1555"/>
      <c r="G21" s="1566"/>
      <c r="H21" s="1566"/>
      <c r="I21" s="1556"/>
      <c r="J21" s="1563"/>
      <c r="K21" s="1563"/>
      <c r="L21" s="1563"/>
      <c r="M21" s="1563"/>
      <c r="N21" s="1389"/>
      <c r="O21" s="1389"/>
      <c r="P21" s="1389"/>
      <c r="Q21" s="1380"/>
      <c r="R21" s="1383"/>
      <c r="U21" s="488"/>
      <c r="AH21" s="1537"/>
    </row>
    <row r="22" spans="1:34" ht="16.5" thickBot="1" x14ac:dyDescent="0.3">
      <c r="A22" s="1558"/>
      <c r="B22" s="1556"/>
      <c r="C22" s="1556" t="s">
        <v>824</v>
      </c>
      <c r="D22" s="1555"/>
      <c r="E22" s="1555"/>
      <c r="F22" s="1555"/>
      <c r="G22" s="1389"/>
      <c r="H22" s="1389"/>
      <c r="I22" s="1556"/>
      <c r="J22" s="1389"/>
      <c r="K22" s="1389"/>
      <c r="L22" s="1389"/>
      <c r="M22" s="1560"/>
      <c r="N22" s="1389"/>
      <c r="O22" s="1389"/>
      <c r="P22" s="1389"/>
      <c r="Q22" s="1380"/>
      <c r="R22" s="1383"/>
      <c r="U22" s="488"/>
      <c r="AH22" s="1537"/>
    </row>
    <row r="23" spans="1:34" ht="16.5" thickBot="1" x14ac:dyDescent="0.3">
      <c r="A23" s="1558"/>
      <c r="B23" s="1555"/>
      <c r="C23" s="2505" t="s">
        <v>2147</v>
      </c>
      <c r="D23" s="2505"/>
      <c r="E23" s="2505"/>
      <c r="F23" s="1555"/>
      <c r="G23" s="2492">
        <v>0</v>
      </c>
      <c r="H23" s="2493"/>
      <c r="I23" s="1556"/>
      <c r="J23" s="1389"/>
      <c r="K23" s="2500">
        <f>'Part 3 DA summary'!G6</f>
        <v>0</v>
      </c>
      <c r="L23" s="2501"/>
      <c r="M23" s="1560"/>
      <c r="N23" s="1389"/>
      <c r="O23" s="2494">
        <f>+G23+K23</f>
        <v>0</v>
      </c>
      <c r="P23" s="2495"/>
      <c r="Q23" s="1386"/>
      <c r="R23" s="1387"/>
      <c r="U23" s="488">
        <f>IF(+G23+K23-O23=0,0,1)</f>
        <v>0</v>
      </c>
      <c r="W23" s="176">
        <f>IF(G23='Part 3'!G23,0,1)</f>
        <v>0</v>
      </c>
      <c r="X23" s="176">
        <f>IF(H23='Part 3'!H23,0,1)</f>
        <v>0</v>
      </c>
      <c r="Y23" s="176">
        <f>IF(I23='Part 3'!I23,0,1)</f>
        <v>0</v>
      </c>
      <c r="Z23" s="176">
        <f>IF(J23='Part 3'!J23,0,1)</f>
        <v>0</v>
      </c>
      <c r="AA23" s="176">
        <f>IF(K23='Part 3'!K23,0,1)</f>
        <v>0</v>
      </c>
      <c r="AB23" s="176">
        <f>IF(L23='Part 3'!L23,0,1)</f>
        <v>0</v>
      </c>
      <c r="AC23" s="176">
        <f>IF(M23='Part 3'!M23,0,1)</f>
        <v>0</v>
      </c>
      <c r="AD23" s="176">
        <f>IF(N23='Part 3'!N23,0,1)</f>
        <v>0</v>
      </c>
      <c r="AE23" s="176">
        <f>IF(O23='Part 3'!O23,0,1)</f>
        <v>0</v>
      </c>
      <c r="AF23" s="176">
        <f>IF(P23='Part 3'!P23,0,1)</f>
        <v>0</v>
      </c>
      <c r="AH23" s="1537">
        <f>IF(SUM(W23:AF23)&gt;0,1,0)</f>
        <v>0</v>
      </c>
    </row>
    <row r="24" spans="1:34" ht="15.75" x14ac:dyDescent="0.25">
      <c r="A24" s="1558"/>
      <c r="B24" s="1555"/>
      <c r="C24" s="2505"/>
      <c r="D24" s="2505"/>
      <c r="E24" s="2505"/>
      <c r="F24" s="1555"/>
      <c r="G24" s="1389"/>
      <c r="H24" s="1389"/>
      <c r="I24" s="1556"/>
      <c r="J24" s="1389"/>
      <c r="K24" s="1389"/>
      <c r="L24" s="1389"/>
      <c r="M24" s="1560"/>
      <c r="N24" s="1389"/>
      <c r="O24" s="1389"/>
      <c r="P24" s="1389"/>
      <c r="Q24" s="1380"/>
      <c r="R24" s="1383"/>
      <c r="U24" s="488"/>
      <c r="AH24" s="1537"/>
    </row>
    <row r="25" spans="1:34" ht="16.5" thickBot="1" x14ac:dyDescent="0.3">
      <c r="A25" s="1558"/>
      <c r="B25" s="1555"/>
      <c r="C25" s="1395"/>
      <c r="D25" s="1395"/>
      <c r="E25" s="1395"/>
      <c r="F25" s="1555"/>
      <c r="G25" s="1389"/>
      <c r="H25" s="1389"/>
      <c r="I25" s="1556"/>
      <c r="J25" s="1389"/>
      <c r="K25" s="1389"/>
      <c r="L25" s="1389"/>
      <c r="M25" s="1560"/>
      <c r="N25" s="1389"/>
      <c r="O25" s="1389"/>
      <c r="P25" s="1389"/>
      <c r="Q25" s="1380"/>
      <c r="R25" s="1383"/>
      <c r="U25" s="488"/>
      <c r="AH25" s="1537"/>
    </row>
    <row r="26" spans="1:34" ht="16.5" customHeight="1" thickBot="1" x14ac:dyDescent="0.3">
      <c r="A26" s="1558"/>
      <c r="B26" s="1555"/>
      <c r="C26" s="2505" t="s">
        <v>2148</v>
      </c>
      <c r="D26" s="2505"/>
      <c r="E26" s="2505"/>
      <c r="F26" s="1555"/>
      <c r="G26" s="2492">
        <v>0</v>
      </c>
      <c r="H26" s="2493"/>
      <c r="I26" s="1556"/>
      <c r="J26" s="1389"/>
      <c r="K26" s="2500">
        <f>'Part 3 DA summary'!I6</f>
        <v>0</v>
      </c>
      <c r="L26" s="2501"/>
      <c r="M26" s="1560"/>
      <c r="N26" s="1389"/>
      <c r="O26" s="2494">
        <f>+G26+K26</f>
        <v>0</v>
      </c>
      <c r="P26" s="2495"/>
      <c r="Q26" s="1386"/>
      <c r="R26" s="1387"/>
      <c r="U26" s="488">
        <f>IF(+G26+K26-O26=0,0,1)</f>
        <v>0</v>
      </c>
      <c r="W26" s="176">
        <f>IF(G26='Part 3'!G26,0,1)</f>
        <v>0</v>
      </c>
      <c r="X26" s="176">
        <f>IF(H26='Part 3'!H26,0,1)</f>
        <v>0</v>
      </c>
      <c r="Y26" s="176">
        <f>IF(I26='Part 3'!I26,0,1)</f>
        <v>0</v>
      </c>
      <c r="Z26" s="176">
        <f>IF(J26='Part 3'!J26,0,1)</f>
        <v>0</v>
      </c>
      <c r="AA26" s="176">
        <f>IF(K26='Part 3'!K26,0,1)</f>
        <v>0</v>
      </c>
      <c r="AB26" s="176">
        <f>IF(L26='Part 3'!L26,0,1)</f>
        <v>0</v>
      </c>
      <c r="AC26" s="176">
        <f>IF(M26='Part 3'!M26,0,1)</f>
        <v>0</v>
      </c>
      <c r="AD26" s="176">
        <f>IF(N26='Part 3'!N26,0,1)</f>
        <v>0</v>
      </c>
      <c r="AE26" s="176">
        <f>IF(O26='Part 3'!O26,0,1)</f>
        <v>0</v>
      </c>
      <c r="AF26" s="176">
        <f>IF(P26='Part 3'!P26,0,1)</f>
        <v>0</v>
      </c>
      <c r="AH26" s="1537">
        <f>IF(SUM(W26:AF26)&gt;0,1,0)</f>
        <v>0</v>
      </c>
    </row>
    <row r="27" spans="1:34" ht="15.75" x14ac:dyDescent="0.25">
      <c r="A27" s="1558"/>
      <c r="B27" s="1555"/>
      <c r="C27" s="2505"/>
      <c r="D27" s="2505"/>
      <c r="E27" s="2505"/>
      <c r="F27" s="1555"/>
      <c r="G27" s="1392"/>
      <c r="H27" s="1392"/>
      <c r="I27" s="1556"/>
      <c r="J27" s="1389"/>
      <c r="K27" s="1392"/>
      <c r="L27" s="1392"/>
      <c r="M27" s="1560"/>
      <c r="N27" s="1389"/>
      <c r="O27" s="1392"/>
      <c r="P27" s="1389"/>
      <c r="Q27" s="1386"/>
      <c r="R27" s="1383"/>
      <c r="U27" s="488"/>
      <c r="AH27" s="1537"/>
    </row>
    <row r="28" spans="1:34" ht="16.5" thickBot="1" x14ac:dyDescent="0.25">
      <c r="A28" s="1558"/>
      <c r="B28" s="1555"/>
      <c r="C28" s="1567"/>
      <c r="D28" s="1567"/>
      <c r="E28" s="1567"/>
      <c r="F28" s="1555"/>
      <c r="G28" s="1392"/>
      <c r="H28" s="1392"/>
      <c r="I28" s="1568"/>
      <c r="J28" s="1568"/>
      <c r="K28" s="1392"/>
      <c r="L28" s="1392"/>
      <c r="M28" s="1392"/>
      <c r="N28" s="1389"/>
      <c r="O28" s="1392"/>
      <c r="P28" s="1389"/>
      <c r="Q28" s="1386"/>
      <c r="R28" s="1383"/>
      <c r="U28" s="488"/>
      <c r="AH28" s="1537"/>
    </row>
    <row r="29" spans="1:34" ht="15.75" x14ac:dyDescent="0.2">
      <c r="A29" s="1558"/>
      <c r="B29" s="1569"/>
      <c r="C29" s="1570"/>
      <c r="D29" s="1570"/>
      <c r="E29" s="1570"/>
      <c r="F29" s="1571"/>
      <c r="G29" s="1572"/>
      <c r="H29" s="1572"/>
      <c r="I29" s="1573"/>
      <c r="J29" s="1574"/>
      <c r="K29" s="1572"/>
      <c r="L29" s="1572"/>
      <c r="M29" s="1572"/>
      <c r="N29" s="1575"/>
      <c r="O29" s="1572"/>
      <c r="P29" s="1403"/>
      <c r="Q29" s="1576"/>
      <c r="R29" s="1383"/>
      <c r="U29" s="488"/>
      <c r="AH29" s="1537"/>
    </row>
    <row r="30" spans="1:34" ht="16.5" thickBot="1" x14ac:dyDescent="0.3">
      <c r="A30" s="1558"/>
      <c r="B30" s="1577"/>
      <c r="C30" s="1556" t="s">
        <v>647</v>
      </c>
      <c r="D30" s="1555"/>
      <c r="E30" s="1555"/>
      <c r="F30" s="1555"/>
      <c r="G30" s="1389"/>
      <c r="H30" s="1389"/>
      <c r="I30" s="1556"/>
      <c r="J30" s="1578"/>
      <c r="K30" s="1389"/>
      <c r="L30" s="1389"/>
      <c r="M30" s="1560"/>
      <c r="N30" s="1579"/>
      <c r="O30" s="1389"/>
      <c r="P30" s="1389"/>
      <c r="Q30" s="1580"/>
      <c r="R30" s="1383"/>
      <c r="U30" s="488"/>
      <c r="AH30" s="1537"/>
    </row>
    <row r="31" spans="1:34" ht="16.5" thickBot="1" x14ac:dyDescent="0.3">
      <c r="A31" s="1558"/>
      <c r="B31" s="1581"/>
      <c r="C31" s="1582" t="s">
        <v>830</v>
      </c>
      <c r="D31" s="1555"/>
      <c r="E31" s="1555"/>
      <c r="F31" s="1555"/>
      <c r="G31" s="2509">
        <f>+G18+G23+G26</f>
        <v>0</v>
      </c>
      <c r="H31" s="2510"/>
      <c r="I31" s="1556"/>
      <c r="J31" s="1578"/>
      <c r="K31" s="2526">
        <f>+K18+K23+K26</f>
        <v>0</v>
      </c>
      <c r="L31" s="2527"/>
      <c r="M31" s="1560"/>
      <c r="N31" s="1579"/>
      <c r="O31" s="2494">
        <f>+G31+K31</f>
        <v>0</v>
      </c>
      <c r="P31" s="2495"/>
      <c r="Q31" s="1580"/>
      <c r="R31" s="1383"/>
      <c r="U31" s="488">
        <f>IF(+G31+K31-O31=0,0,1)</f>
        <v>0</v>
      </c>
      <c r="W31" s="176">
        <f>IF(G31='Part 3'!G31,0,1)</f>
        <v>0</v>
      </c>
      <c r="X31" s="176">
        <f>IF(H31='Part 3'!H31,0,1)</f>
        <v>0</v>
      </c>
      <c r="Y31" s="176">
        <f>IF(I31='Part 3'!I31,0,1)</f>
        <v>0</v>
      </c>
      <c r="Z31" s="176">
        <f>IF(J31='Part 3'!J31,0,1)</f>
        <v>0</v>
      </c>
      <c r="AA31" s="176">
        <f>IF(K31='Part 3'!K31,0,1)</f>
        <v>0</v>
      </c>
      <c r="AB31" s="176">
        <f>IF(L31='Part 3'!L31,0,1)</f>
        <v>0</v>
      </c>
      <c r="AC31" s="176">
        <f>IF(M31='Part 3'!M31,0,1)</f>
        <v>0</v>
      </c>
      <c r="AD31" s="176">
        <f>IF(N31='Part 3'!N31,0,1)</f>
        <v>0</v>
      </c>
      <c r="AE31" s="176">
        <f>IF(O31='Part 3'!O31,0,1)</f>
        <v>0</v>
      </c>
      <c r="AF31" s="176">
        <f>IF(P31='Part 3'!P31,0,1)</f>
        <v>0</v>
      </c>
      <c r="AH31" s="1537">
        <f>IF(SUM(W31:AF31)&gt;0,1,0)</f>
        <v>0</v>
      </c>
    </row>
    <row r="32" spans="1:34" ht="16.5" thickBot="1" x14ac:dyDescent="0.25">
      <c r="A32" s="1558"/>
      <c r="B32" s="1583"/>
      <c r="C32" s="1584"/>
      <c r="D32" s="1584"/>
      <c r="E32" s="1584"/>
      <c r="F32" s="1584"/>
      <c r="G32" s="1585"/>
      <c r="H32" s="1585"/>
      <c r="I32" s="1568"/>
      <c r="J32" s="1586"/>
      <c r="K32" s="1585"/>
      <c r="L32" s="1585"/>
      <c r="M32" s="1585"/>
      <c r="N32" s="1587"/>
      <c r="O32" s="1585"/>
      <c r="P32" s="1585"/>
      <c r="Q32" s="1588"/>
      <c r="R32" s="1383"/>
      <c r="U32" s="488"/>
      <c r="AH32" s="1537"/>
    </row>
    <row r="33" spans="1:34" ht="15.75" x14ac:dyDescent="0.25">
      <c r="A33" s="1558"/>
      <c r="B33" s="1555"/>
      <c r="C33" s="1555"/>
      <c r="D33" s="1555"/>
      <c r="E33" s="1555"/>
      <c r="F33" s="1555"/>
      <c r="G33" s="1389"/>
      <c r="H33" s="1389"/>
      <c r="I33" s="1573"/>
      <c r="J33" s="1573"/>
      <c r="K33" s="1389"/>
      <c r="L33" s="1389"/>
      <c r="M33" s="1560"/>
      <c r="N33" s="1389"/>
      <c r="O33" s="1389"/>
      <c r="P33" s="1389"/>
      <c r="Q33" s="1380"/>
      <c r="R33" s="1383"/>
      <c r="U33" s="488">
        <f>+IF(G$18+G$23+G$26-G$31=0,0,1)</f>
        <v>0</v>
      </c>
      <c r="AH33" s="1537"/>
    </row>
    <row r="34" spans="1:34" ht="15" customHeight="1" x14ac:dyDescent="0.25">
      <c r="A34" s="1558"/>
      <c r="B34" s="1555"/>
      <c r="C34" s="1556"/>
      <c r="D34" s="1555"/>
      <c r="E34" s="2524"/>
      <c r="F34" s="1555"/>
      <c r="G34" s="1389"/>
      <c r="H34" s="1389"/>
      <c r="I34" s="1556"/>
      <c r="J34" s="1389"/>
      <c r="K34" s="1389"/>
      <c r="L34" s="1389"/>
      <c r="M34" s="1560"/>
      <c r="N34" s="1589"/>
      <c r="O34" s="1590"/>
      <c r="P34" s="1590"/>
      <c r="Q34" s="1380"/>
      <c r="R34" s="1383"/>
      <c r="U34" s="488">
        <f>+IF(O$18+O$23+O$26-O$31=0,0,1)</f>
        <v>0</v>
      </c>
      <c r="AA34" s="435"/>
      <c r="AH34" s="1537"/>
    </row>
    <row r="35" spans="1:34" ht="15" customHeight="1" thickBot="1" x14ac:dyDescent="0.3">
      <c r="A35" s="1558"/>
      <c r="B35" s="1555"/>
      <c r="C35" s="1393" t="s">
        <v>2181</v>
      </c>
      <c r="D35" s="1555"/>
      <c r="E35" s="2525"/>
      <c r="F35" s="1555"/>
      <c r="G35" s="1389"/>
      <c r="H35" s="1389"/>
      <c r="I35" s="1556"/>
      <c r="J35" s="1389"/>
      <c r="K35" s="1389"/>
      <c r="L35" s="1389"/>
      <c r="M35" s="1560"/>
      <c r="N35" s="1389"/>
      <c r="O35" s="2521"/>
      <c r="P35" s="2521"/>
      <c r="Q35" s="1380"/>
      <c r="R35" s="1383"/>
      <c r="U35" s="488"/>
      <c r="AA35" s="435"/>
      <c r="AH35" s="1537"/>
    </row>
    <row r="36" spans="1:34" ht="16.5" thickBot="1" x14ac:dyDescent="0.3">
      <c r="A36" s="1558"/>
      <c r="B36" s="1380"/>
      <c r="C36" s="1391" t="s">
        <v>270</v>
      </c>
      <c r="D36" s="1380"/>
      <c r="E36" s="2524"/>
      <c r="F36" s="1555"/>
      <c r="G36" s="2492">
        <v>0</v>
      </c>
      <c r="H36" s="2493"/>
      <c r="I36" s="1556"/>
      <c r="J36" s="1389"/>
      <c r="K36" s="2507">
        <f>'Part 3 DA summary'!M6</f>
        <v>0</v>
      </c>
      <c r="L36" s="2508"/>
      <c r="M36" s="1560"/>
      <c r="N36" s="1389"/>
      <c r="O36" s="2494">
        <f>+G36+K36</f>
        <v>0</v>
      </c>
      <c r="P36" s="2495"/>
      <c r="Q36" s="1386"/>
      <c r="R36" s="1387"/>
      <c r="U36" s="488">
        <f>IF(+G36+K36-O36=0,0,1)</f>
        <v>0</v>
      </c>
      <c r="W36" s="176">
        <f>IF(G36='Part 3'!G36,0,1)</f>
        <v>0</v>
      </c>
      <c r="X36" s="176">
        <f>IF(H36='Part 3'!H36,0,1)</f>
        <v>0</v>
      </c>
      <c r="Y36" s="176">
        <f>IF(I36='Part 3'!I36,0,1)</f>
        <v>0</v>
      </c>
      <c r="Z36" s="176">
        <f>IF(J36='Part 3'!J36,0,1)</f>
        <v>0</v>
      </c>
      <c r="AA36" s="176">
        <f>IF(K36='Part 3'!K36,0,1)</f>
        <v>0</v>
      </c>
      <c r="AB36" s="176">
        <f>IF(L36='Part 3'!L36,0,1)</f>
        <v>0</v>
      </c>
      <c r="AC36" s="176">
        <f>IF(M36='Part 3'!M36,0,1)</f>
        <v>0</v>
      </c>
      <c r="AD36" s="176">
        <f>IF(N36='Part 3'!N36,0,1)</f>
        <v>0</v>
      </c>
      <c r="AE36" s="176">
        <f>IF(O36='Part 3'!O36,0,1)</f>
        <v>0</v>
      </c>
      <c r="AF36" s="176">
        <f>IF(P36='Part 3'!P36,0,1)</f>
        <v>0</v>
      </c>
      <c r="AH36" s="1537">
        <f>IF(SUM(W36:AF36)&gt;0,1,0)</f>
        <v>0</v>
      </c>
    </row>
    <row r="37" spans="1:34" ht="16.5" thickBot="1" x14ac:dyDescent="0.3">
      <c r="A37" s="1558"/>
      <c r="B37" s="1380"/>
      <c r="C37" s="1380"/>
      <c r="D37" s="1380"/>
      <c r="E37" s="2525"/>
      <c r="F37" s="1555"/>
      <c r="G37" s="1555"/>
      <c r="H37" s="1555"/>
      <c r="I37" s="1556"/>
      <c r="J37" s="1389"/>
      <c r="K37" s="1389"/>
      <c r="L37" s="1389"/>
      <c r="M37" s="1560"/>
      <c r="N37" s="1389"/>
      <c r="O37" s="1389"/>
      <c r="P37" s="1389"/>
      <c r="Q37" s="1380"/>
      <c r="R37" s="1383"/>
      <c r="U37" s="488"/>
      <c r="AA37" s="435"/>
      <c r="AH37" s="1537"/>
    </row>
    <row r="38" spans="1:34" ht="16.5" thickBot="1" x14ac:dyDescent="0.3">
      <c r="A38" s="1558"/>
      <c r="B38" s="1380"/>
      <c r="C38" s="1391" t="s">
        <v>271</v>
      </c>
      <c r="D38" s="1380"/>
      <c r="E38" s="1555"/>
      <c r="F38" s="1380"/>
      <c r="G38" s="1555"/>
      <c r="H38" s="1555"/>
      <c r="I38" s="1556"/>
      <c r="J38" s="1389"/>
      <c r="K38" s="2500">
        <f>'Part 2'!N50</f>
        <v>0</v>
      </c>
      <c r="L38" s="2501"/>
      <c r="M38" s="1560"/>
      <c r="N38" s="1389"/>
      <c r="O38" s="2521"/>
      <c r="P38" s="2521"/>
      <c r="Q38" s="1380"/>
      <c r="R38" s="1383"/>
      <c r="U38" s="488"/>
      <c r="W38" s="176">
        <f>IF(G38='Part 3'!G38,0,1)</f>
        <v>0</v>
      </c>
      <c r="X38" s="176">
        <f>IF(H38='Part 3'!H38,0,1)</f>
        <v>0</v>
      </c>
      <c r="Y38" s="176">
        <f>IF(I38='Part 3'!I38,0,1)</f>
        <v>0</v>
      </c>
      <c r="Z38" s="176">
        <f>IF(J38='Part 3'!J38,0,1)</f>
        <v>0</v>
      </c>
      <c r="AA38" s="176">
        <f>IF(K38='Part 3'!K38,0,1)</f>
        <v>0</v>
      </c>
      <c r="AB38" s="176">
        <f>IF(L38='Part 3'!L38,0,1)</f>
        <v>0</v>
      </c>
      <c r="AC38" s="176">
        <f>IF(M38='Part 3'!M38,0,1)</f>
        <v>0</v>
      </c>
      <c r="AD38" s="176">
        <f>IF(N38='Part 3'!N38,0,1)</f>
        <v>0</v>
      </c>
      <c r="AE38" s="176">
        <f>IF(O38='Part 3'!O38,0,1)</f>
        <v>0</v>
      </c>
      <c r="AF38" s="176">
        <f>IF(P38='Part 3'!P38,0,1)</f>
        <v>0</v>
      </c>
      <c r="AH38" s="1537">
        <f>IF(SUM(W38:AF38)&gt;0,1,0)</f>
        <v>0</v>
      </c>
    </row>
    <row r="39" spans="1:34" ht="15.75" customHeight="1" thickBot="1" x14ac:dyDescent="0.3">
      <c r="A39" s="1558"/>
      <c r="B39" s="1380"/>
      <c r="C39" s="1565"/>
      <c r="D39" s="1565"/>
      <c r="E39" s="1591"/>
      <c r="F39" s="1565"/>
      <c r="G39" s="1555"/>
      <c r="H39" s="1555"/>
      <c r="I39" s="1556"/>
      <c r="J39" s="1565"/>
      <c r="K39" s="1565"/>
      <c r="L39" s="1565"/>
      <c r="M39" s="1560"/>
      <c r="N39" s="1389"/>
      <c r="O39" s="1389"/>
      <c r="P39" s="1389"/>
      <c r="Q39" s="1380"/>
      <c r="R39" s="1383"/>
      <c r="U39" s="488"/>
      <c r="AA39" s="435"/>
      <c r="AH39" s="1537"/>
    </row>
    <row r="40" spans="1:34" ht="16.5" thickBot="1" x14ac:dyDescent="0.3">
      <c r="A40" s="1379"/>
      <c r="B40" s="1380"/>
      <c r="C40" s="1380" t="s">
        <v>272</v>
      </c>
      <c r="D40" s="1380"/>
      <c r="E40" s="1380"/>
      <c r="F40" s="1380"/>
      <c r="G40" s="1555"/>
      <c r="H40" s="1555"/>
      <c r="I40" s="1555"/>
      <c r="J40" s="1389"/>
      <c r="K40" s="2522">
        <f>'Part 3 DA summary'!Q6</f>
        <v>0</v>
      </c>
      <c r="L40" s="2523"/>
      <c r="M40" s="1560"/>
      <c r="N40" s="1389"/>
      <c r="O40" s="1389"/>
      <c r="P40" s="1389"/>
      <c r="Q40" s="1380"/>
      <c r="R40" s="1383"/>
      <c r="T40" s="487"/>
      <c r="U40" s="1035"/>
      <c r="V40" s="487">
        <f>VLOOKUP('Part 1'!$L$17,TierSplit!$A$6:$AE$332,23,0)</f>
        <v>0</v>
      </c>
      <c r="W40" s="176">
        <f>IF(G40='Part 3'!G40,0,1)</f>
        <v>0</v>
      </c>
      <c r="X40" s="176">
        <f>IF(H40='Part 3'!H40,0,1)</f>
        <v>0</v>
      </c>
      <c r="Y40" s="176">
        <f>IF(I40='Part 3'!I40,0,1)</f>
        <v>0</v>
      </c>
      <c r="Z40" s="176">
        <f>IF(J40='Part 3'!J40,0,1)</f>
        <v>0</v>
      </c>
      <c r="AA40" s="176">
        <f>IF(K40='Part 3'!K40,0,1)</f>
        <v>0</v>
      </c>
      <c r="AB40" s="176">
        <f>IF(L40='Part 3'!L40,0,1)</f>
        <v>0</v>
      </c>
      <c r="AC40" s="176">
        <f>IF(M40='Part 3'!M40,0,1)</f>
        <v>0</v>
      </c>
      <c r="AD40" s="176">
        <f>IF(N40='Part 3'!N40,0,1)</f>
        <v>0</v>
      </c>
      <c r="AE40" s="176">
        <f>IF(O40='Part 3'!O40,0,1)</f>
        <v>0</v>
      </c>
      <c r="AF40" s="176">
        <f>IF(P40='Part 3'!P40,0,1)</f>
        <v>0</v>
      </c>
      <c r="AH40" s="1537">
        <f>IF(SUM(W40:AF40)&gt;0,1,0)</f>
        <v>0</v>
      </c>
    </row>
    <row r="41" spans="1:34" ht="16.5" thickBot="1" x14ac:dyDescent="0.25">
      <c r="A41" s="1379"/>
      <c r="B41" s="1380"/>
      <c r="C41" s="1380"/>
      <c r="D41" s="1380"/>
      <c r="E41" s="1380"/>
      <c r="F41" s="1380"/>
      <c r="G41" s="1389"/>
      <c r="H41" s="1389"/>
      <c r="I41" s="1389"/>
      <c r="J41" s="1389"/>
      <c r="K41" s="1392"/>
      <c r="L41" s="1389"/>
      <c r="M41" s="1389"/>
      <c r="N41" s="1389"/>
      <c r="O41" s="1389"/>
      <c r="P41" s="1389"/>
      <c r="Q41" s="1380"/>
      <c r="R41" s="1383"/>
      <c r="U41" s="488"/>
      <c r="V41" s="468"/>
      <c r="AA41" s="435"/>
      <c r="AH41" s="1537"/>
    </row>
    <row r="42" spans="1:34" x14ac:dyDescent="0.2">
      <c r="A42" s="1379"/>
      <c r="B42" s="1592"/>
      <c r="C42" s="1402"/>
      <c r="D42" s="1402"/>
      <c r="E42" s="1402"/>
      <c r="F42" s="1402"/>
      <c r="G42" s="1403"/>
      <c r="H42" s="1403"/>
      <c r="I42" s="1593"/>
      <c r="J42" s="1594"/>
      <c r="K42" s="1403"/>
      <c r="L42" s="1403"/>
      <c r="M42" s="1403"/>
      <c r="N42" s="1403"/>
      <c r="O42" s="2496"/>
      <c r="P42" s="2497"/>
      <c r="Q42" s="1595"/>
      <c r="R42" s="1383"/>
      <c r="U42" s="488"/>
      <c r="AH42" s="1537"/>
    </row>
    <row r="43" spans="1:34" ht="16.5" thickBot="1" x14ac:dyDescent="0.3">
      <c r="A43" s="1379"/>
      <c r="B43" s="1596"/>
      <c r="C43" s="1396" t="s">
        <v>829</v>
      </c>
      <c r="D43" s="1380"/>
      <c r="E43" s="1380"/>
      <c r="F43" s="1380"/>
      <c r="G43" s="2499"/>
      <c r="H43" s="2499"/>
      <c r="I43" s="1597"/>
      <c r="J43" s="1598"/>
      <c r="K43" s="2499"/>
      <c r="L43" s="2499"/>
      <c r="M43" s="1597"/>
      <c r="N43" s="1599"/>
      <c r="O43" s="2498"/>
      <c r="P43" s="2498"/>
      <c r="Q43" s="1580"/>
      <c r="R43" s="1383"/>
      <c r="U43" s="488"/>
      <c r="AH43" s="1537"/>
    </row>
    <row r="44" spans="1:34" ht="16.5" thickBot="1" x14ac:dyDescent="0.25">
      <c r="A44" s="1379"/>
      <c r="B44" s="1596"/>
      <c r="C44" s="1391" t="s">
        <v>284</v>
      </c>
      <c r="D44" s="1380"/>
      <c r="E44" s="1380"/>
      <c r="F44" s="1380"/>
      <c r="G44" s="1380"/>
      <c r="H44" s="1380"/>
      <c r="I44" s="1380"/>
      <c r="J44" s="1596"/>
      <c r="K44" s="2509">
        <f>'Part 3 DA summary'!S6</f>
        <v>0</v>
      </c>
      <c r="L44" s="2510"/>
      <c r="M44" s="1389"/>
      <c r="N44" s="1389"/>
      <c r="O44" s="2503">
        <f>+K44</f>
        <v>0</v>
      </c>
      <c r="P44" s="2504"/>
      <c r="Q44" s="1580"/>
      <c r="R44" s="1387"/>
      <c r="U44" s="488">
        <f>IF(+K44-O44=0,0,1)</f>
        <v>0</v>
      </c>
      <c r="W44" s="176">
        <f>IF(G44='Part 3'!G44,0,1)</f>
        <v>0</v>
      </c>
      <c r="X44" s="176">
        <f>IF(H44='Part 3'!H44,0,1)</f>
        <v>0</v>
      </c>
      <c r="Y44" s="176">
        <f>IF(I44='Part 3'!I44,0,1)</f>
        <v>0</v>
      </c>
      <c r="Z44" s="176">
        <f>IF(J44='Part 3'!J44,0,1)</f>
        <v>0</v>
      </c>
      <c r="AA44" s="176">
        <f>IF(K44='Part 3'!K44,0,1)</f>
        <v>0</v>
      </c>
      <c r="AB44" s="176">
        <f>IF(L44='Part 3'!L44,0,1)</f>
        <v>0</v>
      </c>
      <c r="AC44" s="176">
        <f>IF(M44='Part 3'!M44,0,1)</f>
        <v>0</v>
      </c>
      <c r="AD44" s="176">
        <f>IF(N44='Part 3'!N44,0,1)</f>
        <v>0</v>
      </c>
      <c r="AE44" s="176">
        <f>IF(O44='Part 3'!O44,0,1)</f>
        <v>0</v>
      </c>
      <c r="AF44" s="176">
        <f>IF(P44='Part 3'!P44,0,1)</f>
        <v>0</v>
      </c>
      <c r="AH44" s="1537">
        <f>IF(SUM(W44:AF44)&gt;0,1,0)</f>
        <v>0</v>
      </c>
    </row>
    <row r="45" spans="1:34" ht="15.75" thickBot="1" x14ac:dyDescent="0.25">
      <c r="A45" s="1379"/>
      <c r="B45" s="1600"/>
      <c r="C45" s="1404"/>
      <c r="D45" s="1404"/>
      <c r="E45" s="1404"/>
      <c r="F45" s="1404"/>
      <c r="G45" s="1404"/>
      <c r="H45" s="1404"/>
      <c r="I45" s="1404"/>
      <c r="J45" s="1600"/>
      <c r="K45" s="1404"/>
      <c r="L45" s="1404"/>
      <c r="M45" s="1404"/>
      <c r="N45" s="1404"/>
      <c r="O45" s="1404"/>
      <c r="P45" s="1404"/>
      <c r="Q45" s="1588"/>
      <c r="R45" s="1383"/>
      <c r="U45" s="494"/>
      <c r="AH45" s="1537"/>
    </row>
    <row r="46" spans="1:34" x14ac:dyDescent="0.2">
      <c r="A46" s="1379"/>
      <c r="B46" s="1380"/>
      <c r="C46" s="1380"/>
      <c r="D46" s="1380"/>
      <c r="E46" s="1380"/>
      <c r="F46" s="1380"/>
      <c r="G46" s="1380"/>
      <c r="H46" s="1380"/>
      <c r="I46" s="1601"/>
      <c r="J46" s="1380"/>
      <c r="K46" s="1380"/>
      <c r="L46" s="1380"/>
      <c r="M46" s="1380"/>
      <c r="N46" s="1601"/>
      <c r="O46" s="1380"/>
      <c r="P46" s="1380"/>
      <c r="Q46" s="1380"/>
      <c r="R46" s="1383"/>
      <c r="U46" s="1064"/>
      <c r="AH46" s="1537"/>
    </row>
    <row r="47" spans="1:34" ht="15.75" x14ac:dyDescent="0.25">
      <c r="A47" s="1379"/>
      <c r="B47" s="1380"/>
      <c r="C47" s="1394" t="s">
        <v>2361</v>
      </c>
      <c r="D47" s="1380"/>
      <c r="E47" s="1380"/>
      <c r="F47" s="1380"/>
      <c r="G47" s="1380"/>
      <c r="H47" s="1380"/>
      <c r="I47" s="1380"/>
      <c r="J47" s="1380"/>
      <c r="K47" s="1380"/>
      <c r="L47" s="1380"/>
      <c r="M47" s="1380"/>
      <c r="N47" s="1380"/>
      <c r="O47" s="1380"/>
      <c r="P47" s="1380"/>
      <c r="Q47" s="1380"/>
      <c r="R47" s="1383"/>
      <c r="U47" s="1064"/>
      <c r="AH47" s="1537"/>
    </row>
    <row r="48" spans="1:34" ht="15.75" thickBot="1" x14ac:dyDescent="0.25">
      <c r="A48" s="1379"/>
      <c r="B48" s="1380"/>
      <c r="C48" s="1380"/>
      <c r="D48" s="1380"/>
      <c r="E48" s="1380"/>
      <c r="F48" s="1380"/>
      <c r="G48" s="1380"/>
      <c r="H48" s="1380"/>
      <c r="I48" s="1380"/>
      <c r="J48" s="1380"/>
      <c r="K48" s="1380"/>
      <c r="L48" s="1380"/>
      <c r="M48" s="1380"/>
      <c r="N48" s="1380"/>
      <c r="O48" s="1380"/>
      <c r="P48" s="1380"/>
      <c r="Q48" s="1380"/>
      <c r="R48" s="1383"/>
      <c r="U48" s="1064"/>
      <c r="AH48" s="1537"/>
    </row>
    <row r="49" spans="1:34" ht="16.5" thickBot="1" x14ac:dyDescent="0.3">
      <c r="A49" s="1379"/>
      <c r="B49" s="1380"/>
      <c r="C49" s="1391" t="s">
        <v>3099</v>
      </c>
      <c r="D49" s="1380"/>
      <c r="E49" s="1380"/>
      <c r="F49" s="1380"/>
      <c r="G49" s="2507">
        <f>IF(VLOOKUP('Part 1'!$L17,TierSplit!$A$6:$AG$332,10,FALSE)=1,+'Part 2'!J132*-1,0)</f>
        <v>0</v>
      </c>
      <c r="H49" s="2508"/>
      <c r="I49" s="1556"/>
      <c r="J49" s="1380"/>
      <c r="K49" s="2500">
        <f>IF(VLOOKUP('Part 1'!$L17,TierSplit!$A$6:$AG$332,10,FALSE)=1,'Part 2'!N131*-1,0)</f>
        <v>0</v>
      </c>
      <c r="L49" s="2501"/>
      <c r="M49" s="1380"/>
      <c r="N49" s="1389"/>
      <c r="O49" s="2494">
        <f>+G49+K49</f>
        <v>0</v>
      </c>
      <c r="P49" s="2495"/>
      <c r="Q49" s="1380"/>
      <c r="R49" s="1383"/>
      <c r="T49" s="468" t="str">
        <f>IF(K49=('Part 2'!N131)*-1,"","This does not equal Part 2, Line 33")</f>
        <v/>
      </c>
      <c r="U49" s="1064">
        <f>IF(+G49+K49+-O49=0,0,1)</f>
        <v>0</v>
      </c>
      <c r="W49" s="176">
        <f>IF(G49='Part 3'!G49,0,1)</f>
        <v>0</v>
      </c>
      <c r="X49" s="176">
        <f>IF(H49='Part 3'!H49,0,1)</f>
        <v>0</v>
      </c>
      <c r="Y49" s="176">
        <f>IF(I49='Part 3'!I49,0,1)</f>
        <v>0</v>
      </c>
      <c r="Z49" s="176">
        <f>IF(J49='Part 3'!J49,0,1)</f>
        <v>0</v>
      </c>
      <c r="AA49" s="176">
        <f>IF(K49='Part 3'!K49,0,1)</f>
        <v>0</v>
      </c>
      <c r="AB49" s="176">
        <f>IF(L49='Part 3'!L49,0,1)</f>
        <v>0</v>
      </c>
      <c r="AC49" s="176">
        <f>IF(M49='Part 3'!M49,0,1)</f>
        <v>0</v>
      </c>
      <c r="AD49" s="176">
        <f>IF(N49='Part 3'!N49,0,1)</f>
        <v>0</v>
      </c>
      <c r="AE49" s="176">
        <f>IF(O49='Part 3'!O49,0,1)</f>
        <v>0</v>
      </c>
      <c r="AF49" s="176">
        <f>IF(P49='Part 3'!P49,0,1)</f>
        <v>0</v>
      </c>
      <c r="AH49" s="1537">
        <f>IF(SUM(W49:AF49)&gt;0,1,0)</f>
        <v>0</v>
      </c>
    </row>
    <row r="50" spans="1:34" ht="15.75" x14ac:dyDescent="0.25">
      <c r="A50" s="1379"/>
      <c r="B50" s="1380"/>
      <c r="C50" s="1390" t="str">
        <f>IF(O49&lt;&gt;'Part 2'!N131+'Part 2'!J132,"Part 3 Line 9 total should equal the sum of Part 2 Lines 33 &amp; 34. Please check your figures","")</f>
        <v/>
      </c>
      <c r="D50" s="1380"/>
      <c r="E50" s="1380"/>
      <c r="F50" s="1380"/>
      <c r="G50" s="1380"/>
      <c r="H50" s="1380"/>
      <c r="I50" s="1556"/>
      <c r="J50" s="1380"/>
      <c r="K50" s="1380"/>
      <c r="L50" s="1380"/>
      <c r="M50" s="1380"/>
      <c r="N50" s="1389"/>
      <c r="O50" s="1392"/>
      <c r="P50" s="1392"/>
      <c r="Q50" s="1380"/>
      <c r="R50" s="1383"/>
      <c r="T50" s="468"/>
      <c r="U50" s="1064"/>
      <c r="AH50" s="1537"/>
    </row>
    <row r="51" spans="1:34" x14ac:dyDescent="0.2">
      <c r="A51" s="1379"/>
      <c r="B51" s="1380"/>
      <c r="C51" s="1380"/>
      <c r="D51" s="1380"/>
      <c r="E51" s="1380"/>
      <c r="F51" s="1380"/>
      <c r="G51" s="1380"/>
      <c r="H51" s="1380"/>
      <c r="I51" s="1380"/>
      <c r="J51" s="1380"/>
      <c r="K51" s="1380"/>
      <c r="L51" s="1380"/>
      <c r="M51" s="1380"/>
      <c r="N51" s="1380"/>
      <c r="O51" s="1380"/>
      <c r="P51" s="1380"/>
      <c r="Q51" s="1380"/>
      <c r="R51" s="1383"/>
      <c r="U51" s="1064"/>
      <c r="AH51" s="1537"/>
    </row>
    <row r="52" spans="1:34" ht="15.75" x14ac:dyDescent="0.25">
      <c r="A52" s="1379"/>
      <c r="B52" s="1380"/>
      <c r="C52" s="1394" t="s">
        <v>2182</v>
      </c>
      <c r="D52" s="1380"/>
      <c r="E52" s="1380"/>
      <c r="F52" s="1380"/>
      <c r="G52" s="1380"/>
      <c r="H52" s="1380"/>
      <c r="I52" s="1380"/>
      <c r="J52" s="1380"/>
      <c r="K52" s="1380"/>
      <c r="L52" s="1380"/>
      <c r="M52" s="1380"/>
      <c r="N52" s="1380"/>
      <c r="O52" s="1380"/>
      <c r="P52" s="1380"/>
      <c r="Q52" s="1380"/>
      <c r="R52" s="1383"/>
      <c r="U52" s="1064"/>
      <c r="AH52" s="1537"/>
    </row>
    <row r="53" spans="1:34" ht="16.5" thickBot="1" x14ac:dyDescent="0.3">
      <c r="A53" s="1379"/>
      <c r="B53" s="1380"/>
      <c r="C53" s="1394"/>
      <c r="D53" s="1380"/>
      <c r="E53" s="1380"/>
      <c r="F53" s="1380"/>
      <c r="G53" s="1380"/>
      <c r="H53" s="1380"/>
      <c r="I53" s="1380"/>
      <c r="J53" s="1380"/>
      <c r="K53" s="1380"/>
      <c r="L53" s="1380"/>
      <c r="M53" s="1380"/>
      <c r="N53" s="1380"/>
      <c r="O53" s="1380"/>
      <c r="P53" s="1380"/>
      <c r="Q53" s="1380"/>
      <c r="R53" s="1383"/>
      <c r="U53" s="1064"/>
      <c r="AH53" s="1537"/>
    </row>
    <row r="54" spans="1:34" ht="16.5" thickBot="1" x14ac:dyDescent="0.3">
      <c r="A54" s="1379"/>
      <c r="B54" s="1380"/>
      <c r="C54" s="1391" t="str">
        <f>IF(VLOOKUP('Part 1'!$L17,TierSplit!$A$6:$AG$332,10,FALSE)=0.5,"10.  Enterprise Zone Qualifying Relief", "10.  Enterprise Zone Qualifying Relief: Not applicable")</f>
        <v>10.  Enterprise Zone Qualifying Relief: Not applicable</v>
      </c>
      <c r="D54" s="1380"/>
      <c r="E54" s="1380"/>
      <c r="F54" s="1380"/>
      <c r="G54" s="2511">
        <f>IF(VLOOKUP('Part 1'!$L17,TierSplit!$A$6:$AG$332,10,FALSE)&lt;1,'Part 2'!J132*VLOOKUP('Part 1'!$L$17,TierSplit!$A$6:$J$332,10,FALSE)*-1,0)</f>
        <v>0</v>
      </c>
      <c r="H54" s="2512"/>
      <c r="I54" s="1602"/>
      <c r="J54" s="1380"/>
      <c r="K54" s="2513">
        <f>IF(VLOOKUP('Part 1'!$L17,TierSplit!$A$6:$AG$332,10,FALSE)&lt;1,'Part 2'!N131*-1,0)</f>
        <v>0</v>
      </c>
      <c r="L54" s="2514"/>
      <c r="M54" s="1380"/>
      <c r="N54" s="1380"/>
      <c r="O54" s="2515">
        <f>+G54+K54</f>
        <v>0</v>
      </c>
      <c r="P54" s="2516"/>
      <c r="Q54" s="1380"/>
      <c r="R54" s="1383"/>
      <c r="T54" s="9"/>
      <c r="U54" s="1064">
        <f>IF(+G54+K54-O54=0,0,1)</f>
        <v>0</v>
      </c>
      <c r="W54" s="176">
        <f>IF(G54='Part 3'!G54,0,1)</f>
        <v>0</v>
      </c>
      <c r="X54" s="176">
        <f>IF(H54='Part 3'!H54,0,1)</f>
        <v>0</v>
      </c>
      <c r="Y54" s="176">
        <f>IF(I54='Part 3'!I54,0,1)</f>
        <v>0</v>
      </c>
      <c r="Z54" s="176">
        <f>IF(J54='Part 3'!J54,0,1)</f>
        <v>0</v>
      </c>
      <c r="AA54" s="176">
        <f>IF(K54='Part 3'!K54,0,1)</f>
        <v>0</v>
      </c>
      <c r="AB54" s="176">
        <f>IF(L54='Part 3'!L54,0,1)</f>
        <v>0</v>
      </c>
      <c r="AC54" s="176">
        <f>IF(M54='Part 3'!M54,0,1)</f>
        <v>0</v>
      </c>
      <c r="AD54" s="176">
        <f>IF(N54='Part 3'!N54,0,1)</f>
        <v>0</v>
      </c>
      <c r="AE54" s="176">
        <f>IF(O54='Part 3'!O54,0,1)</f>
        <v>0</v>
      </c>
      <c r="AF54" s="176">
        <f>IF(P54='Part 3'!P54,0,1)</f>
        <v>0</v>
      </c>
      <c r="AH54" s="1537">
        <f>IF(SUM(W54:AF54)&gt;0,1,0)</f>
        <v>0</v>
      </c>
    </row>
    <row r="55" spans="1:34" x14ac:dyDescent="0.2">
      <c r="A55" s="1379"/>
      <c r="B55" s="1380"/>
      <c r="C55" s="1380"/>
      <c r="D55" s="1380"/>
      <c r="E55" s="1380"/>
      <c r="F55" s="1380"/>
      <c r="G55" s="1380"/>
      <c r="H55" s="1380"/>
      <c r="I55" s="1380"/>
      <c r="J55" s="1380"/>
      <c r="K55" s="1380"/>
      <c r="L55" s="1380"/>
      <c r="M55" s="1380"/>
      <c r="N55" s="1380"/>
      <c r="O55" s="1380"/>
      <c r="P55" s="1380"/>
      <c r="Q55" s="1380"/>
      <c r="R55" s="1383"/>
      <c r="U55" s="1064"/>
      <c r="AH55" s="1537"/>
    </row>
    <row r="56" spans="1:34" ht="16.5" thickBot="1" x14ac:dyDescent="0.3">
      <c r="A56" s="1379"/>
      <c r="B56" s="1380"/>
      <c r="C56" s="1394" t="s">
        <v>2267</v>
      </c>
      <c r="D56" s="1380"/>
      <c r="E56" s="1380"/>
      <c r="F56" s="1380"/>
      <c r="G56" s="1380"/>
      <c r="H56" s="1380"/>
      <c r="I56" s="1380"/>
      <c r="J56" s="1380"/>
      <c r="K56" s="1380"/>
      <c r="L56" s="1380"/>
      <c r="M56" s="1380"/>
      <c r="N56" s="1380"/>
      <c r="O56" s="1380"/>
      <c r="P56" s="1380"/>
      <c r="Q56" s="1380"/>
      <c r="R56" s="1383"/>
      <c r="U56" s="1064"/>
      <c r="AH56" s="1537"/>
    </row>
    <row r="57" spans="1:34" ht="16.5" thickBot="1" x14ac:dyDescent="0.25">
      <c r="A57" s="1379"/>
      <c r="B57" s="1380"/>
      <c r="C57" s="2505" t="str">
        <f>IF($V$57=1,"11. Net Rates payable for Growth Baseline comparison: Not applicable","11. Net Rates payable for Growth Baseline comparison")</f>
        <v>11. Net Rates payable for Growth Baseline comparison: Not applicable</v>
      </c>
      <c r="D57" s="2517"/>
      <c r="E57" s="2517"/>
      <c r="F57" s="1380"/>
      <c r="G57" s="2500">
        <f>IF(VLOOKUP('Part 1'!$L17,TierSplit!$A$6:$AG$332,32,FALSE)="Yes",G18+G23+'Part 2'!J50,0)</f>
        <v>0</v>
      </c>
      <c r="H57" s="2501"/>
      <c r="I57" s="1380"/>
      <c r="J57" s="1380"/>
      <c r="K57" s="1380"/>
      <c r="L57" s="1380"/>
      <c r="M57" s="1380"/>
      <c r="N57" s="1380"/>
      <c r="O57" s="2518">
        <f>G57</f>
        <v>0</v>
      </c>
      <c r="P57" s="2495"/>
      <c r="Q57" s="1380"/>
      <c r="R57" s="1383"/>
      <c r="U57" s="1064"/>
      <c r="V57" s="37">
        <f>IF(VLOOKUP('Part 1'!$L17,TierSplit!$A$6:$AG$332,32,FALSE)="No",1,0)</f>
        <v>1</v>
      </c>
      <c r="W57" s="176">
        <f>IF(G57='Part 3'!G57,0,1)</f>
        <v>0</v>
      </c>
      <c r="X57" s="176">
        <f>IF(H57='Part 3'!H57,0,1)</f>
        <v>0</v>
      </c>
      <c r="Y57" s="176">
        <f>IF(I57='Part 3'!I57,0,1)</f>
        <v>0</v>
      </c>
      <c r="Z57" s="176">
        <f>IF(J57='Part 3'!J57,0,1)</f>
        <v>0</v>
      </c>
      <c r="AA57" s="176">
        <f>IF(K57='Part 3'!K57,0,1)</f>
        <v>0</v>
      </c>
      <c r="AB57" s="176">
        <f>IF(L57='Part 3'!L57,0,1)</f>
        <v>0</v>
      </c>
      <c r="AC57" s="176">
        <f>IF(M57='Part 3'!M57,0,1)</f>
        <v>0</v>
      </c>
      <c r="AD57" s="176">
        <f>IF(N57='Part 3'!N57,0,1)</f>
        <v>0</v>
      </c>
      <c r="AE57" s="176">
        <f>IF(O57='Part 3'!O57,0,1)</f>
        <v>0</v>
      </c>
      <c r="AF57" s="176">
        <f>IF(P57='Part 3'!P57,0,1)</f>
        <v>0</v>
      </c>
      <c r="AH57" s="1537">
        <f>IF(SUM(W57:AF57)&gt;0,1,0)</f>
        <v>0</v>
      </c>
    </row>
    <row r="58" spans="1:34" x14ac:dyDescent="0.2">
      <c r="A58" s="1379"/>
      <c r="B58" s="1380"/>
      <c r="C58" s="2506"/>
      <c r="D58" s="2517"/>
      <c r="E58" s="2517"/>
      <c r="F58" s="1380"/>
      <c r="G58" s="1380"/>
      <c r="H58" s="1380"/>
      <c r="I58" s="1380"/>
      <c r="J58" s="1380"/>
      <c r="K58" s="1380"/>
      <c r="L58" s="1380"/>
      <c r="M58" s="1380"/>
      <c r="N58" s="1380"/>
      <c r="O58" s="1380"/>
      <c r="P58" s="1380"/>
      <c r="Q58" s="1380"/>
      <c r="R58" s="1383"/>
      <c r="U58" s="1064"/>
      <c r="AH58" s="1537"/>
    </row>
    <row r="59" spans="1:34" ht="15.75" thickBot="1" x14ac:dyDescent="0.25">
      <c r="A59" s="1379"/>
      <c r="B59" s="1380"/>
      <c r="C59" s="1380"/>
      <c r="D59" s="1380"/>
      <c r="E59" s="1380"/>
      <c r="F59" s="1380"/>
      <c r="G59" s="1380"/>
      <c r="H59" s="1380"/>
      <c r="I59" s="1380"/>
      <c r="J59" s="1380"/>
      <c r="K59" s="1380"/>
      <c r="L59" s="1380"/>
      <c r="M59" s="1380"/>
      <c r="N59" s="1380"/>
      <c r="O59" s="1380"/>
      <c r="P59" s="1380"/>
      <c r="Q59" s="1380"/>
      <c r="R59" s="1383"/>
      <c r="U59" s="1064"/>
      <c r="AH59" s="1537"/>
    </row>
    <row r="60" spans="1:34" ht="16.5" thickBot="1" x14ac:dyDescent="0.25">
      <c r="A60" s="1379"/>
      <c r="B60" s="1380"/>
      <c r="C60" s="1391" t="str">
        <f>IF(V57=1,"12. Growth Baseline : Not applicable","12. Growth Baseline")</f>
        <v>12. Growth Baseline : Not applicable</v>
      </c>
      <c r="D60" s="1380"/>
      <c r="E60" s="1380"/>
      <c r="F60" s="1380"/>
      <c r="G60" s="2519">
        <f>VLOOKUP('Part 1'!$L17,TierSplit!$A$6:$AG$332,33,FALSE)</f>
        <v>0</v>
      </c>
      <c r="H60" s="2520"/>
      <c r="I60" s="1380"/>
      <c r="J60" s="1380"/>
      <c r="K60" s="1380"/>
      <c r="L60" s="1380"/>
      <c r="M60" s="1380"/>
      <c r="N60" s="1380"/>
      <c r="O60" s="2518">
        <f>G60</f>
        <v>0</v>
      </c>
      <c r="P60" s="2495"/>
      <c r="Q60" s="1380"/>
      <c r="R60" s="1383"/>
      <c r="U60" s="1064"/>
      <c r="W60" s="176">
        <f>IF(G60='Part 3'!G60,0,1)</f>
        <v>0</v>
      </c>
      <c r="X60" s="176">
        <f>IF(H60='Part 3'!H60,0,1)</f>
        <v>0</v>
      </c>
      <c r="Y60" s="176">
        <f>IF(I60='Part 3'!I60,0,1)</f>
        <v>0</v>
      </c>
      <c r="Z60" s="176">
        <f>IF(J60='Part 3'!J60,0,1)</f>
        <v>0</v>
      </c>
      <c r="AA60" s="176">
        <f>IF(K60='Part 3'!K60,0,1)</f>
        <v>0</v>
      </c>
      <c r="AB60" s="176">
        <f>IF(L60='Part 3'!L60,0,1)</f>
        <v>0</v>
      </c>
      <c r="AC60" s="176">
        <f>IF(M60='Part 3'!M60,0,1)</f>
        <v>0</v>
      </c>
      <c r="AD60" s="176">
        <f>IF(N60='Part 3'!N60,0,1)</f>
        <v>0</v>
      </c>
      <c r="AE60" s="176">
        <f>IF(O60='Part 3'!O60,0,1)</f>
        <v>0</v>
      </c>
      <c r="AF60" s="176">
        <f>IF(P60='Part 3'!P60,0,1)</f>
        <v>0</v>
      </c>
      <c r="AH60" s="1537">
        <f>IF(SUM(W60:AF60)&gt;0,1,0)</f>
        <v>0</v>
      </c>
    </row>
    <row r="61" spans="1:34" ht="15.75" thickBot="1" x14ac:dyDescent="0.25">
      <c r="A61" s="1379"/>
      <c r="B61" s="1380"/>
      <c r="C61" s="1380"/>
      <c r="D61" s="1380"/>
      <c r="E61" s="1380"/>
      <c r="F61" s="1380"/>
      <c r="G61" s="1380"/>
      <c r="H61" s="1380"/>
      <c r="I61" s="1380"/>
      <c r="J61" s="1380"/>
      <c r="K61" s="1380"/>
      <c r="L61" s="1380"/>
      <c r="M61" s="1380"/>
      <c r="N61" s="1380"/>
      <c r="O61" s="1380"/>
      <c r="P61" s="1380"/>
      <c r="Q61" s="1380"/>
      <c r="R61" s="1383"/>
      <c r="U61" s="1064"/>
      <c r="AH61" s="1537"/>
    </row>
    <row r="62" spans="1:34" ht="16.5" thickBot="1" x14ac:dyDescent="0.25">
      <c r="A62" s="1379"/>
      <c r="B62" s="1380"/>
      <c r="C62" s="2505" t="str">
        <f>IF(V57=1,"13. Additional Growth in 'Growth Pilot' Areas: Not Applicable","13. Additional Growth in 'Growth Pilot' Areas")</f>
        <v>13. Additional Growth in 'Growth Pilot' Areas: Not Applicable</v>
      </c>
      <c r="D62" s="2506"/>
      <c r="E62" s="2506"/>
      <c r="F62" s="1380"/>
      <c r="G62" s="2507">
        <f>IF((G57-G60)&lt;0,0,(G57-G60)*0.5)</f>
        <v>0</v>
      </c>
      <c r="H62" s="2508"/>
      <c r="I62" s="1380"/>
      <c r="J62" s="1380"/>
      <c r="K62" s="1380"/>
      <c r="L62" s="1380"/>
      <c r="M62" s="1380"/>
      <c r="N62" s="1380"/>
      <c r="O62" s="2494">
        <f>G62</f>
        <v>0</v>
      </c>
      <c r="P62" s="2495"/>
      <c r="Q62" s="1380"/>
      <c r="R62" s="1383"/>
      <c r="U62" s="1064"/>
      <c r="W62" s="176">
        <f>IF(G62='Part 3'!G62,0,1)</f>
        <v>0</v>
      </c>
      <c r="X62" s="176">
        <f>IF(H62='Part 3'!H62,0,1)</f>
        <v>0</v>
      </c>
      <c r="Y62" s="176">
        <f>IF(I62='Part 3'!I62,0,1)</f>
        <v>0</v>
      </c>
      <c r="Z62" s="176">
        <f>IF(J62='Part 3'!J62,0,1)</f>
        <v>0</v>
      </c>
      <c r="AA62" s="176">
        <f>IF(K62='Part 3'!K62,0,1)</f>
        <v>0</v>
      </c>
      <c r="AB62" s="176">
        <f>IF(L62='Part 3'!L62,0,1)</f>
        <v>0</v>
      </c>
      <c r="AC62" s="176">
        <f>IF(M62='Part 3'!M62,0,1)</f>
        <v>0</v>
      </c>
      <c r="AD62" s="176">
        <f>IF(N62='Part 3'!N62,0,1)</f>
        <v>0</v>
      </c>
      <c r="AE62" s="176">
        <f>IF(O62='Part 3'!O62,0,1)</f>
        <v>0</v>
      </c>
      <c r="AF62" s="176">
        <f>IF(P62='Part 3'!P62,0,1)</f>
        <v>0</v>
      </c>
      <c r="AH62" s="1537">
        <f>IF(SUM(W62:AF62)&gt;0,1,0)</f>
        <v>0</v>
      </c>
    </row>
    <row r="63" spans="1:34" x14ac:dyDescent="0.2">
      <c r="A63" s="1379"/>
      <c r="B63" s="1380"/>
      <c r="C63" s="2506"/>
      <c r="D63" s="2506"/>
      <c r="E63" s="2506"/>
      <c r="F63" s="1380"/>
      <c r="G63" s="1380"/>
      <c r="H63" s="1380"/>
      <c r="I63" s="1380"/>
      <c r="J63" s="1380"/>
      <c r="K63" s="1380"/>
      <c r="L63" s="1380"/>
      <c r="M63" s="1380"/>
      <c r="N63" s="1380"/>
      <c r="O63" s="1603"/>
      <c r="P63" s="1380"/>
      <c r="Q63" s="1380"/>
      <c r="R63" s="1383"/>
      <c r="U63" s="1064"/>
      <c r="AH63" s="1537"/>
    </row>
    <row r="64" spans="1:34" x14ac:dyDescent="0.2">
      <c r="A64" s="1379"/>
      <c r="B64" s="1380"/>
      <c r="C64" s="1380"/>
      <c r="D64" s="1380"/>
      <c r="E64" s="1380"/>
      <c r="F64" s="1380"/>
      <c r="G64" s="1380"/>
      <c r="H64" s="1380"/>
      <c r="I64" s="1380"/>
      <c r="J64" s="1380"/>
      <c r="K64" s="1380"/>
      <c r="L64" s="1380"/>
      <c r="M64" s="1380"/>
      <c r="N64" s="1380"/>
      <c r="O64" s="1380"/>
      <c r="P64" s="1380"/>
      <c r="Q64" s="1380"/>
      <c r="R64" s="1383"/>
      <c r="U64" s="1064"/>
      <c r="AH64" s="1537"/>
    </row>
    <row r="65" spans="1:34" ht="16.5" thickBot="1" x14ac:dyDescent="0.3">
      <c r="A65" s="1379"/>
      <c r="B65" s="1380"/>
      <c r="C65" s="1394" t="s">
        <v>2268</v>
      </c>
      <c r="D65" s="1380"/>
      <c r="E65" s="1380"/>
      <c r="F65" s="1380"/>
      <c r="G65" s="1380"/>
      <c r="H65" s="1380"/>
      <c r="I65" s="1380"/>
      <c r="J65" s="1380"/>
      <c r="K65" s="1380"/>
      <c r="L65" s="1380"/>
      <c r="M65" s="1380"/>
      <c r="N65" s="1380"/>
      <c r="O65" s="1380"/>
      <c r="P65" s="1380"/>
      <c r="Q65" s="1380"/>
      <c r="R65" s="1383"/>
      <c r="U65" s="1064"/>
      <c r="AH65" s="1537"/>
    </row>
    <row r="66" spans="1:34" ht="16.5" thickBot="1" x14ac:dyDescent="0.25">
      <c r="A66" s="1379"/>
      <c r="B66" s="1380"/>
      <c r="C66" s="1391" t="str">
        <f>IF('Part 1'!L17="E0104","14. In respect of Port of Bristol","14. In respect of Port of Bristol: Not applicable")</f>
        <v>14. In respect of Port of Bristol: Not applicable</v>
      </c>
      <c r="D66" s="1380"/>
      <c r="E66" s="1380"/>
      <c r="F66" s="1380"/>
      <c r="G66" s="2492">
        <v>0</v>
      </c>
      <c r="H66" s="2493"/>
      <c r="I66" s="1380"/>
      <c r="J66" s="1380"/>
      <c r="K66" s="1380"/>
      <c r="L66" s="1380"/>
      <c r="M66" s="1380"/>
      <c r="N66" s="1380"/>
      <c r="O66" s="2494">
        <f>+G66*0.51</f>
        <v>0</v>
      </c>
      <c r="P66" s="2495"/>
      <c r="Q66" s="1380"/>
      <c r="R66" s="1383"/>
      <c r="U66" s="1064"/>
      <c r="V66" s="37">
        <f>IF('Part 1'!$L16="North Somerset",1,0)</f>
        <v>0</v>
      </c>
      <c r="W66" s="176">
        <f>IF(G66='Part 3'!G66,0,1)</f>
        <v>0</v>
      </c>
      <c r="X66" s="176">
        <f>IF(H66='Part 3'!H66,0,1)</f>
        <v>0</v>
      </c>
      <c r="Y66" s="176">
        <f>IF(I66='Part 3'!I66,0,1)</f>
        <v>0</v>
      </c>
      <c r="Z66" s="176">
        <f>IF(J66='Part 3'!J66,0,1)</f>
        <v>0</v>
      </c>
      <c r="AA66" s="176">
        <f>IF(K66='Part 3'!K66,0,1)</f>
        <v>0</v>
      </c>
      <c r="AB66" s="176">
        <f>IF(L66='Part 3'!L66,0,1)</f>
        <v>0</v>
      </c>
      <c r="AC66" s="176">
        <f>IF(M66='Part 3'!M66,0,1)</f>
        <v>0</v>
      </c>
      <c r="AD66" s="176">
        <f>IF(N66='Part 3'!N66,0,1)</f>
        <v>0</v>
      </c>
      <c r="AE66" s="176">
        <f>IF(O66='Part 3'!O66,0,1)</f>
        <v>0</v>
      </c>
      <c r="AF66" s="176">
        <f>IF(P66='Part 3'!P66,0,1)</f>
        <v>0</v>
      </c>
      <c r="AH66" s="1537">
        <f>IF(SUM(W66:AF66)&gt;0,1,0)</f>
        <v>0</v>
      </c>
    </row>
    <row r="67" spans="1:34" ht="15.75" thickBot="1" x14ac:dyDescent="0.25">
      <c r="A67" s="1379"/>
      <c r="B67" s="1380"/>
      <c r="C67" s="1380"/>
      <c r="D67" s="1380"/>
      <c r="E67" s="1380"/>
      <c r="F67" s="1380"/>
      <c r="G67" s="1380"/>
      <c r="H67" s="1380"/>
      <c r="I67" s="1380"/>
      <c r="J67" s="1404"/>
      <c r="K67" s="1380"/>
      <c r="L67" s="1380"/>
      <c r="M67" s="1380"/>
      <c r="N67" s="1380"/>
      <c r="O67" s="1380"/>
      <c r="P67" s="1380"/>
      <c r="Q67" s="1380"/>
      <c r="R67" s="1383"/>
      <c r="U67" s="1064"/>
      <c r="AH67" s="1537"/>
    </row>
    <row r="68" spans="1:34" x14ac:dyDescent="0.2">
      <c r="A68" s="1379"/>
      <c r="B68" s="1592"/>
      <c r="C68" s="1402"/>
      <c r="D68" s="1402"/>
      <c r="E68" s="1402"/>
      <c r="F68" s="1402"/>
      <c r="G68" s="1403"/>
      <c r="H68" s="1403"/>
      <c r="I68" s="1403"/>
      <c r="J68" s="1604"/>
      <c r="K68" s="1403"/>
      <c r="L68" s="1403"/>
      <c r="M68" s="1403"/>
      <c r="N68" s="1403"/>
      <c r="O68" s="2496"/>
      <c r="P68" s="2497"/>
      <c r="Q68" s="1595"/>
      <c r="R68" s="1383"/>
      <c r="U68" s="488"/>
      <c r="AH68" s="1537"/>
    </row>
    <row r="69" spans="1:34" ht="16.5" thickBot="1" x14ac:dyDescent="0.3">
      <c r="A69" s="1379"/>
      <c r="B69" s="1596"/>
      <c r="C69" s="1394" t="s">
        <v>2182</v>
      </c>
      <c r="D69" s="1380"/>
      <c r="E69" s="1380"/>
      <c r="F69" s="1380"/>
      <c r="G69" s="2499"/>
      <c r="H69" s="2499"/>
      <c r="I69" s="1597"/>
      <c r="J69" s="1598"/>
      <c r="K69" s="2499"/>
      <c r="L69" s="2499"/>
      <c r="M69" s="1597"/>
      <c r="N69" s="1599"/>
      <c r="O69" s="2498"/>
      <c r="P69" s="2498"/>
      <c r="Q69" s="1580"/>
      <c r="R69" s="1383"/>
      <c r="U69" s="488"/>
      <c r="AH69" s="1537"/>
    </row>
    <row r="70" spans="1:34" ht="16.5" thickBot="1" x14ac:dyDescent="0.25">
      <c r="A70" s="1379"/>
      <c r="B70" s="1596"/>
      <c r="C70" s="1391" t="s">
        <v>2301</v>
      </c>
      <c r="D70" s="1380"/>
      <c r="E70" s="1380"/>
      <c r="F70" s="1380"/>
      <c r="G70" s="2500">
        <f>G54+G62+0.51*G66</f>
        <v>0</v>
      </c>
      <c r="H70" s="2501"/>
      <c r="I70" s="1380"/>
      <c r="J70" s="1596"/>
      <c r="K70" s="2494">
        <f>K54</f>
        <v>0</v>
      </c>
      <c r="L70" s="2502"/>
      <c r="M70" s="1389"/>
      <c r="N70" s="1389"/>
      <c r="O70" s="2503">
        <f>+G70+K70</f>
        <v>0</v>
      </c>
      <c r="P70" s="2504"/>
      <c r="Q70" s="1580"/>
      <c r="R70" s="1387"/>
      <c r="U70" s="488">
        <f>IF(+G70+K70-O70=0,0,1)</f>
        <v>0</v>
      </c>
      <c r="W70" s="176">
        <f>IF(G70='Part 3'!G70,0,1)</f>
        <v>0</v>
      </c>
      <c r="X70" s="176">
        <f>IF(H70='Part 3'!H70,0,1)</f>
        <v>0</v>
      </c>
      <c r="Y70" s="176">
        <f>IF(I70='Part 3'!I70,0,1)</f>
        <v>0</v>
      </c>
      <c r="Z70" s="176">
        <f>IF(J70='Part 3'!J70,0,1)</f>
        <v>0</v>
      </c>
      <c r="AA70" s="176">
        <f>IF(K70='Part 3'!K70,0,1)</f>
        <v>0</v>
      </c>
      <c r="AB70" s="176">
        <f>IF(L70='Part 3'!L70,0,1)</f>
        <v>0</v>
      </c>
      <c r="AC70" s="176">
        <f>IF(M70='Part 3'!M70,0,1)</f>
        <v>0</v>
      </c>
      <c r="AD70" s="176">
        <f>IF(N70='Part 3'!N70,0,1)</f>
        <v>0</v>
      </c>
      <c r="AE70" s="176">
        <f>IF(O70='Part 3'!O70,0,1)</f>
        <v>0</v>
      </c>
      <c r="AF70" s="176">
        <f>IF(P70='Part 3'!P70,0,1)</f>
        <v>0</v>
      </c>
      <c r="AH70" s="1537">
        <f>IF(SUM(W70:AF70)&gt;0,1,0)</f>
        <v>0</v>
      </c>
    </row>
    <row r="71" spans="1:34" ht="15.75" thickBot="1" x14ac:dyDescent="0.25">
      <c r="A71" s="1379"/>
      <c r="B71" s="1600"/>
      <c r="C71" s="1404"/>
      <c r="D71" s="1404"/>
      <c r="E71" s="1404"/>
      <c r="F71" s="1404"/>
      <c r="G71" s="1404"/>
      <c r="H71" s="1404"/>
      <c r="I71" s="1404"/>
      <c r="J71" s="1600"/>
      <c r="K71" s="1404"/>
      <c r="L71" s="1404"/>
      <c r="M71" s="1404"/>
      <c r="N71" s="1404"/>
      <c r="O71" s="1404"/>
      <c r="P71" s="1404"/>
      <c r="Q71" s="1588"/>
      <c r="R71" s="1383"/>
      <c r="U71" s="494"/>
    </row>
    <row r="72" spans="1:34" ht="15.75" thickBot="1" x14ac:dyDescent="0.25">
      <c r="A72" s="1605"/>
      <c r="B72" s="1399"/>
      <c r="C72" s="1399"/>
      <c r="D72" s="1399"/>
      <c r="E72" s="1399"/>
      <c r="F72" s="1399"/>
      <c r="G72" s="1399"/>
      <c r="H72" s="1399"/>
      <c r="I72" s="1399"/>
      <c r="J72" s="1399"/>
      <c r="K72" s="1399"/>
      <c r="L72" s="1399"/>
      <c r="M72" s="1399"/>
      <c r="N72" s="1399"/>
      <c r="O72" s="1399"/>
      <c r="P72" s="1399"/>
      <c r="Q72" s="1399"/>
      <c r="R72" s="1606"/>
      <c r="U72" s="496"/>
    </row>
    <row r="73" spans="1:34" x14ac:dyDescent="0.2">
      <c r="A73" s="1376"/>
      <c r="B73" s="1377"/>
      <c r="C73" s="1377"/>
      <c r="D73" s="1377"/>
      <c r="E73" s="1377"/>
      <c r="F73" s="1377"/>
      <c r="G73" s="1377"/>
      <c r="H73" s="1377"/>
      <c r="I73" s="1377"/>
      <c r="J73" s="1377"/>
      <c r="K73" s="1377"/>
      <c r="L73" s="1377"/>
      <c r="M73" s="1377"/>
      <c r="N73" s="1377"/>
      <c r="O73" s="1377"/>
      <c r="P73" s="1377"/>
      <c r="Q73" s="1377"/>
      <c r="R73" s="1378"/>
      <c r="U73" s="758" t="s">
        <v>34</v>
      </c>
    </row>
    <row r="74" spans="1:34" ht="15.75" x14ac:dyDescent="0.25">
      <c r="A74" s="1384"/>
      <c r="B74" s="2489" t="str">
        <f>+IF(U74&gt;0,"There are errors in the calculations in this form.  Have you over written some of the pre-filled calculations? Please check.","")</f>
        <v/>
      </c>
      <c r="C74" s="2490"/>
      <c r="D74" s="2490"/>
      <c r="E74" s="2490"/>
      <c r="F74" s="2490"/>
      <c r="G74" s="2490"/>
      <c r="H74" s="2490"/>
      <c r="I74" s="2490"/>
      <c r="J74" s="2490"/>
      <c r="K74" s="2490"/>
      <c r="L74" s="2490"/>
      <c r="M74" s="2490"/>
      <c r="N74" s="2490"/>
      <c r="O74" s="2490"/>
      <c r="P74" s="2490"/>
      <c r="Q74" s="1405"/>
      <c r="R74" s="1607"/>
      <c r="U74" s="494">
        <f>SUM(U18:U70)</f>
        <v>0</v>
      </c>
    </row>
    <row r="75" spans="1:34" ht="16.5" thickBot="1" x14ac:dyDescent="0.3">
      <c r="A75" s="1384"/>
      <c r="B75" s="1405"/>
      <c r="C75" s="1380"/>
      <c r="D75" s="1380"/>
      <c r="E75" s="1380"/>
      <c r="F75" s="1380"/>
      <c r="G75" s="1380"/>
      <c r="H75" s="1380"/>
      <c r="I75" s="1380"/>
      <c r="J75" s="1380"/>
      <c r="K75" s="1380"/>
      <c r="L75" s="1380"/>
      <c r="M75" s="1380"/>
      <c r="N75" s="1380"/>
      <c r="O75" s="1380"/>
      <c r="P75" s="1380"/>
      <c r="Q75" s="1405"/>
      <c r="R75" s="1607"/>
    </row>
    <row r="76" spans="1:34" ht="16.5" thickBot="1" x14ac:dyDescent="0.3">
      <c r="A76" s="1384"/>
      <c r="B76" s="1385"/>
      <c r="C76" s="1405"/>
      <c r="D76" s="1405"/>
      <c r="E76" s="1405"/>
      <c r="F76" s="1405"/>
      <c r="G76" s="1406" t="s">
        <v>1077</v>
      </c>
      <c r="H76" s="1608"/>
      <c r="I76" s="1609"/>
      <c r="J76" s="1609"/>
      <c r="K76" s="1609"/>
      <c r="L76" s="1609"/>
      <c r="M76" s="1609"/>
      <c r="N76" s="1609"/>
      <c r="O76" s="1609"/>
      <c r="P76" s="1609"/>
      <c r="Q76" s="1610"/>
      <c r="R76" s="1387"/>
    </row>
    <row r="77" spans="1:34" ht="15.75" thickBot="1" x14ac:dyDescent="0.25">
      <c r="A77" s="1397"/>
      <c r="B77" s="1398"/>
      <c r="C77" s="1398"/>
      <c r="D77" s="1398"/>
      <c r="E77" s="1398"/>
      <c r="F77" s="1398"/>
      <c r="G77" s="1398"/>
      <c r="H77" s="1398"/>
      <c r="I77" s="1398"/>
      <c r="J77" s="1398"/>
      <c r="K77" s="1398"/>
      <c r="L77" s="1398"/>
      <c r="M77" s="1398"/>
      <c r="N77" s="1398"/>
      <c r="O77" s="1398"/>
      <c r="P77" s="1398"/>
      <c r="Q77" s="1398"/>
      <c r="R77" s="1400"/>
      <c r="U77" s="496"/>
    </row>
    <row r="78" spans="1:34" x14ac:dyDescent="0.2">
      <c r="U78" s="496"/>
    </row>
    <row r="79" spans="1:34" x14ac:dyDescent="0.2">
      <c r="C79" s="1612"/>
      <c r="D79" s="1612"/>
      <c r="E79" s="1612"/>
      <c r="F79" s="1612"/>
      <c r="G79" s="1612"/>
      <c r="H79" s="1612"/>
      <c r="I79" s="1612"/>
      <c r="J79" s="1612"/>
      <c r="K79" s="1612"/>
      <c r="L79" s="1612"/>
      <c r="M79" s="1612"/>
      <c r="N79" s="1612"/>
      <c r="O79" s="1612"/>
      <c r="P79" s="1612"/>
      <c r="Q79" s="1612"/>
      <c r="R79" s="1612"/>
      <c r="S79" s="468"/>
      <c r="T79" s="468"/>
    </row>
    <row r="80" spans="1:34" s="468" customFormat="1" x14ac:dyDescent="0.2">
      <c r="A80" s="1612"/>
      <c r="B80" s="1612"/>
      <c r="C80" s="1612"/>
      <c r="D80" s="1612"/>
      <c r="E80" s="1612"/>
      <c r="F80" s="1612"/>
      <c r="G80" s="1612"/>
      <c r="H80" s="1612"/>
      <c r="I80" s="1612"/>
      <c r="J80" s="1612"/>
      <c r="K80" s="1612"/>
      <c r="L80" s="1612"/>
      <c r="M80" s="1612"/>
      <c r="N80" s="1612"/>
      <c r="O80" s="1612"/>
      <c r="P80" s="1612"/>
      <c r="Q80" s="1612"/>
      <c r="R80" s="1612"/>
      <c r="U80" s="495"/>
    </row>
    <row r="81" spans="1:21" s="468" customFormat="1" x14ac:dyDescent="0.2">
      <c r="A81" s="1612"/>
      <c r="B81" s="1612"/>
      <c r="C81" s="1612"/>
      <c r="D81" s="1612"/>
      <c r="E81" s="1612"/>
      <c r="F81" s="1612"/>
      <c r="G81" s="1612"/>
      <c r="H81" s="1612"/>
      <c r="I81" s="1612"/>
      <c r="J81" s="1612"/>
      <c r="K81" s="1613"/>
      <c r="L81" s="1612"/>
      <c r="M81" s="1612"/>
      <c r="N81" s="1612"/>
      <c r="O81" s="1612"/>
      <c r="P81" s="1612"/>
      <c r="Q81" s="1612"/>
      <c r="R81" s="1612"/>
      <c r="U81" s="495"/>
    </row>
    <row r="82" spans="1:21" s="468" customFormat="1" x14ac:dyDescent="0.2">
      <c r="A82" s="1612"/>
      <c r="B82" s="1612"/>
      <c r="C82" s="1612"/>
      <c r="D82" s="1612"/>
      <c r="E82" s="1612"/>
      <c r="F82" s="1612"/>
      <c r="G82" s="1612"/>
      <c r="H82" s="1612"/>
      <c r="I82" s="1612"/>
      <c r="J82" s="1612"/>
      <c r="K82" s="2491"/>
      <c r="L82" s="2491"/>
      <c r="M82" s="1612"/>
      <c r="N82" s="1612"/>
      <c r="O82" s="1612"/>
      <c r="P82" s="1612"/>
      <c r="Q82" s="1612"/>
      <c r="R82" s="1612"/>
      <c r="U82" s="495"/>
    </row>
    <row r="83" spans="1:21" s="468" customFormat="1" x14ac:dyDescent="0.2">
      <c r="A83" s="1612"/>
      <c r="B83" s="1612"/>
      <c r="C83" s="1612"/>
      <c r="D83" s="1612"/>
      <c r="E83" s="1612"/>
      <c r="F83" s="1612"/>
      <c r="G83" s="1612"/>
      <c r="H83" s="1612"/>
      <c r="I83" s="1612"/>
      <c r="J83" s="1612"/>
      <c r="K83" s="1612"/>
      <c r="L83" s="1612"/>
      <c r="M83" s="1612"/>
      <c r="N83" s="1612"/>
      <c r="O83" s="1612"/>
      <c r="P83" s="1612"/>
      <c r="Q83" s="1612"/>
      <c r="R83" s="1612"/>
      <c r="U83" s="495"/>
    </row>
    <row r="84" spans="1:21" s="468" customFormat="1" x14ac:dyDescent="0.2">
      <c r="A84" s="1612"/>
      <c r="B84" s="1612"/>
      <c r="C84" s="1612"/>
      <c r="D84" s="1612"/>
      <c r="E84" s="1612"/>
      <c r="F84" s="1612"/>
      <c r="G84" s="1612"/>
      <c r="H84" s="1612"/>
      <c r="I84" s="1612"/>
      <c r="J84" s="1612"/>
      <c r="K84" s="1612"/>
      <c r="L84" s="1612"/>
      <c r="M84" s="1612"/>
      <c r="N84" s="1612"/>
      <c r="O84" s="1612"/>
      <c r="P84" s="1612"/>
      <c r="Q84" s="1612"/>
      <c r="R84" s="1612"/>
      <c r="U84" s="495"/>
    </row>
    <row r="85" spans="1:21" s="468" customFormat="1" x14ac:dyDescent="0.2">
      <c r="A85" s="1612"/>
      <c r="B85" s="1612"/>
      <c r="C85" s="1612"/>
      <c r="D85" s="1612"/>
      <c r="E85" s="1612"/>
      <c r="F85" s="1612"/>
      <c r="G85" s="1612"/>
      <c r="H85" s="1612"/>
      <c r="I85" s="1612"/>
      <c r="J85" s="1612"/>
      <c r="K85" s="1612"/>
      <c r="L85" s="1612"/>
      <c r="M85" s="1612"/>
      <c r="N85" s="1612"/>
      <c r="O85" s="1612"/>
      <c r="P85" s="1612"/>
      <c r="Q85" s="1612"/>
      <c r="R85" s="1612"/>
      <c r="U85" s="495"/>
    </row>
    <row r="86" spans="1:21" s="468" customFormat="1" x14ac:dyDescent="0.2">
      <c r="A86" s="1612"/>
      <c r="B86" s="1612"/>
      <c r="C86" s="1612"/>
      <c r="D86" s="1612"/>
      <c r="E86" s="1612"/>
      <c r="F86" s="1612"/>
      <c r="G86" s="1612"/>
      <c r="H86" s="1612"/>
      <c r="I86" s="1612"/>
      <c r="J86" s="1612"/>
      <c r="K86" s="1612"/>
      <c r="L86" s="1612"/>
      <c r="M86" s="1612"/>
      <c r="N86" s="1612"/>
      <c r="O86" s="1612"/>
      <c r="P86" s="1612"/>
      <c r="Q86" s="1612"/>
      <c r="R86" s="1612"/>
      <c r="U86" s="495"/>
    </row>
  </sheetData>
  <mergeCells count="73">
    <mergeCell ref="K12:M12"/>
    <mergeCell ref="A2:R2"/>
    <mergeCell ref="A3:R3"/>
    <mergeCell ref="A5:R5"/>
    <mergeCell ref="A7:R7"/>
    <mergeCell ref="C9:G9"/>
    <mergeCell ref="C13:E13"/>
    <mergeCell ref="G13:H13"/>
    <mergeCell ref="K13:L13"/>
    <mergeCell ref="O13:P13"/>
    <mergeCell ref="U13:U14"/>
    <mergeCell ref="G14:H15"/>
    <mergeCell ref="K14:L15"/>
    <mergeCell ref="O14:P15"/>
    <mergeCell ref="G16:H16"/>
    <mergeCell ref="K16:L16"/>
    <mergeCell ref="O16:P16"/>
    <mergeCell ref="G17:H17"/>
    <mergeCell ref="K17:L17"/>
    <mergeCell ref="O17:P17"/>
    <mergeCell ref="C18:E20"/>
    <mergeCell ref="G18:H18"/>
    <mergeCell ref="K18:L18"/>
    <mergeCell ref="O18:P18"/>
    <mergeCell ref="C23:E24"/>
    <mergeCell ref="G23:H23"/>
    <mergeCell ref="K23:L23"/>
    <mergeCell ref="O23:P23"/>
    <mergeCell ref="C26:E27"/>
    <mergeCell ref="G26:H26"/>
    <mergeCell ref="K26:L26"/>
    <mergeCell ref="O26:P26"/>
    <mergeCell ref="G31:H31"/>
    <mergeCell ref="K31:L31"/>
    <mergeCell ref="O31:P31"/>
    <mergeCell ref="E34:E35"/>
    <mergeCell ref="O35:P35"/>
    <mergeCell ref="E36:E37"/>
    <mergeCell ref="G36:H36"/>
    <mergeCell ref="K36:L36"/>
    <mergeCell ref="O36:P36"/>
    <mergeCell ref="K38:L38"/>
    <mergeCell ref="O38:P38"/>
    <mergeCell ref="K40:L40"/>
    <mergeCell ref="O42:P43"/>
    <mergeCell ref="G43:H43"/>
    <mergeCell ref="K43:L43"/>
    <mergeCell ref="C62:E63"/>
    <mergeCell ref="G62:H62"/>
    <mergeCell ref="O62:P62"/>
    <mergeCell ref="K44:L44"/>
    <mergeCell ref="O44:P44"/>
    <mergeCell ref="G49:H49"/>
    <mergeCell ref="K49:L49"/>
    <mergeCell ref="O49:P49"/>
    <mergeCell ref="G54:H54"/>
    <mergeCell ref="K54:L54"/>
    <mergeCell ref="O54:P54"/>
    <mergeCell ref="C57:E58"/>
    <mergeCell ref="G57:H57"/>
    <mergeCell ref="O57:P57"/>
    <mergeCell ref="G60:H60"/>
    <mergeCell ref="O60:P60"/>
    <mergeCell ref="B74:P74"/>
    <mergeCell ref="K82:L82"/>
    <mergeCell ref="G66:H66"/>
    <mergeCell ref="O66:P66"/>
    <mergeCell ref="O68:P69"/>
    <mergeCell ref="G69:H69"/>
    <mergeCell ref="K69:L69"/>
    <mergeCell ref="G70:H70"/>
    <mergeCell ref="K70:L70"/>
    <mergeCell ref="O70:P70"/>
  </mergeCells>
  <conditionalFormatting sqref="G31:H31">
    <cfRule type="expression" dxfId="19" priority="16" stopIfTrue="1">
      <formula>AND(G31="")=TRUE</formula>
    </cfRule>
  </conditionalFormatting>
  <conditionalFormatting sqref="R23">
    <cfRule type="expression" dxfId="18" priority="15">
      <formula>AND($U23=0)=FALSE</formula>
    </cfRule>
  </conditionalFormatting>
  <conditionalFormatting sqref="R26">
    <cfRule type="expression" dxfId="17" priority="14">
      <formula>AND($U26=0)=FALSE</formula>
    </cfRule>
  </conditionalFormatting>
  <conditionalFormatting sqref="R36">
    <cfRule type="expression" dxfId="16" priority="13">
      <formula>AND($U36=0)=FALSE</formula>
    </cfRule>
  </conditionalFormatting>
  <conditionalFormatting sqref="R44">
    <cfRule type="expression" dxfId="15" priority="12">
      <formula>AND($U44=0)=FALSE</formula>
    </cfRule>
  </conditionalFormatting>
  <conditionalFormatting sqref="R18">
    <cfRule type="expression" dxfId="14" priority="11">
      <formula>AND($U18+U20=0)=FALSE</formula>
    </cfRule>
  </conditionalFormatting>
  <conditionalFormatting sqref="R70">
    <cfRule type="expression" dxfId="13" priority="10">
      <formula>AND($U70=0)=FALSE</formula>
    </cfRule>
  </conditionalFormatting>
  <conditionalFormatting sqref="O66">
    <cfRule type="expression" dxfId="12" priority="8">
      <formula>AND($V$66=1)=FALSE</formula>
    </cfRule>
  </conditionalFormatting>
  <conditionalFormatting sqref="G66">
    <cfRule type="expression" dxfId="11" priority="9">
      <formula>AND($V$66=1)=FALSE</formula>
    </cfRule>
  </conditionalFormatting>
  <conditionalFormatting sqref="G57:H57">
    <cfRule type="expression" dxfId="10" priority="7">
      <formula>AND($V$57=1)=TRUE</formula>
    </cfRule>
  </conditionalFormatting>
  <conditionalFormatting sqref="O57:P57">
    <cfRule type="expression" dxfId="9" priority="6">
      <formula>AND($V$57=1)=TRUE</formula>
    </cfRule>
  </conditionalFormatting>
  <conditionalFormatting sqref="G60">
    <cfRule type="expression" dxfId="8" priority="5">
      <formula>AND($V$57=1)=TRUE</formula>
    </cfRule>
  </conditionalFormatting>
  <conditionalFormatting sqref="O60">
    <cfRule type="expression" dxfId="7" priority="4">
      <formula>AND($V$57=1)=TRUE</formula>
    </cfRule>
  </conditionalFormatting>
  <conditionalFormatting sqref="G62">
    <cfRule type="expression" dxfId="6" priority="3">
      <formula>AND($V$57=1)=TRUE</formula>
    </cfRule>
  </conditionalFormatting>
  <conditionalFormatting sqref="O62:P62">
    <cfRule type="expression" dxfId="5" priority="2">
      <formula>AND($V$57=1)=TRUE</formula>
    </cfRule>
  </conditionalFormatting>
  <dataValidations count="5">
    <dataValidation type="custom" allowBlank="1" showInputMessage="1" showErrorMessage="1" error="Do not try to enter data here_x000a_" sqref="K81">
      <formula1>"if(z217=""n/a"")"</formula1>
    </dataValidation>
    <dataValidation type="custom" allowBlank="1" showInputMessage="1" showErrorMessage="1" error="Data entry not allowed" sqref="G18:H18 G31:H31">
      <formula1>"if(P57=""n/a"")"</formula1>
    </dataValidation>
    <dataValidation type="custom" allowBlank="1" showInputMessage="1" showErrorMessage="1" errorTitle="Data entry" error="Data entry not allowed in this cell" sqref="K18:L18">
      <formula1>K14&lt;&gt;""</formula1>
    </dataValidation>
    <dataValidation type="whole" operator="lessThanOrEqual" allowBlank="1" showInputMessage="1" showErrorMessage="1" errorTitle="Negative whole number required" error="This number MUST be a negative whole number" sqref="G23:H23 G26:H26 K23:L23 K26:L26">
      <formula1>0</formula1>
    </dataValidation>
    <dataValidation type="whole" operator="greaterThanOrEqual" allowBlank="1" showInputMessage="1" showErrorMessage="1" errorTitle="Positive whole number required" error="This number MUST be a positive whole number" sqref="G36:H36 K36:L36 G60:H60 G49:H49 G62:H62 G66:H66 G70:H70 K49:L49">
      <formula1>0</formula1>
    </dataValidation>
  </dataValidations>
  <printOptions horizontalCentered="1" verticalCentered="1"/>
  <pageMargins left="0.39370078740157483" right="0.39370078740157483" top="0.59055118110236227" bottom="0.59055118110236227" header="0.51181102362204722" footer="0.51181102362204722"/>
  <pageSetup paperSize="9" scale="55"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3F93C629-39AB-4E79-861B-CA3F8F0957F6}">
            <xm:f>AND(VLOOKUP('Part 1'!$L17,TierSplit!$A$6:$AG$332,10,FALSE)&gt;0.5)=TRUE</xm:f>
            <x14:dxf>
              <fill>
                <patternFill>
                  <bgColor theme="0" tint="-0.24994659260841701"/>
                </patternFill>
              </fill>
            </x14:dxf>
          </x14:cfRule>
          <xm:sqref>G54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pageSetUpPr fitToPage="1"/>
  </sheetPr>
  <dimension ref="A1:BA57"/>
  <sheetViews>
    <sheetView showGridLines="0" topLeftCell="A2" zoomScale="75" zoomScaleNormal="75" workbookViewId="0"/>
  </sheetViews>
  <sheetFormatPr defaultRowHeight="15" x14ac:dyDescent="0.2"/>
  <cols>
    <col min="1" max="1" width="4.7109375" style="1781" customWidth="1"/>
    <col min="2" max="2" width="28.28515625" style="1781" customWidth="1"/>
    <col min="3" max="3" width="107.140625" style="1781" customWidth="1"/>
    <col min="4" max="4" width="3.7109375" style="1781" customWidth="1"/>
    <col min="5" max="5" width="32.7109375" style="1781" customWidth="1"/>
    <col min="6" max="6" width="3.5703125" style="1781" customWidth="1"/>
    <col min="7" max="7" width="20.7109375" style="1781" customWidth="1"/>
    <col min="8" max="8" width="3.7109375" style="1781" customWidth="1"/>
    <col min="9" max="9" width="20.7109375" style="1781" customWidth="1"/>
    <col min="10" max="10" width="3.7109375" style="1781" customWidth="1"/>
    <col min="11" max="11" width="25.5703125" style="1781" customWidth="1"/>
    <col min="12" max="12" width="3.7109375" style="1748" customWidth="1"/>
    <col min="13" max="13" width="20.7109375" style="1781" customWidth="1"/>
    <col min="14" max="14" width="3.5703125" style="1781" customWidth="1"/>
    <col min="15" max="15" width="20.7109375" style="1781" customWidth="1"/>
    <col min="16" max="16" width="3.7109375" style="1781" customWidth="1"/>
    <col min="17" max="17" width="20.7109375" style="1781" customWidth="1"/>
    <col min="18" max="18" width="3.7109375" style="1781" customWidth="1"/>
    <col min="19" max="19" width="20.7109375" style="1781" customWidth="1"/>
    <col min="20" max="20" width="3.5703125" style="1781" customWidth="1"/>
    <col min="21" max="21" width="20.7109375" style="1781" customWidth="1"/>
    <col min="22" max="22" width="3.5703125" style="1781" customWidth="1"/>
    <col min="23" max="23" width="20.7109375" style="1781" customWidth="1"/>
    <col min="24" max="24" width="3.7109375" style="1781" customWidth="1"/>
    <col min="25" max="25" width="29.7109375" style="1781" customWidth="1"/>
    <col min="26" max="26" width="3.7109375" style="1781" customWidth="1"/>
    <col min="27" max="27" width="4.7109375" style="1781" customWidth="1"/>
    <col min="28" max="28" width="9.5703125" style="1126" customWidth="1"/>
    <col min="29" max="29" width="12.28515625" style="1125" customWidth="1"/>
    <col min="30" max="30" width="1.7109375" style="1124" customWidth="1"/>
    <col min="31" max="31" width="9.28515625" style="1123" customWidth="1"/>
    <col min="32" max="32" width="1.140625" style="1122" customWidth="1"/>
    <col min="33" max="33" width="9.140625" style="1122"/>
    <col min="34" max="34" width="0.7109375" style="1122" customWidth="1"/>
    <col min="35" max="35" width="9.140625" style="1122"/>
    <col min="36" max="36" width="1.28515625" style="1122" customWidth="1"/>
    <col min="37" max="37" width="9.140625" style="1122"/>
    <col min="38" max="38" width="1.85546875" style="1122" customWidth="1"/>
    <col min="39" max="39" width="9.140625" style="1122"/>
    <col min="40" max="40" width="1.5703125" style="1122" customWidth="1"/>
    <col min="41" max="41" width="9.140625" style="1122"/>
    <col min="42" max="42" width="1.85546875" style="1122" customWidth="1"/>
    <col min="43" max="43" width="9.140625" style="1122"/>
    <col min="44" max="44" width="1.85546875" style="1122" customWidth="1"/>
    <col min="45" max="45" width="9.140625" style="1122"/>
    <col min="46" max="46" width="2.7109375" style="1122" customWidth="1"/>
    <col min="47" max="47" width="8.5703125" style="1122" customWidth="1"/>
    <col min="48" max="48" width="1.85546875" style="1122" customWidth="1"/>
    <col min="49" max="49" width="9.140625" style="1122"/>
    <col min="50" max="50" width="1.85546875" style="1122" customWidth="1"/>
    <col min="51" max="51" width="9.140625" style="1122"/>
    <col min="52" max="52" width="2.85546875" style="1122" customWidth="1"/>
    <col min="53" max="16384" width="9.140625" style="1122"/>
  </cols>
  <sheetData>
    <row r="1" spans="1:53" s="1127" customFormat="1" ht="23.25" x14ac:dyDescent="0.35">
      <c r="A1" s="2553" t="s">
        <v>2288</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5"/>
      <c r="AB1" s="1128"/>
      <c r="AC1" s="1163"/>
      <c r="AD1" s="1162"/>
      <c r="AE1" s="1161"/>
    </row>
    <row r="2" spans="1:53" ht="21" customHeight="1" x14ac:dyDescent="0.2">
      <c r="A2" s="1740"/>
      <c r="B2" s="1741"/>
      <c r="C2" s="1742"/>
      <c r="D2" s="1742"/>
      <c r="E2" s="1742"/>
      <c r="F2" s="1742"/>
      <c r="G2" s="1743"/>
      <c r="H2" s="1744"/>
      <c r="I2" s="1745"/>
      <c r="J2" s="1746"/>
      <c r="K2" s="1747"/>
      <c r="M2" s="1742"/>
      <c r="N2" s="1742"/>
      <c r="O2" s="1743"/>
      <c r="P2" s="1744"/>
      <c r="Q2" s="1745"/>
      <c r="R2" s="1746"/>
      <c r="S2" s="1747"/>
      <c r="T2" s="1747"/>
      <c r="U2" s="1742"/>
      <c r="V2" s="1742"/>
      <c r="W2" s="1743"/>
      <c r="X2" s="1744"/>
      <c r="Y2" s="1745"/>
      <c r="Z2" s="1746"/>
      <c r="AA2" s="1749"/>
      <c r="AB2" s="1158"/>
    </row>
    <row r="3" spans="1:53" ht="23.25" x14ac:dyDescent="0.2">
      <c r="A3" s="1740"/>
      <c r="B3" s="1741"/>
      <c r="C3" s="1750" t="str">
        <f>IF(ISERROR(VLOOKUP($E3,'LA List'!$B$3:$C$244,2,FALSE)),'Part 1'!L$16,VLOOKUP($E3,'LA List'!$B$3:$C$244,2,FALSE))</f>
        <v>ZZZZ</v>
      </c>
      <c r="D3" s="1751"/>
      <c r="E3" s="1745" t="str">
        <f>'Part 1'!L17</f>
        <v>EZZZZ</v>
      </c>
      <c r="F3" s="1744"/>
      <c r="G3" s="1745"/>
      <c r="H3" s="1746"/>
      <c r="I3" s="1747"/>
      <c r="J3" s="1748"/>
      <c r="K3" s="1751"/>
      <c r="L3" s="1751"/>
      <c r="M3" s="1745"/>
      <c r="N3" s="1744"/>
      <c r="O3" s="1745"/>
      <c r="P3" s="1746"/>
      <c r="Q3" s="1747"/>
      <c r="R3" s="1747"/>
      <c r="S3" s="1751"/>
      <c r="T3" s="1751"/>
      <c r="U3" s="1745"/>
      <c r="V3" s="1744"/>
      <c r="W3" s="1745"/>
      <c r="X3" s="1746"/>
      <c r="Y3" s="1747"/>
      <c r="Z3" s="1748"/>
      <c r="AA3" s="1749"/>
      <c r="AB3" s="1124"/>
      <c r="AC3" s="1131"/>
      <c r="AD3" s="1122"/>
      <c r="AE3" s="1122"/>
    </row>
    <row r="4" spans="1:53" ht="23.25" x14ac:dyDescent="0.2">
      <c r="A4" s="1740"/>
      <c r="B4" s="1751"/>
      <c r="C4" s="1752"/>
      <c r="D4" s="1751"/>
      <c r="E4" s="1751"/>
      <c r="F4" s="1751"/>
      <c r="G4" s="1745"/>
      <c r="H4" s="1744"/>
      <c r="I4" s="1745"/>
      <c r="J4" s="1746"/>
      <c r="K4" s="1747"/>
      <c r="M4" s="1751"/>
      <c r="N4" s="1751"/>
      <c r="O4" s="1745"/>
      <c r="P4" s="1744"/>
      <c r="Q4" s="1745"/>
      <c r="R4" s="1746"/>
      <c r="S4" s="1747"/>
      <c r="T4" s="1747"/>
      <c r="U4" s="1751"/>
      <c r="V4" s="1751"/>
      <c r="W4" s="1745"/>
      <c r="X4" s="1744"/>
      <c r="Y4" s="1745"/>
      <c r="Z4" s="1746"/>
      <c r="AA4" s="1749"/>
      <c r="AB4" s="1128"/>
      <c r="AE4" s="1131"/>
    </row>
    <row r="5" spans="1:53" ht="16.5" x14ac:dyDescent="0.2">
      <c r="A5" s="1740"/>
      <c r="B5" s="1753"/>
      <c r="C5" s="1753"/>
      <c r="D5" s="1754"/>
      <c r="E5" s="1754"/>
      <c r="F5" s="1755"/>
      <c r="G5" s="1755"/>
      <c r="H5" s="1755"/>
      <c r="I5" s="1755"/>
      <c r="J5" s="1755"/>
      <c r="K5" s="1756"/>
      <c r="M5" s="1754"/>
      <c r="N5" s="1755"/>
      <c r="O5" s="1755"/>
      <c r="P5" s="1755"/>
      <c r="Q5" s="1755"/>
      <c r="R5" s="1755"/>
      <c r="S5" s="1756"/>
      <c r="T5" s="1756"/>
      <c r="U5" s="1754"/>
      <c r="V5" s="1755"/>
      <c r="W5" s="1755"/>
      <c r="X5" s="1755"/>
      <c r="Y5" s="1755"/>
      <c r="Z5" s="1755"/>
      <c r="AA5" s="1749"/>
      <c r="AB5" s="1128"/>
      <c r="AE5" s="1131"/>
    </row>
    <row r="6" spans="1:53" ht="20.25" x14ac:dyDescent="0.2">
      <c r="A6" s="1740"/>
      <c r="B6" s="1753"/>
      <c r="C6" s="1757" t="s">
        <v>2309</v>
      </c>
      <c r="D6" s="1754"/>
      <c r="E6" s="1786">
        <f>SUM(E13:E53)</f>
        <v>0</v>
      </c>
      <c r="F6" s="1758"/>
      <c r="G6" s="1786">
        <f>SUM(G13:G53)</f>
        <v>0</v>
      </c>
      <c r="H6" s="1759"/>
      <c r="I6" s="1786">
        <f>SUM(I13:I53)</f>
        <v>0</v>
      </c>
      <c r="J6" s="1759"/>
      <c r="K6" s="1786">
        <f>SUM(K13:K53)</f>
        <v>0</v>
      </c>
      <c r="L6" s="1760"/>
      <c r="M6" s="1786">
        <f>SUM(M13:M53)</f>
        <v>0</v>
      </c>
      <c r="N6" s="1758"/>
      <c r="O6" s="1786">
        <f>SUM(O13:O53)</f>
        <v>0</v>
      </c>
      <c r="P6" s="1759"/>
      <c r="Q6" s="1786">
        <f>SUM(Q13:Q53)</f>
        <v>0</v>
      </c>
      <c r="R6" s="1759"/>
      <c r="S6" s="1786">
        <f>SUM(S13:S53)</f>
        <v>0</v>
      </c>
      <c r="T6" s="1759"/>
      <c r="U6" s="1786">
        <f>SUM(U13:U53)</f>
        <v>0</v>
      </c>
      <c r="V6" s="1758"/>
      <c r="W6" s="1786">
        <f>SUM(W13:W53)</f>
        <v>0</v>
      </c>
      <c r="X6" s="1759"/>
      <c r="Y6" s="1786">
        <f>SUM(Y13:Y53)</f>
        <v>0</v>
      </c>
      <c r="Z6" s="1759"/>
      <c r="AA6" s="1749"/>
      <c r="AB6" s="1128"/>
      <c r="AC6" s="1785">
        <f>IF(C6='Part 3 DA summary'!C6,0,1)</f>
        <v>0</v>
      </c>
      <c r="AD6" s="1142"/>
      <c r="AE6" s="1783">
        <f>IF(E6='Part 3 DA summary'!E6,0,1)</f>
        <v>0</v>
      </c>
      <c r="AF6" s="1140"/>
      <c r="AG6" s="1783">
        <f>IF(G6='Part 3 DA summary'!G6,0,1)</f>
        <v>0</v>
      </c>
      <c r="AH6" s="1130"/>
      <c r="AI6" s="1783">
        <f>IF(I6='Part 3 DA summary'!I6,0,1)</f>
        <v>0</v>
      </c>
      <c r="AJ6" s="1130"/>
      <c r="AK6" s="1783">
        <f>IF(K6='Part 3 DA summary'!K6,0,1)</f>
        <v>0</v>
      </c>
      <c r="AL6" s="1130"/>
      <c r="AM6" s="1783">
        <f>IF(M6='Part 3 DA summary'!M6,0,1)</f>
        <v>0</v>
      </c>
      <c r="AN6" s="1130"/>
      <c r="AO6" s="1783">
        <f>IF(O6='Part 3 DA summary'!O6,0,1)</f>
        <v>0</v>
      </c>
      <c r="AP6" s="1130"/>
      <c r="AQ6" s="1783">
        <f>IF(Q6='Part 3 DA summary'!Q6,0,1)</f>
        <v>0</v>
      </c>
      <c r="AR6" s="1130"/>
      <c r="AS6" s="1783">
        <f>IF(S6='Part 3 DA summary'!S6,0,1)</f>
        <v>0</v>
      </c>
      <c r="AT6" s="1130"/>
      <c r="AU6" s="1783">
        <f>IF(U6='Part 3 DA summary'!U6,0,1)</f>
        <v>0</v>
      </c>
      <c r="AV6" s="1130"/>
      <c r="AW6" s="1783">
        <f>IF(W6='Part 3 DA summary'!W6,0,1)</f>
        <v>0</v>
      </c>
      <c r="AX6" s="1130"/>
      <c r="AY6" s="1783">
        <f>IF(Y6='Part 3 DA summary'!Y6,0,1)</f>
        <v>0</v>
      </c>
      <c r="AZ6" s="1130"/>
      <c r="BA6" s="1784">
        <f>IF(SUM(AC6:AY7)&gt;0,1,0)</f>
        <v>0</v>
      </c>
    </row>
    <row r="7" spans="1:53" ht="21" customHeight="1" x14ac:dyDescent="0.3">
      <c r="A7" s="1740"/>
      <c r="B7" s="1753"/>
      <c r="C7" s="1753"/>
      <c r="D7" s="1742"/>
      <c r="E7" s="1742"/>
      <c r="F7" s="1742"/>
      <c r="G7" s="2556"/>
      <c r="H7" s="2557"/>
      <c r="I7" s="2557"/>
      <c r="J7" s="2557"/>
      <c r="K7" s="2557"/>
      <c r="M7" s="1742"/>
      <c r="N7" s="1742"/>
      <c r="O7" s="2556"/>
      <c r="P7" s="2557"/>
      <c r="Q7" s="2557"/>
      <c r="R7" s="2557"/>
      <c r="S7" s="2557"/>
      <c r="T7" s="1756"/>
      <c r="U7" s="1742"/>
      <c r="V7" s="1742"/>
      <c r="W7" s="2556"/>
      <c r="X7" s="2557"/>
      <c r="Y7" s="2557"/>
      <c r="Z7" s="2557"/>
      <c r="AA7" s="1749"/>
      <c r="AB7" s="1128"/>
      <c r="AE7" s="1131"/>
    </row>
    <row r="8" spans="1:53" ht="18.75" customHeight="1" x14ac:dyDescent="0.3">
      <c r="A8" s="1740"/>
      <c r="B8" s="1753"/>
      <c r="C8" s="1753"/>
      <c r="D8" s="1742"/>
      <c r="E8" s="1742"/>
      <c r="F8" s="1742"/>
      <c r="G8" s="1761"/>
      <c r="H8" s="1761"/>
      <c r="I8" s="1761"/>
      <c r="J8" s="1761"/>
      <c r="K8" s="1761"/>
      <c r="L8" s="1761"/>
      <c r="M8" s="1742"/>
      <c r="N8" s="1742"/>
      <c r="O8" s="1761"/>
      <c r="P8" s="1761"/>
      <c r="Q8" s="1761"/>
      <c r="R8" s="1761"/>
      <c r="S8" s="1761"/>
      <c r="T8" s="1761"/>
      <c r="U8" s="1761"/>
      <c r="V8" s="1761"/>
      <c r="W8" s="1761"/>
      <c r="X8" s="1761"/>
      <c r="Y8" s="1761"/>
      <c r="Z8" s="1761"/>
      <c r="AA8" s="1749"/>
      <c r="AB8" s="1128"/>
      <c r="AE8" s="1131"/>
    </row>
    <row r="9" spans="1:53" ht="43.5" customHeight="1" x14ac:dyDescent="0.3">
      <c r="A9" s="1740"/>
      <c r="B9" s="1753"/>
      <c r="C9" s="1762"/>
      <c r="D9" s="1742"/>
      <c r="E9" s="1763" t="s">
        <v>2290</v>
      </c>
      <c r="F9" s="1764"/>
      <c r="G9" s="2558" t="s">
        <v>2292</v>
      </c>
      <c r="H9" s="2559"/>
      <c r="I9" s="2559"/>
      <c r="J9" s="1765"/>
      <c r="K9" s="1766" t="s">
        <v>2295</v>
      </c>
      <c r="L9" s="1765"/>
      <c r="M9" s="2560" t="s">
        <v>2181</v>
      </c>
      <c r="N9" s="2561"/>
      <c r="O9" s="2561"/>
      <c r="P9" s="2561"/>
      <c r="Q9" s="2561"/>
      <c r="R9" s="2562"/>
      <c r="S9" s="2562"/>
      <c r="T9" s="1765"/>
      <c r="U9" s="2563" t="s">
        <v>2269</v>
      </c>
      <c r="V9" s="2561"/>
      <c r="W9" s="2561"/>
      <c r="X9" s="1765"/>
      <c r="Y9" s="1767" t="s">
        <v>2182</v>
      </c>
      <c r="Z9" s="1761"/>
      <c r="AA9" s="1749"/>
      <c r="AB9" s="1128"/>
      <c r="AE9" s="1131"/>
    </row>
    <row r="10" spans="1:53" ht="21" customHeight="1" x14ac:dyDescent="0.3">
      <c r="A10" s="1740"/>
      <c r="B10" s="1753"/>
      <c r="C10" s="1753"/>
      <c r="D10" s="1742"/>
      <c r="E10" s="1763">
        <v>1</v>
      </c>
      <c r="F10" s="1763"/>
      <c r="G10" s="1766">
        <v>2</v>
      </c>
      <c r="H10" s="1766"/>
      <c r="I10" s="1766">
        <v>3</v>
      </c>
      <c r="J10" s="1766"/>
      <c r="K10" s="1766">
        <v>4</v>
      </c>
      <c r="L10" s="1766"/>
      <c r="M10" s="1763">
        <v>5</v>
      </c>
      <c r="N10" s="1763"/>
      <c r="O10" s="1766">
        <v>6</v>
      </c>
      <c r="P10" s="1766"/>
      <c r="Q10" s="1766">
        <v>7</v>
      </c>
      <c r="R10" s="1766"/>
      <c r="S10" s="1766">
        <v>8</v>
      </c>
      <c r="T10" s="1766"/>
      <c r="U10" s="1766">
        <v>9</v>
      </c>
      <c r="V10" s="1766"/>
      <c r="W10" s="1766">
        <v>10</v>
      </c>
      <c r="X10" s="1766"/>
      <c r="Y10" s="1766">
        <v>14</v>
      </c>
      <c r="Z10" s="1761"/>
      <c r="AA10" s="1749"/>
      <c r="AB10" s="1128"/>
      <c r="AE10" s="1131"/>
    </row>
    <row r="11" spans="1:53" ht="151.5" customHeight="1" x14ac:dyDescent="0.2">
      <c r="A11" s="1740"/>
      <c r="B11" s="1742"/>
      <c r="C11" s="1768" t="s">
        <v>2308</v>
      </c>
      <c r="D11" s="1742"/>
      <c r="E11" s="1769" t="s">
        <v>2289</v>
      </c>
      <c r="F11" s="1742"/>
      <c r="G11" s="1769" t="s">
        <v>2291</v>
      </c>
      <c r="H11" s="1742"/>
      <c r="I11" s="1769" t="s">
        <v>2293</v>
      </c>
      <c r="J11" s="1755"/>
      <c r="K11" s="1769" t="s">
        <v>2294</v>
      </c>
      <c r="M11" s="1769" t="s">
        <v>2296</v>
      </c>
      <c r="N11" s="1769"/>
      <c r="O11" s="1769" t="s">
        <v>2297</v>
      </c>
      <c r="P11" s="1769"/>
      <c r="Q11" s="1769" t="s">
        <v>2282</v>
      </c>
      <c r="R11" s="1755"/>
      <c r="S11" s="1769" t="s">
        <v>2298</v>
      </c>
      <c r="T11" s="1756"/>
      <c r="U11" s="1769" t="s">
        <v>2299</v>
      </c>
      <c r="V11" s="1742"/>
      <c r="W11" s="1769" t="s">
        <v>3088</v>
      </c>
      <c r="X11" s="1742"/>
      <c r="Y11" s="1741" t="s">
        <v>3090</v>
      </c>
      <c r="Z11" s="1755"/>
      <c r="AA11" s="1749"/>
      <c r="AB11" s="1128"/>
      <c r="AC11" s="1145"/>
      <c r="AD11" s="1144"/>
      <c r="AE11" s="1131"/>
      <c r="AF11" s="1143"/>
    </row>
    <row r="12" spans="1:53" ht="17.25" thickBot="1" x14ac:dyDescent="0.25">
      <c r="A12" s="1740"/>
      <c r="B12" s="2549"/>
      <c r="C12" s="2550"/>
      <c r="D12" s="1742"/>
      <c r="E12" s="1770"/>
      <c r="F12" s="1742"/>
      <c r="G12" s="1770"/>
      <c r="H12" s="1764"/>
      <c r="I12" s="1770"/>
      <c r="J12" s="1746"/>
      <c r="K12" s="1770"/>
      <c r="M12" s="1770"/>
      <c r="N12" s="1742"/>
      <c r="O12" s="1770"/>
      <c r="P12" s="1764"/>
      <c r="Q12" s="1770"/>
      <c r="R12" s="1746"/>
      <c r="S12" s="1770"/>
      <c r="T12" s="1770"/>
      <c r="U12" s="1770"/>
      <c r="V12" s="1742"/>
      <c r="W12" s="1770"/>
      <c r="X12" s="1764"/>
      <c r="Y12" s="1770"/>
      <c r="Z12" s="1746"/>
      <c r="AA12" s="1749"/>
      <c r="AB12" s="1128"/>
      <c r="AC12" s="1145"/>
      <c r="AD12" s="1144"/>
      <c r="AE12" s="1131"/>
      <c r="AF12" s="1143"/>
    </row>
    <row r="13" spans="1:53" s="1130" customFormat="1" ht="21" customHeight="1" thickBot="1" x14ac:dyDescent="0.25">
      <c r="A13" s="1771">
        <v>1</v>
      </c>
      <c r="B13" s="1753" t="str">
        <f>CONCATENATE($E$3,"EZ",A13)</f>
        <v>EZZZZEZ1</v>
      </c>
      <c r="C13" s="1772" t="str">
        <f>'Part 3 DA summary'!C13</f>
        <v/>
      </c>
      <c r="D13" s="1768"/>
      <c r="E13" s="1773">
        <f>'Part 3 DA summary'!E13</f>
        <v>0</v>
      </c>
      <c r="F13" s="1758"/>
      <c r="G13" s="1773">
        <f>'Part 3 DA summary'!G13</f>
        <v>0</v>
      </c>
      <c r="H13" s="1759"/>
      <c r="I13" s="1773">
        <f>'Part 3 DA summary'!I13</f>
        <v>0</v>
      </c>
      <c r="J13" s="1759"/>
      <c r="K13" s="1774" t="str">
        <f>IF(C13="","",+E13+G13+I13)</f>
        <v/>
      </c>
      <c r="L13" s="1760"/>
      <c r="M13" s="1773">
        <f>'Part 3 DA summary'!M13</f>
        <v>0</v>
      </c>
      <c r="N13" s="1758"/>
      <c r="O13" s="1773">
        <f>'Part 3 DA summary'!O13</f>
        <v>0</v>
      </c>
      <c r="P13" s="1759"/>
      <c r="Q13" s="1775">
        <f>'Part 3 DA summary'!Q13</f>
        <v>0</v>
      </c>
      <c r="R13" s="1759"/>
      <c r="S13" s="1776" t="str">
        <f>IF(C13="","",IF(K13-M13+O13-Q13&lt;0,0,+K13-M13+O13-Q13))</f>
        <v/>
      </c>
      <c r="T13" s="1759"/>
      <c r="U13" s="1773">
        <f>'Part 3 DA summary'!U13</f>
        <v>0</v>
      </c>
      <c r="V13" s="1758"/>
      <c r="W13" s="1776" t="str">
        <f>IF(C13="","",IF(VLOOKUP('Part 1'!$L$17,TierSplit!$A$6:$AG$332,10,FALSE)&lt;1,U13,0))</f>
        <v/>
      </c>
      <c r="X13" s="1759"/>
      <c r="Y13" s="1776" t="str">
        <f>IF(C13="","",U13)</f>
        <v/>
      </c>
      <c r="Z13" s="1759"/>
      <c r="AA13" s="1777"/>
      <c r="AB13" s="1133"/>
      <c r="AC13" s="1783">
        <f>IF(C13='Part 3 DA summary'!C13,0,1)</f>
        <v>0</v>
      </c>
      <c r="AD13" s="1142"/>
      <c r="AE13" s="1783">
        <f>IF(E13='Part 3 DA summary'!E13,0,1)</f>
        <v>0</v>
      </c>
      <c r="AF13" s="1140"/>
      <c r="AG13" s="1783">
        <f>IF(G13='Part 3 DA summary'!G13,0,1)</f>
        <v>0</v>
      </c>
      <c r="AI13" s="1783">
        <f>IF(I13='Part 3 DA summary'!I13,0,1)</f>
        <v>0</v>
      </c>
      <c r="AK13" s="1783">
        <f>IF(K13='Part 3 DA summary'!K13,0,1)</f>
        <v>0</v>
      </c>
      <c r="AM13" s="1783">
        <f>IF(M13='Part 3 DA summary'!M13,0,1)</f>
        <v>0</v>
      </c>
      <c r="AO13" s="1783">
        <f>IF(O13='Part 3 DA summary'!O13,0,1)</f>
        <v>0</v>
      </c>
      <c r="AQ13" s="1783">
        <f>IF(Q13='Part 3 DA summary'!Q13,0,1)</f>
        <v>0</v>
      </c>
      <c r="AS13" s="1783">
        <f>IF(S13='Part 3 DA summary'!S13,0,1)</f>
        <v>0</v>
      </c>
      <c r="AU13" s="1783">
        <f>IF(U13='Part 3 DA summary'!U13,0,1)</f>
        <v>0</v>
      </c>
      <c r="AW13" s="1783">
        <f>IF(W13='Part 3 DA summary'!W13,0,1)</f>
        <v>0</v>
      </c>
      <c r="AY13" s="1783">
        <f>IF(Y13='Part 3 DA summary'!Y13,0,1)</f>
        <v>0</v>
      </c>
      <c r="BA13" s="1784">
        <f>IF(SUM(AC13:AY14)&gt;0,1,0)</f>
        <v>0</v>
      </c>
    </row>
    <row r="14" spans="1:53" s="1130" customFormat="1" ht="21" customHeight="1" thickBot="1" x14ac:dyDescent="0.25">
      <c r="A14" s="1771">
        <v>2</v>
      </c>
      <c r="B14" s="1753" t="str">
        <f t="shared" ref="B14:B53" si="0">CONCATENATE($E$3,"EZ",A14)</f>
        <v>EZZZZEZ2</v>
      </c>
      <c r="C14" s="1772" t="str">
        <f>'Part 3 DA summary'!C14</f>
        <v/>
      </c>
      <c r="D14" s="1768"/>
      <c r="E14" s="1773">
        <f>'Part 3 DA summary'!E14</f>
        <v>0</v>
      </c>
      <c r="F14" s="1758"/>
      <c r="G14" s="1773">
        <f>'Part 3 DA summary'!G14</f>
        <v>0</v>
      </c>
      <c r="H14" s="1759"/>
      <c r="I14" s="1773">
        <f>'Part 3 DA summary'!I14</f>
        <v>0</v>
      </c>
      <c r="J14" s="1759"/>
      <c r="K14" s="1774" t="str">
        <f t="shared" ref="K14:K53" si="1">IF(C14="","",+E14+G14+I14)</f>
        <v/>
      </c>
      <c r="L14" s="1760"/>
      <c r="M14" s="1773">
        <f>'Part 3 DA summary'!M14</f>
        <v>0</v>
      </c>
      <c r="N14" s="1758"/>
      <c r="O14" s="1773">
        <f>'Part 3 DA summary'!O14</f>
        <v>0</v>
      </c>
      <c r="P14" s="1759"/>
      <c r="Q14" s="1775">
        <f>'Part 3 DA summary'!Q14</f>
        <v>0</v>
      </c>
      <c r="R14" s="1759"/>
      <c r="S14" s="1776" t="str">
        <f t="shared" ref="S14:S53" si="2">IF(C14="","",IF(K14-M14+O14-Q14&lt;0,0,+K14-M14+O14-Q14))</f>
        <v/>
      </c>
      <c r="T14" s="1759"/>
      <c r="U14" s="1773">
        <f>'Part 3 DA summary'!U14</f>
        <v>0</v>
      </c>
      <c r="V14" s="1758"/>
      <c r="W14" s="1776" t="str">
        <f>IF(C14="","",IF(VLOOKUP('Part 1'!$L$17,TierSplit!$A$6:$AG$332,10,FALSE)&lt;1,U14,0))</f>
        <v/>
      </c>
      <c r="X14" s="1759"/>
      <c r="Y14" s="1776" t="str">
        <f t="shared" ref="Y14:Y53" si="3">IF(C14="","",U14)</f>
        <v/>
      </c>
      <c r="Z14" s="1759"/>
      <c r="AA14" s="1777"/>
      <c r="AB14" s="1133"/>
      <c r="AC14" s="1783">
        <f>IF(C14='Part 3 DA summary'!C14,0,1)</f>
        <v>0</v>
      </c>
      <c r="AD14" s="1142"/>
      <c r="AE14" s="1783">
        <f>IF(E14='Part 3 DA summary'!E14,0,1)</f>
        <v>0</v>
      </c>
      <c r="AF14" s="1140"/>
      <c r="AG14" s="1783">
        <f>IF(G14='Part 3 DA summary'!G14,0,1)</f>
        <v>0</v>
      </c>
      <c r="AI14" s="1783">
        <f>IF(I14='Part 3 DA summary'!I14,0,1)</f>
        <v>0</v>
      </c>
      <c r="AK14" s="1783">
        <f>IF(K14='Part 3 DA summary'!K14,0,1)</f>
        <v>0</v>
      </c>
      <c r="AM14" s="1783">
        <f>IF(M14='Part 3 DA summary'!M14,0,1)</f>
        <v>0</v>
      </c>
      <c r="AO14" s="1783">
        <f>IF(O14='Part 3 DA summary'!O14,0,1)</f>
        <v>0</v>
      </c>
      <c r="AQ14" s="1783">
        <f>IF(Q14='Part 3 DA summary'!Q14,0,1)</f>
        <v>0</v>
      </c>
      <c r="AS14" s="1783">
        <f>IF(S14='Part 3 DA summary'!S14,0,1)</f>
        <v>0</v>
      </c>
      <c r="AU14" s="1783">
        <f>IF(U14='Part 3 DA summary'!U14,0,1)</f>
        <v>0</v>
      </c>
      <c r="AW14" s="1783">
        <f>IF(W14='Part 3 DA summary'!W14,0,1)</f>
        <v>0</v>
      </c>
      <c r="AY14" s="1783">
        <f>IF(Y14='Part 3 DA summary'!Y14,0,1)</f>
        <v>0</v>
      </c>
      <c r="BA14" s="1784">
        <f t="shared" ref="BA14:BA53" si="4">IF(SUM(AC14:AY15)&gt;0,1,0)</f>
        <v>0</v>
      </c>
    </row>
    <row r="15" spans="1:53" s="1130" customFormat="1" ht="21" customHeight="1" thickBot="1" x14ac:dyDescent="0.25">
      <c r="A15" s="1771">
        <v>3</v>
      </c>
      <c r="B15" s="1753" t="str">
        <f t="shared" si="0"/>
        <v>EZZZZEZ3</v>
      </c>
      <c r="C15" s="1772" t="str">
        <f>'Part 3 DA summary'!C15</f>
        <v/>
      </c>
      <c r="D15" s="1768"/>
      <c r="E15" s="1773">
        <f>'Part 3 DA summary'!E15</f>
        <v>0</v>
      </c>
      <c r="F15" s="1758"/>
      <c r="G15" s="1773">
        <f>'Part 3 DA summary'!G15</f>
        <v>0</v>
      </c>
      <c r="H15" s="1759"/>
      <c r="I15" s="1773">
        <f>'Part 3 DA summary'!I15</f>
        <v>0</v>
      </c>
      <c r="J15" s="1759"/>
      <c r="K15" s="1774" t="str">
        <f t="shared" si="1"/>
        <v/>
      </c>
      <c r="L15" s="1760"/>
      <c r="M15" s="1773">
        <f>'Part 3 DA summary'!M15</f>
        <v>0</v>
      </c>
      <c r="N15" s="1758"/>
      <c r="O15" s="1773">
        <f>'Part 3 DA summary'!O15</f>
        <v>0</v>
      </c>
      <c r="P15" s="1759"/>
      <c r="Q15" s="1775">
        <f>'Part 3 DA summary'!Q15</f>
        <v>0</v>
      </c>
      <c r="R15" s="1759"/>
      <c r="S15" s="1776" t="str">
        <f t="shared" si="2"/>
        <v/>
      </c>
      <c r="T15" s="1759"/>
      <c r="U15" s="1773">
        <f>'Part 3 DA summary'!U15</f>
        <v>0</v>
      </c>
      <c r="V15" s="1758"/>
      <c r="W15" s="1776" t="str">
        <f>IF(C15="","",IF(VLOOKUP('Part 1'!$L$17,TierSplit!$A$6:$AG$332,10,FALSE)&lt;1,U15,0))</f>
        <v/>
      </c>
      <c r="X15" s="1759"/>
      <c r="Y15" s="1776" t="str">
        <f t="shared" si="3"/>
        <v/>
      </c>
      <c r="Z15" s="1759"/>
      <c r="AA15" s="1777"/>
      <c r="AB15" s="1133"/>
      <c r="AC15" s="1783">
        <f>IF(C15='Part 3 DA summary'!C15,0,1)</f>
        <v>0</v>
      </c>
      <c r="AD15" s="1142"/>
      <c r="AE15" s="1783">
        <f>IF(E15='Part 3 DA summary'!E15,0,1)</f>
        <v>0</v>
      </c>
      <c r="AF15" s="1140"/>
      <c r="AG15" s="1783">
        <f>IF(G15='Part 3 DA summary'!G15,0,1)</f>
        <v>0</v>
      </c>
      <c r="AI15" s="1783">
        <f>IF(I15='Part 3 DA summary'!I15,0,1)</f>
        <v>0</v>
      </c>
      <c r="AK15" s="1783">
        <f>IF(K15='Part 3 DA summary'!K15,0,1)</f>
        <v>0</v>
      </c>
      <c r="AM15" s="1783">
        <f>IF(M15='Part 3 DA summary'!M15,0,1)</f>
        <v>0</v>
      </c>
      <c r="AO15" s="1783">
        <f>IF(O15='Part 3 DA summary'!O15,0,1)</f>
        <v>0</v>
      </c>
      <c r="AQ15" s="1783">
        <f>IF(Q15='Part 3 DA summary'!Q15,0,1)</f>
        <v>0</v>
      </c>
      <c r="AS15" s="1783">
        <f>IF(S15='Part 3 DA summary'!S15,0,1)</f>
        <v>0</v>
      </c>
      <c r="AU15" s="1783">
        <f>IF(U15='Part 3 DA summary'!U15,0,1)</f>
        <v>0</v>
      </c>
      <c r="AW15" s="1783">
        <f>IF(W15='Part 3 DA summary'!W15,0,1)</f>
        <v>0</v>
      </c>
      <c r="AY15" s="1783">
        <f>IF(Y15='Part 3 DA summary'!Y15,0,1)</f>
        <v>0</v>
      </c>
      <c r="BA15" s="1784">
        <f t="shared" si="4"/>
        <v>0</v>
      </c>
    </row>
    <row r="16" spans="1:53" s="1130" customFormat="1" ht="21" customHeight="1" thickBot="1" x14ac:dyDescent="0.25">
      <c r="A16" s="1771">
        <v>4</v>
      </c>
      <c r="B16" s="1753" t="str">
        <f t="shared" si="0"/>
        <v>EZZZZEZ4</v>
      </c>
      <c r="C16" s="1772" t="str">
        <f>'Part 3 DA summary'!C16</f>
        <v/>
      </c>
      <c r="D16" s="1768"/>
      <c r="E16" s="1773">
        <f>'Part 3 DA summary'!E16</f>
        <v>0</v>
      </c>
      <c r="F16" s="1758"/>
      <c r="G16" s="1773">
        <f>'Part 3 DA summary'!G16</f>
        <v>0</v>
      </c>
      <c r="H16" s="1759"/>
      <c r="I16" s="1773">
        <f>'Part 3 DA summary'!I16</f>
        <v>0</v>
      </c>
      <c r="J16" s="1759"/>
      <c r="K16" s="1774" t="str">
        <f t="shared" si="1"/>
        <v/>
      </c>
      <c r="L16" s="1760"/>
      <c r="M16" s="1773">
        <f>'Part 3 DA summary'!M16</f>
        <v>0</v>
      </c>
      <c r="N16" s="1758"/>
      <c r="O16" s="1773">
        <f>'Part 3 DA summary'!O16</f>
        <v>0</v>
      </c>
      <c r="P16" s="1759"/>
      <c r="Q16" s="1775">
        <f>'Part 3 DA summary'!Q16</f>
        <v>0</v>
      </c>
      <c r="R16" s="1759"/>
      <c r="S16" s="1776" t="str">
        <f t="shared" si="2"/>
        <v/>
      </c>
      <c r="T16" s="1759"/>
      <c r="U16" s="1773">
        <f>'Part 3 DA summary'!U16</f>
        <v>0</v>
      </c>
      <c r="V16" s="1758"/>
      <c r="W16" s="1776" t="str">
        <f>IF(C16="","",IF(VLOOKUP('Part 1'!$L$17,TierSplit!$A$6:$AG$332,10,FALSE)&lt;1,U16,0))</f>
        <v/>
      </c>
      <c r="X16" s="1759"/>
      <c r="Y16" s="1776" t="str">
        <f t="shared" si="3"/>
        <v/>
      </c>
      <c r="Z16" s="1759"/>
      <c r="AA16" s="1777"/>
      <c r="AB16" s="1133"/>
      <c r="AC16" s="1783">
        <f>IF(C16='Part 3 DA summary'!C16,0,1)</f>
        <v>0</v>
      </c>
      <c r="AD16" s="1142"/>
      <c r="AE16" s="1783">
        <f>IF(E16='Part 3 DA summary'!E16,0,1)</f>
        <v>0</v>
      </c>
      <c r="AF16" s="1140"/>
      <c r="AG16" s="1783">
        <f>IF(G16='Part 3 DA summary'!G16,0,1)</f>
        <v>0</v>
      </c>
      <c r="AI16" s="1783">
        <f>IF(I16='Part 3 DA summary'!I16,0,1)</f>
        <v>0</v>
      </c>
      <c r="AK16" s="1783">
        <f>IF(K16='Part 3 DA summary'!K16,0,1)</f>
        <v>0</v>
      </c>
      <c r="AM16" s="1783">
        <f>IF(M16='Part 3 DA summary'!M16,0,1)</f>
        <v>0</v>
      </c>
      <c r="AO16" s="1783">
        <f>IF(O16='Part 3 DA summary'!O16,0,1)</f>
        <v>0</v>
      </c>
      <c r="AQ16" s="1783">
        <f>IF(Q16='Part 3 DA summary'!Q16,0,1)</f>
        <v>0</v>
      </c>
      <c r="AS16" s="1783">
        <f>IF(S16='Part 3 DA summary'!S16,0,1)</f>
        <v>0</v>
      </c>
      <c r="AU16" s="1783">
        <f>IF(U16='Part 3 DA summary'!U16,0,1)</f>
        <v>0</v>
      </c>
      <c r="AW16" s="1783">
        <f>IF(W16='Part 3 DA summary'!W16,0,1)</f>
        <v>0</v>
      </c>
      <c r="AY16" s="1783">
        <f>IF(Y16='Part 3 DA summary'!Y16,0,1)</f>
        <v>0</v>
      </c>
      <c r="BA16" s="1784">
        <f t="shared" si="4"/>
        <v>0</v>
      </c>
    </row>
    <row r="17" spans="1:53" s="1130" customFormat="1" ht="21" customHeight="1" thickBot="1" x14ac:dyDescent="0.25">
      <c r="A17" s="1771">
        <v>5</v>
      </c>
      <c r="B17" s="1753" t="str">
        <f t="shared" si="0"/>
        <v>EZZZZEZ5</v>
      </c>
      <c r="C17" s="1772" t="str">
        <f>'Part 3 DA summary'!C17</f>
        <v/>
      </c>
      <c r="D17" s="1768"/>
      <c r="E17" s="1773">
        <f>'Part 3 DA summary'!E17</f>
        <v>0</v>
      </c>
      <c r="F17" s="1758"/>
      <c r="G17" s="1773">
        <f>'Part 3 DA summary'!G17</f>
        <v>0</v>
      </c>
      <c r="H17" s="1759"/>
      <c r="I17" s="1773">
        <f>'Part 3 DA summary'!I17</f>
        <v>0</v>
      </c>
      <c r="J17" s="1759"/>
      <c r="K17" s="1774" t="str">
        <f t="shared" si="1"/>
        <v/>
      </c>
      <c r="L17" s="1760"/>
      <c r="M17" s="1773">
        <f>'Part 3 DA summary'!M17</f>
        <v>0</v>
      </c>
      <c r="N17" s="1758"/>
      <c r="O17" s="1773">
        <f>'Part 3 DA summary'!O17</f>
        <v>0</v>
      </c>
      <c r="P17" s="1759"/>
      <c r="Q17" s="1775">
        <f>'Part 3 DA summary'!Q17</f>
        <v>0</v>
      </c>
      <c r="R17" s="1759"/>
      <c r="S17" s="1776" t="str">
        <f t="shared" si="2"/>
        <v/>
      </c>
      <c r="T17" s="1759"/>
      <c r="U17" s="1773">
        <f>'Part 3 DA summary'!U17</f>
        <v>0</v>
      </c>
      <c r="V17" s="1758"/>
      <c r="W17" s="1776" t="str">
        <f>IF(C17="","",IF(VLOOKUP('Part 1'!$L$17,TierSplit!$A$6:$AG$332,10,FALSE)&lt;1,U17,0))</f>
        <v/>
      </c>
      <c r="X17" s="1759"/>
      <c r="Y17" s="1776" t="str">
        <f t="shared" si="3"/>
        <v/>
      </c>
      <c r="Z17" s="1759"/>
      <c r="AA17" s="1777"/>
      <c r="AB17" s="1133"/>
      <c r="AC17" s="1783">
        <f>IF(C17='Part 3 DA summary'!C17,0,1)</f>
        <v>0</v>
      </c>
      <c r="AD17" s="1142"/>
      <c r="AE17" s="1783">
        <f>IF(E17='Part 3 DA summary'!E17,0,1)</f>
        <v>0</v>
      </c>
      <c r="AF17" s="1140"/>
      <c r="AG17" s="1783">
        <f>IF(G17='Part 3 DA summary'!G17,0,1)</f>
        <v>0</v>
      </c>
      <c r="AI17" s="1783">
        <f>IF(I17='Part 3 DA summary'!I17,0,1)</f>
        <v>0</v>
      </c>
      <c r="AK17" s="1783">
        <f>IF(K17='Part 3 DA summary'!K17,0,1)</f>
        <v>0</v>
      </c>
      <c r="AM17" s="1783">
        <f>IF(M17='Part 3 DA summary'!M17,0,1)</f>
        <v>0</v>
      </c>
      <c r="AO17" s="1783">
        <f>IF(O17='Part 3 DA summary'!O17,0,1)</f>
        <v>0</v>
      </c>
      <c r="AQ17" s="1783">
        <f>IF(Q17='Part 3 DA summary'!Q17,0,1)</f>
        <v>0</v>
      </c>
      <c r="AS17" s="1783">
        <f>IF(S17='Part 3 DA summary'!S17,0,1)</f>
        <v>0</v>
      </c>
      <c r="AU17" s="1783">
        <f>IF(U17='Part 3 DA summary'!U17,0,1)</f>
        <v>0</v>
      </c>
      <c r="AW17" s="1783">
        <f>IF(W17='Part 3 DA summary'!W17,0,1)</f>
        <v>0</v>
      </c>
      <c r="AY17" s="1783">
        <f>IF(Y17='Part 3 DA summary'!Y17,0,1)</f>
        <v>0</v>
      </c>
      <c r="BA17" s="1784">
        <f t="shared" si="4"/>
        <v>0</v>
      </c>
    </row>
    <row r="18" spans="1:53" s="1130" customFormat="1" ht="21" customHeight="1" thickBot="1" x14ac:dyDescent="0.25">
      <c r="A18" s="1771">
        <v>6</v>
      </c>
      <c r="B18" s="1753" t="str">
        <f t="shared" si="0"/>
        <v>EZZZZEZ6</v>
      </c>
      <c r="C18" s="1772" t="str">
        <f>'Part 3 DA summary'!C18</f>
        <v/>
      </c>
      <c r="D18" s="1768"/>
      <c r="E18" s="1773">
        <f>'Part 3 DA summary'!E18</f>
        <v>0</v>
      </c>
      <c r="F18" s="1758"/>
      <c r="G18" s="1773">
        <f>'Part 3 DA summary'!G18</f>
        <v>0</v>
      </c>
      <c r="H18" s="1759"/>
      <c r="I18" s="1773">
        <f>'Part 3 DA summary'!I18</f>
        <v>0</v>
      </c>
      <c r="J18" s="1759"/>
      <c r="K18" s="1774" t="str">
        <f t="shared" si="1"/>
        <v/>
      </c>
      <c r="L18" s="1760"/>
      <c r="M18" s="1773">
        <f>'Part 3 DA summary'!M18</f>
        <v>0</v>
      </c>
      <c r="N18" s="1758"/>
      <c r="O18" s="1773">
        <f>'Part 3 DA summary'!O18</f>
        <v>0</v>
      </c>
      <c r="P18" s="1759"/>
      <c r="Q18" s="1775">
        <f>'Part 3 DA summary'!Q18</f>
        <v>0</v>
      </c>
      <c r="R18" s="1759"/>
      <c r="S18" s="1776" t="str">
        <f t="shared" si="2"/>
        <v/>
      </c>
      <c r="T18" s="1759"/>
      <c r="U18" s="1773">
        <f>'Part 3 DA summary'!U18</f>
        <v>0</v>
      </c>
      <c r="V18" s="1758"/>
      <c r="W18" s="1776" t="str">
        <f>IF(C18="","",IF(VLOOKUP('Part 1'!$L$17,TierSplit!$A$6:$AG$332,10,FALSE)&lt;1,U18,0))</f>
        <v/>
      </c>
      <c r="X18" s="1759"/>
      <c r="Y18" s="1776" t="str">
        <f t="shared" si="3"/>
        <v/>
      </c>
      <c r="Z18" s="1759"/>
      <c r="AA18" s="1777"/>
      <c r="AB18" s="1133"/>
      <c r="AC18" s="1783">
        <f>IF(C18='Part 3 DA summary'!C18,0,1)</f>
        <v>0</v>
      </c>
      <c r="AD18" s="1142"/>
      <c r="AE18" s="1783">
        <f>IF(E18='Part 3 DA summary'!E18,0,1)</f>
        <v>0</v>
      </c>
      <c r="AF18" s="1140"/>
      <c r="AG18" s="1783">
        <f>IF(G18='Part 3 DA summary'!G18,0,1)</f>
        <v>0</v>
      </c>
      <c r="AI18" s="1783">
        <f>IF(I18='Part 3 DA summary'!I18,0,1)</f>
        <v>0</v>
      </c>
      <c r="AK18" s="1783">
        <f>IF(K18='Part 3 DA summary'!K18,0,1)</f>
        <v>0</v>
      </c>
      <c r="AM18" s="1783">
        <f>IF(M18='Part 3 DA summary'!M18,0,1)</f>
        <v>0</v>
      </c>
      <c r="AO18" s="1783">
        <f>IF(O18='Part 3 DA summary'!O18,0,1)</f>
        <v>0</v>
      </c>
      <c r="AQ18" s="1783">
        <f>IF(Q18='Part 3 DA summary'!Q18,0,1)</f>
        <v>0</v>
      </c>
      <c r="AS18" s="1783">
        <f>IF(S18='Part 3 DA summary'!S18,0,1)</f>
        <v>0</v>
      </c>
      <c r="AU18" s="1783">
        <f>IF(U18='Part 3 DA summary'!U18,0,1)</f>
        <v>0</v>
      </c>
      <c r="AW18" s="1783">
        <f>IF(W18='Part 3 DA summary'!W18,0,1)</f>
        <v>0</v>
      </c>
      <c r="AY18" s="1783">
        <f>IF(Y18='Part 3 DA summary'!Y18,0,1)</f>
        <v>0</v>
      </c>
      <c r="BA18" s="1784">
        <f t="shared" si="4"/>
        <v>0</v>
      </c>
    </row>
    <row r="19" spans="1:53" s="1130" customFormat="1" ht="21" customHeight="1" thickBot="1" x14ac:dyDescent="0.25">
      <c r="A19" s="1771">
        <v>7</v>
      </c>
      <c r="B19" s="1753" t="str">
        <f t="shared" si="0"/>
        <v>EZZZZEZ7</v>
      </c>
      <c r="C19" s="1772" t="str">
        <f>'Part 3 DA summary'!C19</f>
        <v/>
      </c>
      <c r="D19" s="1768"/>
      <c r="E19" s="1773">
        <f>'Part 3 DA summary'!E19</f>
        <v>0</v>
      </c>
      <c r="F19" s="1758"/>
      <c r="G19" s="1773">
        <f>'Part 3 DA summary'!G19</f>
        <v>0</v>
      </c>
      <c r="H19" s="1759"/>
      <c r="I19" s="1773">
        <f>'Part 3 DA summary'!I19</f>
        <v>0</v>
      </c>
      <c r="J19" s="1759"/>
      <c r="K19" s="1774" t="str">
        <f t="shared" si="1"/>
        <v/>
      </c>
      <c r="L19" s="1760"/>
      <c r="M19" s="1773">
        <f>'Part 3 DA summary'!M19</f>
        <v>0</v>
      </c>
      <c r="N19" s="1758"/>
      <c r="O19" s="1773">
        <f>'Part 3 DA summary'!O19</f>
        <v>0</v>
      </c>
      <c r="P19" s="1759"/>
      <c r="Q19" s="1775">
        <f>'Part 3 DA summary'!Q19</f>
        <v>0</v>
      </c>
      <c r="R19" s="1759"/>
      <c r="S19" s="1776" t="str">
        <f t="shared" si="2"/>
        <v/>
      </c>
      <c r="T19" s="1759"/>
      <c r="U19" s="1773">
        <f>'Part 3 DA summary'!U19</f>
        <v>0</v>
      </c>
      <c r="V19" s="1758"/>
      <c r="W19" s="1776" t="str">
        <f>IF(C19="","",IF(VLOOKUP('Part 1'!$L$17,TierSplit!$A$6:$AG$332,10,FALSE)&lt;1,U19,0))</f>
        <v/>
      </c>
      <c r="X19" s="1759"/>
      <c r="Y19" s="1776" t="str">
        <f t="shared" si="3"/>
        <v/>
      </c>
      <c r="Z19" s="1759"/>
      <c r="AA19" s="1777"/>
      <c r="AB19" s="1133"/>
      <c r="AC19" s="1783">
        <f>IF(C19='Part 3 DA summary'!C19,0,1)</f>
        <v>0</v>
      </c>
      <c r="AD19" s="1142"/>
      <c r="AE19" s="1783">
        <f>IF(E19='Part 3 DA summary'!E19,0,1)</f>
        <v>0</v>
      </c>
      <c r="AF19" s="1140"/>
      <c r="AG19" s="1783">
        <f>IF(G19='Part 3 DA summary'!G19,0,1)</f>
        <v>0</v>
      </c>
      <c r="AI19" s="1783">
        <f>IF(I19='Part 3 DA summary'!I19,0,1)</f>
        <v>0</v>
      </c>
      <c r="AK19" s="1783">
        <f>IF(K19='Part 3 DA summary'!K19,0,1)</f>
        <v>0</v>
      </c>
      <c r="AM19" s="1783">
        <f>IF(M19='Part 3 DA summary'!M19,0,1)</f>
        <v>0</v>
      </c>
      <c r="AO19" s="1783">
        <f>IF(O19='Part 3 DA summary'!O19,0,1)</f>
        <v>0</v>
      </c>
      <c r="AQ19" s="1783">
        <f>IF(Q19='Part 3 DA summary'!Q19,0,1)</f>
        <v>0</v>
      </c>
      <c r="AS19" s="1783">
        <f>IF(S19='Part 3 DA summary'!S19,0,1)</f>
        <v>0</v>
      </c>
      <c r="AU19" s="1783">
        <f>IF(U19='Part 3 DA summary'!U19,0,1)</f>
        <v>0</v>
      </c>
      <c r="AW19" s="1783">
        <f>IF(W19='Part 3 DA summary'!W19,0,1)</f>
        <v>0</v>
      </c>
      <c r="AY19" s="1783">
        <f>IF(Y19='Part 3 DA summary'!Y19,0,1)</f>
        <v>0</v>
      </c>
      <c r="BA19" s="1784">
        <f t="shared" si="4"/>
        <v>0</v>
      </c>
    </row>
    <row r="20" spans="1:53" s="1130" customFormat="1" ht="21" customHeight="1" thickBot="1" x14ac:dyDescent="0.25">
      <c r="A20" s="1771">
        <v>8</v>
      </c>
      <c r="B20" s="1753" t="str">
        <f t="shared" si="0"/>
        <v>EZZZZEZ8</v>
      </c>
      <c r="C20" s="1772" t="str">
        <f>'Part 3 DA summary'!C20</f>
        <v/>
      </c>
      <c r="D20" s="1768"/>
      <c r="E20" s="1773">
        <f>'Part 3 DA summary'!E20</f>
        <v>0</v>
      </c>
      <c r="F20" s="1758"/>
      <c r="G20" s="1773">
        <f>'Part 3 DA summary'!G20</f>
        <v>0</v>
      </c>
      <c r="H20" s="1759"/>
      <c r="I20" s="1773">
        <f>'Part 3 DA summary'!I20</f>
        <v>0</v>
      </c>
      <c r="J20" s="1759"/>
      <c r="K20" s="1774" t="str">
        <f t="shared" si="1"/>
        <v/>
      </c>
      <c r="L20" s="1760"/>
      <c r="M20" s="1773">
        <f>'Part 3 DA summary'!M20</f>
        <v>0</v>
      </c>
      <c r="N20" s="1758"/>
      <c r="O20" s="1773">
        <f>'Part 3 DA summary'!O20</f>
        <v>0</v>
      </c>
      <c r="P20" s="1759"/>
      <c r="Q20" s="1775">
        <f>'Part 3 DA summary'!Q20</f>
        <v>0</v>
      </c>
      <c r="R20" s="1759"/>
      <c r="S20" s="1776" t="str">
        <f t="shared" si="2"/>
        <v/>
      </c>
      <c r="T20" s="1759"/>
      <c r="U20" s="1773">
        <f>'Part 3 DA summary'!U20</f>
        <v>0</v>
      </c>
      <c r="V20" s="1758"/>
      <c r="W20" s="1776" t="str">
        <f>IF(C20="","",IF(VLOOKUP('Part 1'!$L$17,TierSplit!$A$6:$AG$332,10,FALSE)&lt;1,U20,0))</f>
        <v/>
      </c>
      <c r="X20" s="1759"/>
      <c r="Y20" s="1776" t="str">
        <f t="shared" si="3"/>
        <v/>
      </c>
      <c r="Z20" s="1759"/>
      <c r="AA20" s="1777"/>
      <c r="AB20" s="1133"/>
      <c r="AC20" s="1783">
        <f>IF(C20='Part 3 DA summary'!C20,0,1)</f>
        <v>0</v>
      </c>
      <c r="AD20" s="1142"/>
      <c r="AE20" s="1783">
        <f>IF(E20='Part 3 DA summary'!E20,0,1)</f>
        <v>0</v>
      </c>
      <c r="AF20" s="1140"/>
      <c r="AG20" s="1783">
        <f>IF(G20='Part 3 DA summary'!G20,0,1)</f>
        <v>0</v>
      </c>
      <c r="AI20" s="1783">
        <f>IF(I20='Part 3 DA summary'!I20,0,1)</f>
        <v>0</v>
      </c>
      <c r="AK20" s="1783">
        <f>IF(K20='Part 3 DA summary'!K20,0,1)</f>
        <v>0</v>
      </c>
      <c r="AM20" s="1783">
        <f>IF(M20='Part 3 DA summary'!M20,0,1)</f>
        <v>0</v>
      </c>
      <c r="AO20" s="1783">
        <f>IF(O20='Part 3 DA summary'!O20,0,1)</f>
        <v>0</v>
      </c>
      <c r="AQ20" s="1783">
        <f>IF(Q20='Part 3 DA summary'!Q20,0,1)</f>
        <v>0</v>
      </c>
      <c r="AS20" s="1783">
        <f>IF(S20='Part 3 DA summary'!S20,0,1)</f>
        <v>0</v>
      </c>
      <c r="AU20" s="1783">
        <f>IF(U20='Part 3 DA summary'!U20,0,1)</f>
        <v>0</v>
      </c>
      <c r="AW20" s="1783">
        <f>IF(W20='Part 3 DA summary'!W20,0,1)</f>
        <v>0</v>
      </c>
      <c r="AY20" s="1783">
        <f>IF(Y20='Part 3 DA summary'!Y20,0,1)</f>
        <v>0</v>
      </c>
      <c r="BA20" s="1784">
        <f t="shared" si="4"/>
        <v>0</v>
      </c>
    </row>
    <row r="21" spans="1:53" s="1130" customFormat="1" ht="21" customHeight="1" thickBot="1" x14ac:dyDescent="0.25">
      <c r="A21" s="1771">
        <v>9</v>
      </c>
      <c r="B21" s="1753" t="str">
        <f t="shared" si="0"/>
        <v>EZZZZEZ9</v>
      </c>
      <c r="C21" s="1772" t="str">
        <f>'Part 3 DA summary'!C21</f>
        <v/>
      </c>
      <c r="D21" s="1768"/>
      <c r="E21" s="1773">
        <f>'Part 3 DA summary'!E21</f>
        <v>0</v>
      </c>
      <c r="F21" s="1758"/>
      <c r="G21" s="1773">
        <f>'Part 3 DA summary'!G21</f>
        <v>0</v>
      </c>
      <c r="H21" s="1759"/>
      <c r="I21" s="1773">
        <f>'Part 3 DA summary'!I21</f>
        <v>0</v>
      </c>
      <c r="J21" s="1759"/>
      <c r="K21" s="1774" t="str">
        <f t="shared" si="1"/>
        <v/>
      </c>
      <c r="L21" s="1760"/>
      <c r="M21" s="1773">
        <f>'Part 3 DA summary'!M21</f>
        <v>0</v>
      </c>
      <c r="N21" s="1758"/>
      <c r="O21" s="1773">
        <f>'Part 3 DA summary'!O21</f>
        <v>0</v>
      </c>
      <c r="P21" s="1759"/>
      <c r="Q21" s="1775">
        <f>'Part 3 DA summary'!Q21</f>
        <v>0</v>
      </c>
      <c r="R21" s="1759"/>
      <c r="S21" s="1776" t="str">
        <f t="shared" si="2"/>
        <v/>
      </c>
      <c r="T21" s="1759"/>
      <c r="U21" s="1773">
        <f>'Part 3 DA summary'!U21</f>
        <v>0</v>
      </c>
      <c r="V21" s="1758"/>
      <c r="W21" s="1776" t="str">
        <f>IF(C21="","",IF(VLOOKUP('Part 1'!$L$17,TierSplit!$A$6:$AG$332,10,FALSE)&lt;1,U21,0))</f>
        <v/>
      </c>
      <c r="X21" s="1759"/>
      <c r="Y21" s="1776" t="str">
        <f t="shared" si="3"/>
        <v/>
      </c>
      <c r="Z21" s="1759"/>
      <c r="AA21" s="1777"/>
      <c r="AB21" s="1133"/>
      <c r="AC21" s="1783">
        <f>IF(C21='Part 3 DA summary'!C21,0,1)</f>
        <v>0</v>
      </c>
      <c r="AD21" s="1142"/>
      <c r="AE21" s="1783">
        <f>IF(E21='Part 3 DA summary'!E21,0,1)</f>
        <v>0</v>
      </c>
      <c r="AF21" s="1140"/>
      <c r="AG21" s="1783">
        <f>IF(G21='Part 3 DA summary'!G21,0,1)</f>
        <v>0</v>
      </c>
      <c r="AI21" s="1783">
        <f>IF(I21='Part 3 DA summary'!I21,0,1)</f>
        <v>0</v>
      </c>
      <c r="AK21" s="1783">
        <f>IF(K21='Part 3 DA summary'!K21,0,1)</f>
        <v>0</v>
      </c>
      <c r="AM21" s="1783">
        <f>IF(M21='Part 3 DA summary'!M21,0,1)</f>
        <v>0</v>
      </c>
      <c r="AO21" s="1783">
        <f>IF(O21='Part 3 DA summary'!O21,0,1)</f>
        <v>0</v>
      </c>
      <c r="AQ21" s="1783">
        <f>IF(Q21='Part 3 DA summary'!Q21,0,1)</f>
        <v>0</v>
      </c>
      <c r="AS21" s="1783">
        <f>IF(S21='Part 3 DA summary'!S21,0,1)</f>
        <v>0</v>
      </c>
      <c r="AU21" s="1783">
        <f>IF(U21='Part 3 DA summary'!U21,0,1)</f>
        <v>0</v>
      </c>
      <c r="AW21" s="1783">
        <f>IF(W21='Part 3 DA summary'!W21,0,1)</f>
        <v>0</v>
      </c>
      <c r="AY21" s="1783">
        <f>IF(Y21='Part 3 DA summary'!Y21,0,1)</f>
        <v>0</v>
      </c>
      <c r="BA21" s="1784">
        <f t="shared" si="4"/>
        <v>0</v>
      </c>
    </row>
    <row r="22" spans="1:53" s="1130" customFormat="1" ht="21" customHeight="1" thickBot="1" x14ac:dyDescent="0.25">
      <c r="A22" s="1771">
        <v>10</v>
      </c>
      <c r="B22" s="1753" t="str">
        <f t="shared" si="0"/>
        <v>EZZZZEZ10</v>
      </c>
      <c r="C22" s="1772" t="str">
        <f>'Part 3 DA summary'!C22</f>
        <v/>
      </c>
      <c r="D22" s="1768"/>
      <c r="E22" s="1773">
        <f>'Part 3 DA summary'!E22</f>
        <v>0</v>
      </c>
      <c r="F22" s="1758"/>
      <c r="G22" s="1773">
        <f>'Part 3 DA summary'!G22</f>
        <v>0</v>
      </c>
      <c r="H22" s="1759"/>
      <c r="I22" s="1773">
        <f>'Part 3 DA summary'!I22</f>
        <v>0</v>
      </c>
      <c r="J22" s="1759"/>
      <c r="K22" s="1774" t="str">
        <f t="shared" si="1"/>
        <v/>
      </c>
      <c r="L22" s="1760"/>
      <c r="M22" s="1773">
        <f>'Part 3 DA summary'!M22</f>
        <v>0</v>
      </c>
      <c r="N22" s="1758"/>
      <c r="O22" s="1773">
        <f>'Part 3 DA summary'!O22</f>
        <v>0</v>
      </c>
      <c r="P22" s="1759"/>
      <c r="Q22" s="1775">
        <f>'Part 3 DA summary'!Q22</f>
        <v>0</v>
      </c>
      <c r="R22" s="1759"/>
      <c r="S22" s="1776" t="str">
        <f t="shared" si="2"/>
        <v/>
      </c>
      <c r="T22" s="1759"/>
      <c r="U22" s="1773">
        <f>'Part 3 DA summary'!U22</f>
        <v>0</v>
      </c>
      <c r="V22" s="1758"/>
      <c r="W22" s="1776" t="str">
        <f>IF(C22="","",IF(VLOOKUP('Part 1'!$L$17,TierSplit!$A$6:$AG$332,10,FALSE)&lt;1,U22,0))</f>
        <v/>
      </c>
      <c r="X22" s="1759"/>
      <c r="Y22" s="1776" t="str">
        <f t="shared" si="3"/>
        <v/>
      </c>
      <c r="Z22" s="1759"/>
      <c r="AA22" s="1777"/>
      <c r="AB22" s="1133"/>
      <c r="AC22" s="1783">
        <f>IF(C22='Part 3 DA summary'!C22,0,1)</f>
        <v>0</v>
      </c>
      <c r="AD22" s="1142"/>
      <c r="AE22" s="1783">
        <f>IF(E22='Part 3 DA summary'!E22,0,1)</f>
        <v>0</v>
      </c>
      <c r="AF22" s="1140"/>
      <c r="AG22" s="1783">
        <f>IF(G22='Part 3 DA summary'!G22,0,1)</f>
        <v>0</v>
      </c>
      <c r="AI22" s="1783">
        <f>IF(I22='Part 3 DA summary'!I22,0,1)</f>
        <v>0</v>
      </c>
      <c r="AK22" s="1783">
        <f>IF(K22='Part 3 DA summary'!K22,0,1)</f>
        <v>0</v>
      </c>
      <c r="AM22" s="1783">
        <f>IF(M22='Part 3 DA summary'!M22,0,1)</f>
        <v>0</v>
      </c>
      <c r="AO22" s="1783">
        <f>IF(O22='Part 3 DA summary'!O22,0,1)</f>
        <v>0</v>
      </c>
      <c r="AQ22" s="1783">
        <f>IF(Q22='Part 3 DA summary'!Q22,0,1)</f>
        <v>0</v>
      </c>
      <c r="AS22" s="1783">
        <f>IF(S22='Part 3 DA summary'!S22,0,1)</f>
        <v>0</v>
      </c>
      <c r="AU22" s="1783">
        <f>IF(U22='Part 3 DA summary'!U22,0,1)</f>
        <v>0</v>
      </c>
      <c r="AW22" s="1783">
        <f>IF(W22='Part 3 DA summary'!W22,0,1)</f>
        <v>0</v>
      </c>
      <c r="AY22" s="1783">
        <f>IF(Y22='Part 3 DA summary'!Y22,0,1)</f>
        <v>0</v>
      </c>
      <c r="BA22" s="1784">
        <f t="shared" si="4"/>
        <v>0</v>
      </c>
    </row>
    <row r="23" spans="1:53" s="1130" customFormat="1" ht="21" customHeight="1" thickBot="1" x14ac:dyDescent="0.25">
      <c r="A23" s="1771">
        <v>11</v>
      </c>
      <c r="B23" s="1753" t="str">
        <f t="shared" si="0"/>
        <v>EZZZZEZ11</v>
      </c>
      <c r="C23" s="1772" t="str">
        <f>'Part 3 DA summary'!C23</f>
        <v/>
      </c>
      <c r="D23" s="1768"/>
      <c r="E23" s="1773">
        <f>'Part 3 DA summary'!E23</f>
        <v>0</v>
      </c>
      <c r="F23" s="1758"/>
      <c r="G23" s="1773">
        <f>'Part 3 DA summary'!G23</f>
        <v>0</v>
      </c>
      <c r="H23" s="1759"/>
      <c r="I23" s="1773">
        <f>'Part 3 DA summary'!I23</f>
        <v>0</v>
      </c>
      <c r="J23" s="1759"/>
      <c r="K23" s="1774" t="str">
        <f t="shared" si="1"/>
        <v/>
      </c>
      <c r="L23" s="1760"/>
      <c r="M23" s="1773">
        <f>'Part 3 DA summary'!M23</f>
        <v>0</v>
      </c>
      <c r="N23" s="1758"/>
      <c r="O23" s="1773">
        <f>'Part 3 DA summary'!O23</f>
        <v>0</v>
      </c>
      <c r="P23" s="1759"/>
      <c r="Q23" s="1775">
        <f>'Part 3 DA summary'!Q23</f>
        <v>0</v>
      </c>
      <c r="R23" s="1759"/>
      <c r="S23" s="1776" t="str">
        <f t="shared" si="2"/>
        <v/>
      </c>
      <c r="T23" s="1759"/>
      <c r="U23" s="1773">
        <f>'Part 3 DA summary'!U23</f>
        <v>0</v>
      </c>
      <c r="V23" s="1758"/>
      <c r="W23" s="1776" t="str">
        <f>IF(C23="","",IF(VLOOKUP('Part 1'!$L$17,TierSplit!$A$6:$AG$332,10,FALSE)&lt;1,U23,0))</f>
        <v/>
      </c>
      <c r="X23" s="1759"/>
      <c r="Y23" s="1776" t="str">
        <f t="shared" si="3"/>
        <v/>
      </c>
      <c r="Z23" s="1759"/>
      <c r="AA23" s="1777"/>
      <c r="AB23" s="1133"/>
      <c r="AC23" s="1783">
        <f>IF(C23='Part 3 DA summary'!C23,0,1)</f>
        <v>0</v>
      </c>
      <c r="AD23" s="1142"/>
      <c r="AE23" s="1783">
        <f>IF(E23='Part 3 DA summary'!E23,0,1)</f>
        <v>0</v>
      </c>
      <c r="AF23" s="1140"/>
      <c r="AG23" s="1783">
        <f>IF(G23='Part 3 DA summary'!G23,0,1)</f>
        <v>0</v>
      </c>
      <c r="AI23" s="1783">
        <f>IF(I23='Part 3 DA summary'!I23,0,1)</f>
        <v>0</v>
      </c>
      <c r="AK23" s="1783">
        <f>IF(K23='Part 3 DA summary'!K23,0,1)</f>
        <v>0</v>
      </c>
      <c r="AM23" s="1783">
        <f>IF(M23='Part 3 DA summary'!M23,0,1)</f>
        <v>0</v>
      </c>
      <c r="AO23" s="1783">
        <f>IF(O23='Part 3 DA summary'!O23,0,1)</f>
        <v>0</v>
      </c>
      <c r="AQ23" s="1783">
        <f>IF(Q23='Part 3 DA summary'!Q23,0,1)</f>
        <v>0</v>
      </c>
      <c r="AS23" s="1783">
        <f>IF(S23='Part 3 DA summary'!S23,0,1)</f>
        <v>0</v>
      </c>
      <c r="AU23" s="1783">
        <f>IF(U23='Part 3 DA summary'!U23,0,1)</f>
        <v>0</v>
      </c>
      <c r="AW23" s="1783">
        <f>IF(W23='Part 3 DA summary'!W23,0,1)</f>
        <v>0</v>
      </c>
      <c r="AY23" s="1783">
        <f>IF(Y23='Part 3 DA summary'!Y23,0,1)</f>
        <v>0</v>
      </c>
      <c r="BA23" s="1784">
        <f t="shared" si="4"/>
        <v>0</v>
      </c>
    </row>
    <row r="24" spans="1:53" s="1130" customFormat="1" ht="21" customHeight="1" thickBot="1" x14ac:dyDescent="0.25">
      <c r="A24" s="1771">
        <v>12</v>
      </c>
      <c r="B24" s="1753" t="str">
        <f t="shared" si="0"/>
        <v>EZZZZEZ12</v>
      </c>
      <c r="C24" s="1772" t="str">
        <f>'Part 3 DA summary'!C24</f>
        <v/>
      </c>
      <c r="D24" s="1768"/>
      <c r="E24" s="1773">
        <f>'Part 3 DA summary'!E24</f>
        <v>0</v>
      </c>
      <c r="F24" s="1758"/>
      <c r="G24" s="1773">
        <f>'Part 3 DA summary'!G24</f>
        <v>0</v>
      </c>
      <c r="H24" s="1759"/>
      <c r="I24" s="1773">
        <f>'Part 3 DA summary'!I24</f>
        <v>0</v>
      </c>
      <c r="J24" s="1759"/>
      <c r="K24" s="1774" t="str">
        <f t="shared" si="1"/>
        <v/>
      </c>
      <c r="L24" s="1760"/>
      <c r="M24" s="1773">
        <f>'Part 3 DA summary'!M24</f>
        <v>0</v>
      </c>
      <c r="N24" s="1758"/>
      <c r="O24" s="1773">
        <f>'Part 3 DA summary'!O24</f>
        <v>0</v>
      </c>
      <c r="P24" s="1759"/>
      <c r="Q24" s="1775">
        <f>'Part 3 DA summary'!Q24</f>
        <v>0</v>
      </c>
      <c r="R24" s="1759"/>
      <c r="S24" s="1776" t="str">
        <f t="shared" si="2"/>
        <v/>
      </c>
      <c r="T24" s="1759"/>
      <c r="U24" s="1773">
        <f>'Part 3 DA summary'!U24</f>
        <v>0</v>
      </c>
      <c r="V24" s="1758"/>
      <c r="W24" s="1776" t="str">
        <f>IF(C24="","",IF(VLOOKUP('Part 1'!$L$17,TierSplit!$A$6:$AG$332,10,FALSE)&lt;1,U24,0))</f>
        <v/>
      </c>
      <c r="X24" s="1759"/>
      <c r="Y24" s="1776" t="str">
        <f t="shared" si="3"/>
        <v/>
      </c>
      <c r="Z24" s="1759"/>
      <c r="AA24" s="1777"/>
      <c r="AB24" s="1133"/>
      <c r="AC24" s="1783">
        <f>IF(C24='Part 3 DA summary'!C24,0,1)</f>
        <v>0</v>
      </c>
      <c r="AD24" s="1142"/>
      <c r="AE24" s="1783">
        <f>IF(E24='Part 3 DA summary'!E24,0,1)</f>
        <v>0</v>
      </c>
      <c r="AF24" s="1140"/>
      <c r="AG24" s="1783">
        <f>IF(G24='Part 3 DA summary'!G24,0,1)</f>
        <v>0</v>
      </c>
      <c r="AI24" s="1783">
        <f>IF(I24='Part 3 DA summary'!I24,0,1)</f>
        <v>0</v>
      </c>
      <c r="AK24" s="1783">
        <f>IF(K24='Part 3 DA summary'!K24,0,1)</f>
        <v>0</v>
      </c>
      <c r="AM24" s="1783">
        <f>IF(M24='Part 3 DA summary'!M24,0,1)</f>
        <v>0</v>
      </c>
      <c r="AO24" s="1783">
        <f>IF(O24='Part 3 DA summary'!O24,0,1)</f>
        <v>0</v>
      </c>
      <c r="AQ24" s="1783">
        <f>IF(Q24='Part 3 DA summary'!Q24,0,1)</f>
        <v>0</v>
      </c>
      <c r="AS24" s="1783">
        <f>IF(S24='Part 3 DA summary'!S24,0,1)</f>
        <v>0</v>
      </c>
      <c r="AU24" s="1783">
        <f>IF(U24='Part 3 DA summary'!U24,0,1)</f>
        <v>0</v>
      </c>
      <c r="AW24" s="1783">
        <f>IF(W24='Part 3 DA summary'!W24,0,1)</f>
        <v>0</v>
      </c>
      <c r="AY24" s="1783">
        <f>IF(Y24='Part 3 DA summary'!Y24,0,1)</f>
        <v>0</v>
      </c>
      <c r="BA24" s="1784">
        <f t="shared" si="4"/>
        <v>0</v>
      </c>
    </row>
    <row r="25" spans="1:53" s="1130" customFormat="1" ht="21" customHeight="1" thickBot="1" x14ac:dyDescent="0.25">
      <c r="A25" s="1771">
        <v>13</v>
      </c>
      <c r="B25" s="1753" t="str">
        <f t="shared" si="0"/>
        <v>EZZZZEZ13</v>
      </c>
      <c r="C25" s="1772" t="str">
        <f>'Part 3 DA summary'!C25</f>
        <v/>
      </c>
      <c r="D25" s="1768"/>
      <c r="E25" s="1773">
        <f>'Part 3 DA summary'!E25</f>
        <v>0</v>
      </c>
      <c r="F25" s="1758"/>
      <c r="G25" s="1773">
        <f>'Part 3 DA summary'!G25</f>
        <v>0</v>
      </c>
      <c r="H25" s="1759"/>
      <c r="I25" s="1773">
        <f>'Part 3 DA summary'!I25</f>
        <v>0</v>
      </c>
      <c r="J25" s="1759"/>
      <c r="K25" s="1774" t="str">
        <f t="shared" si="1"/>
        <v/>
      </c>
      <c r="L25" s="1760"/>
      <c r="M25" s="1773">
        <f>'Part 3 DA summary'!M25</f>
        <v>0</v>
      </c>
      <c r="N25" s="1758"/>
      <c r="O25" s="1773">
        <f>'Part 3 DA summary'!O25</f>
        <v>0</v>
      </c>
      <c r="P25" s="1759"/>
      <c r="Q25" s="1775">
        <f>'Part 3 DA summary'!Q25</f>
        <v>0</v>
      </c>
      <c r="R25" s="1759"/>
      <c r="S25" s="1776" t="str">
        <f t="shared" si="2"/>
        <v/>
      </c>
      <c r="T25" s="1759"/>
      <c r="U25" s="1773">
        <f>'Part 3 DA summary'!U25</f>
        <v>0</v>
      </c>
      <c r="V25" s="1758"/>
      <c r="W25" s="1776" t="str">
        <f>IF(C25="","",IF(VLOOKUP('Part 1'!$L$17,TierSplit!$A$6:$AG$332,10,FALSE)&lt;1,U25,0))</f>
        <v/>
      </c>
      <c r="X25" s="1759"/>
      <c r="Y25" s="1776" t="str">
        <f t="shared" si="3"/>
        <v/>
      </c>
      <c r="Z25" s="1759"/>
      <c r="AA25" s="1777"/>
      <c r="AB25" s="1133"/>
      <c r="AC25" s="1783">
        <f>IF(C25='Part 3 DA summary'!C25,0,1)</f>
        <v>0</v>
      </c>
      <c r="AD25" s="1142"/>
      <c r="AE25" s="1783">
        <f>IF(E25='Part 3 DA summary'!E25,0,1)</f>
        <v>0</v>
      </c>
      <c r="AF25" s="1140"/>
      <c r="AG25" s="1783">
        <f>IF(G25='Part 3 DA summary'!G25,0,1)</f>
        <v>0</v>
      </c>
      <c r="AI25" s="1783">
        <f>IF(I25='Part 3 DA summary'!I25,0,1)</f>
        <v>0</v>
      </c>
      <c r="AK25" s="1783">
        <f>IF(K25='Part 3 DA summary'!K25,0,1)</f>
        <v>0</v>
      </c>
      <c r="AM25" s="1783">
        <f>IF(M25='Part 3 DA summary'!M25,0,1)</f>
        <v>0</v>
      </c>
      <c r="AO25" s="1783">
        <f>IF(O25='Part 3 DA summary'!O25,0,1)</f>
        <v>0</v>
      </c>
      <c r="AQ25" s="1783">
        <f>IF(Q25='Part 3 DA summary'!Q25,0,1)</f>
        <v>0</v>
      </c>
      <c r="AS25" s="1783">
        <f>IF(S25='Part 3 DA summary'!S25,0,1)</f>
        <v>0</v>
      </c>
      <c r="AU25" s="1783">
        <f>IF(U25='Part 3 DA summary'!U25,0,1)</f>
        <v>0</v>
      </c>
      <c r="AW25" s="1783">
        <f>IF(W25='Part 3 DA summary'!W25,0,1)</f>
        <v>0</v>
      </c>
      <c r="AY25" s="1783">
        <f>IF(Y25='Part 3 DA summary'!Y25,0,1)</f>
        <v>0</v>
      </c>
      <c r="BA25" s="1784">
        <f t="shared" si="4"/>
        <v>0</v>
      </c>
    </row>
    <row r="26" spans="1:53" s="1130" customFormat="1" ht="21" customHeight="1" thickBot="1" x14ac:dyDescent="0.25">
      <c r="A26" s="1771">
        <v>14</v>
      </c>
      <c r="B26" s="1753" t="str">
        <f t="shared" si="0"/>
        <v>EZZZZEZ14</v>
      </c>
      <c r="C26" s="1772" t="str">
        <f>'Part 3 DA summary'!C26</f>
        <v/>
      </c>
      <c r="D26" s="1768"/>
      <c r="E26" s="1773">
        <f>'Part 3 DA summary'!E26</f>
        <v>0</v>
      </c>
      <c r="F26" s="1758"/>
      <c r="G26" s="1773">
        <f>'Part 3 DA summary'!G26</f>
        <v>0</v>
      </c>
      <c r="H26" s="1759"/>
      <c r="I26" s="1773">
        <f>'Part 3 DA summary'!I26</f>
        <v>0</v>
      </c>
      <c r="J26" s="1759"/>
      <c r="K26" s="1774" t="str">
        <f t="shared" si="1"/>
        <v/>
      </c>
      <c r="L26" s="1760"/>
      <c r="M26" s="1773">
        <f>'Part 3 DA summary'!M26</f>
        <v>0</v>
      </c>
      <c r="N26" s="1758"/>
      <c r="O26" s="1773">
        <f>'Part 3 DA summary'!O26</f>
        <v>0</v>
      </c>
      <c r="P26" s="1759"/>
      <c r="Q26" s="1775">
        <f>'Part 3 DA summary'!Q26</f>
        <v>0</v>
      </c>
      <c r="R26" s="1759"/>
      <c r="S26" s="1776" t="str">
        <f t="shared" si="2"/>
        <v/>
      </c>
      <c r="T26" s="1759"/>
      <c r="U26" s="1773">
        <f>'Part 3 DA summary'!U26</f>
        <v>0</v>
      </c>
      <c r="V26" s="1758"/>
      <c r="W26" s="1776" t="str">
        <f>IF(C26="","",IF(VLOOKUP('Part 1'!$L$17,TierSplit!$A$6:$AG$332,10,FALSE)&lt;1,U26,0))</f>
        <v/>
      </c>
      <c r="X26" s="1759"/>
      <c r="Y26" s="1776" t="str">
        <f t="shared" si="3"/>
        <v/>
      </c>
      <c r="Z26" s="1759"/>
      <c r="AA26" s="1777"/>
      <c r="AB26" s="1133"/>
      <c r="AC26" s="1783">
        <f>IF(C26='Part 3 DA summary'!C26,0,1)</f>
        <v>0</v>
      </c>
      <c r="AD26" s="1142"/>
      <c r="AE26" s="1783">
        <f>IF(E26='Part 3 DA summary'!E26,0,1)</f>
        <v>0</v>
      </c>
      <c r="AF26" s="1140"/>
      <c r="AG26" s="1783">
        <f>IF(G26='Part 3 DA summary'!G26,0,1)</f>
        <v>0</v>
      </c>
      <c r="AI26" s="1783">
        <f>IF(I26='Part 3 DA summary'!I26,0,1)</f>
        <v>0</v>
      </c>
      <c r="AK26" s="1783">
        <f>IF(K26='Part 3 DA summary'!K26,0,1)</f>
        <v>0</v>
      </c>
      <c r="AM26" s="1783">
        <f>IF(M26='Part 3 DA summary'!M26,0,1)</f>
        <v>0</v>
      </c>
      <c r="AO26" s="1783">
        <f>IF(O26='Part 3 DA summary'!O26,0,1)</f>
        <v>0</v>
      </c>
      <c r="AQ26" s="1783">
        <f>IF(Q26='Part 3 DA summary'!Q26,0,1)</f>
        <v>0</v>
      </c>
      <c r="AS26" s="1783">
        <f>IF(S26='Part 3 DA summary'!S26,0,1)</f>
        <v>0</v>
      </c>
      <c r="AU26" s="1783">
        <f>IF(U26='Part 3 DA summary'!U26,0,1)</f>
        <v>0</v>
      </c>
      <c r="AW26" s="1783">
        <f>IF(W26='Part 3 DA summary'!W26,0,1)</f>
        <v>0</v>
      </c>
      <c r="AY26" s="1783">
        <f>IF(Y26='Part 3 DA summary'!Y26,0,1)</f>
        <v>0</v>
      </c>
      <c r="BA26" s="1784">
        <f t="shared" si="4"/>
        <v>0</v>
      </c>
    </row>
    <row r="27" spans="1:53" s="1130" customFormat="1" ht="21" customHeight="1" thickBot="1" x14ac:dyDescent="0.25">
      <c r="A27" s="1771">
        <v>15</v>
      </c>
      <c r="B27" s="1753" t="str">
        <f t="shared" si="0"/>
        <v>EZZZZEZ15</v>
      </c>
      <c r="C27" s="1772" t="str">
        <f>'Part 3 DA summary'!C27</f>
        <v/>
      </c>
      <c r="D27" s="1768"/>
      <c r="E27" s="1773">
        <f>'Part 3 DA summary'!E27</f>
        <v>0</v>
      </c>
      <c r="F27" s="1758"/>
      <c r="G27" s="1773">
        <f>'Part 3 DA summary'!G27</f>
        <v>0</v>
      </c>
      <c r="H27" s="1759"/>
      <c r="I27" s="1773">
        <f>'Part 3 DA summary'!I27</f>
        <v>0</v>
      </c>
      <c r="J27" s="1759"/>
      <c r="K27" s="1774" t="str">
        <f t="shared" si="1"/>
        <v/>
      </c>
      <c r="L27" s="1760"/>
      <c r="M27" s="1773">
        <f>'Part 3 DA summary'!M27</f>
        <v>0</v>
      </c>
      <c r="N27" s="1758"/>
      <c r="O27" s="1773">
        <f>'Part 3 DA summary'!O27</f>
        <v>0</v>
      </c>
      <c r="P27" s="1759"/>
      <c r="Q27" s="1775">
        <f>'Part 3 DA summary'!Q27</f>
        <v>0</v>
      </c>
      <c r="R27" s="1759"/>
      <c r="S27" s="1776" t="str">
        <f t="shared" si="2"/>
        <v/>
      </c>
      <c r="T27" s="1759"/>
      <c r="U27" s="1773">
        <f>'Part 3 DA summary'!U27</f>
        <v>0</v>
      </c>
      <c r="V27" s="1758"/>
      <c r="W27" s="1776" t="str">
        <f>IF(C27="","",IF(VLOOKUP('Part 1'!$L$17,TierSplit!$A$6:$AG$332,10,FALSE)&lt;1,U27,0))</f>
        <v/>
      </c>
      <c r="X27" s="1759"/>
      <c r="Y27" s="1776" t="str">
        <f t="shared" si="3"/>
        <v/>
      </c>
      <c r="Z27" s="1759"/>
      <c r="AA27" s="1777"/>
      <c r="AB27" s="1133"/>
      <c r="AC27" s="1783">
        <f>IF(C27='Part 3 DA summary'!C27,0,1)</f>
        <v>0</v>
      </c>
      <c r="AD27" s="1142"/>
      <c r="AE27" s="1783">
        <f>IF(E27='Part 3 DA summary'!E27,0,1)</f>
        <v>0</v>
      </c>
      <c r="AF27" s="1140"/>
      <c r="AG27" s="1783">
        <f>IF(G27='Part 3 DA summary'!G27,0,1)</f>
        <v>0</v>
      </c>
      <c r="AI27" s="1783">
        <f>IF(I27='Part 3 DA summary'!I27,0,1)</f>
        <v>0</v>
      </c>
      <c r="AK27" s="1783">
        <f>IF(K27='Part 3 DA summary'!K27,0,1)</f>
        <v>0</v>
      </c>
      <c r="AM27" s="1783">
        <f>IF(M27='Part 3 DA summary'!M27,0,1)</f>
        <v>0</v>
      </c>
      <c r="AO27" s="1783">
        <f>IF(O27='Part 3 DA summary'!O27,0,1)</f>
        <v>0</v>
      </c>
      <c r="AQ27" s="1783">
        <f>IF(Q27='Part 3 DA summary'!Q27,0,1)</f>
        <v>0</v>
      </c>
      <c r="AS27" s="1783">
        <f>IF(S27='Part 3 DA summary'!S27,0,1)</f>
        <v>0</v>
      </c>
      <c r="AU27" s="1783">
        <f>IF(U27='Part 3 DA summary'!U27,0,1)</f>
        <v>0</v>
      </c>
      <c r="AW27" s="1783">
        <f>IF(W27='Part 3 DA summary'!W27,0,1)</f>
        <v>0</v>
      </c>
      <c r="AY27" s="1783">
        <f>IF(Y27='Part 3 DA summary'!Y27,0,1)</f>
        <v>0</v>
      </c>
      <c r="BA27" s="1784">
        <f t="shared" si="4"/>
        <v>0</v>
      </c>
    </row>
    <row r="28" spans="1:53" s="1130" customFormat="1" ht="21" customHeight="1" thickBot="1" x14ac:dyDescent="0.25">
      <c r="A28" s="1771">
        <v>16</v>
      </c>
      <c r="B28" s="1753" t="str">
        <f t="shared" si="0"/>
        <v>EZZZZEZ16</v>
      </c>
      <c r="C28" s="1772" t="str">
        <f>'Part 3 DA summary'!C28</f>
        <v/>
      </c>
      <c r="D28" s="1768"/>
      <c r="E28" s="1773">
        <f>'Part 3 DA summary'!E28</f>
        <v>0</v>
      </c>
      <c r="F28" s="1758"/>
      <c r="G28" s="1773">
        <f>'Part 3 DA summary'!G28</f>
        <v>0</v>
      </c>
      <c r="H28" s="1759"/>
      <c r="I28" s="1773">
        <f>'Part 3 DA summary'!I28</f>
        <v>0</v>
      </c>
      <c r="J28" s="1759"/>
      <c r="K28" s="1774" t="str">
        <f t="shared" si="1"/>
        <v/>
      </c>
      <c r="L28" s="1760"/>
      <c r="M28" s="1773">
        <f>'Part 3 DA summary'!M28</f>
        <v>0</v>
      </c>
      <c r="N28" s="1758"/>
      <c r="O28" s="1773">
        <f>'Part 3 DA summary'!O28</f>
        <v>0</v>
      </c>
      <c r="P28" s="1759"/>
      <c r="Q28" s="1775">
        <f>'Part 3 DA summary'!Q28</f>
        <v>0</v>
      </c>
      <c r="R28" s="1759"/>
      <c r="S28" s="1776" t="str">
        <f t="shared" si="2"/>
        <v/>
      </c>
      <c r="T28" s="1759"/>
      <c r="U28" s="1773">
        <f>'Part 3 DA summary'!U28</f>
        <v>0</v>
      </c>
      <c r="V28" s="1758"/>
      <c r="W28" s="1776" t="str">
        <f>IF(C28="","",IF(VLOOKUP('Part 1'!$L$17,TierSplit!$A$6:$AG$332,10,FALSE)&lt;1,U28,0))</f>
        <v/>
      </c>
      <c r="X28" s="1759"/>
      <c r="Y28" s="1776" t="str">
        <f t="shared" si="3"/>
        <v/>
      </c>
      <c r="Z28" s="1759"/>
      <c r="AA28" s="1777"/>
      <c r="AB28" s="1133"/>
      <c r="AC28" s="1783">
        <f>IF(C28='Part 3 DA summary'!C28,0,1)</f>
        <v>0</v>
      </c>
      <c r="AD28" s="1142"/>
      <c r="AE28" s="1783">
        <f>IF(E28='Part 3 DA summary'!E28,0,1)</f>
        <v>0</v>
      </c>
      <c r="AF28" s="1140"/>
      <c r="AG28" s="1783">
        <f>IF(G28='Part 3 DA summary'!G28,0,1)</f>
        <v>0</v>
      </c>
      <c r="AI28" s="1783">
        <f>IF(I28='Part 3 DA summary'!I28,0,1)</f>
        <v>0</v>
      </c>
      <c r="AK28" s="1783">
        <f>IF(K28='Part 3 DA summary'!K28,0,1)</f>
        <v>0</v>
      </c>
      <c r="AM28" s="1783">
        <f>IF(M28='Part 3 DA summary'!M28,0,1)</f>
        <v>0</v>
      </c>
      <c r="AO28" s="1783">
        <f>IF(O28='Part 3 DA summary'!O28,0,1)</f>
        <v>0</v>
      </c>
      <c r="AQ28" s="1783">
        <f>IF(Q28='Part 3 DA summary'!Q28,0,1)</f>
        <v>0</v>
      </c>
      <c r="AS28" s="1783">
        <f>IF(S28='Part 3 DA summary'!S28,0,1)</f>
        <v>0</v>
      </c>
      <c r="AU28" s="1783">
        <f>IF(U28='Part 3 DA summary'!U28,0,1)</f>
        <v>0</v>
      </c>
      <c r="AW28" s="1783">
        <f>IF(W28='Part 3 DA summary'!W28,0,1)</f>
        <v>0</v>
      </c>
      <c r="AY28" s="1783">
        <f>IF(Y28='Part 3 DA summary'!Y28,0,1)</f>
        <v>0</v>
      </c>
      <c r="BA28" s="1784">
        <f t="shared" si="4"/>
        <v>0</v>
      </c>
    </row>
    <row r="29" spans="1:53" s="1130" customFormat="1" ht="21" customHeight="1" thickBot="1" x14ac:dyDescent="0.25">
      <c r="A29" s="1771">
        <v>17</v>
      </c>
      <c r="B29" s="1753" t="str">
        <f t="shared" si="0"/>
        <v>EZZZZEZ17</v>
      </c>
      <c r="C29" s="1772" t="str">
        <f>'Part 3 DA summary'!C29</f>
        <v/>
      </c>
      <c r="D29" s="1768"/>
      <c r="E29" s="1773">
        <f>'Part 3 DA summary'!E29</f>
        <v>0</v>
      </c>
      <c r="F29" s="1758"/>
      <c r="G29" s="1773">
        <f>'Part 3 DA summary'!G29</f>
        <v>0</v>
      </c>
      <c r="H29" s="1759"/>
      <c r="I29" s="1773">
        <f>'Part 3 DA summary'!I29</f>
        <v>0</v>
      </c>
      <c r="J29" s="1759"/>
      <c r="K29" s="1774" t="str">
        <f t="shared" si="1"/>
        <v/>
      </c>
      <c r="L29" s="1760"/>
      <c r="M29" s="1773">
        <f>'Part 3 DA summary'!M29</f>
        <v>0</v>
      </c>
      <c r="N29" s="1758"/>
      <c r="O29" s="1773">
        <f>'Part 3 DA summary'!O29</f>
        <v>0</v>
      </c>
      <c r="P29" s="1759"/>
      <c r="Q29" s="1775">
        <f>'Part 3 DA summary'!Q29</f>
        <v>0</v>
      </c>
      <c r="R29" s="1759"/>
      <c r="S29" s="1776" t="str">
        <f t="shared" si="2"/>
        <v/>
      </c>
      <c r="T29" s="1759"/>
      <c r="U29" s="1773">
        <f>'Part 3 DA summary'!U29</f>
        <v>0</v>
      </c>
      <c r="V29" s="1758"/>
      <c r="W29" s="1776" t="str">
        <f>IF(C29="","",IF(VLOOKUP('Part 1'!$L$17,TierSplit!$A$6:$AG$332,10,FALSE)&lt;1,U29,0))</f>
        <v/>
      </c>
      <c r="X29" s="1759"/>
      <c r="Y29" s="1776" t="str">
        <f t="shared" si="3"/>
        <v/>
      </c>
      <c r="Z29" s="1759"/>
      <c r="AA29" s="1777"/>
      <c r="AB29" s="1133"/>
      <c r="AC29" s="1783">
        <f>IF(C29='Part 3 DA summary'!C29,0,1)</f>
        <v>0</v>
      </c>
      <c r="AD29" s="1142"/>
      <c r="AE29" s="1783">
        <f>IF(E29='Part 3 DA summary'!E29,0,1)</f>
        <v>0</v>
      </c>
      <c r="AF29" s="1140"/>
      <c r="AG29" s="1783">
        <f>IF(G29='Part 3 DA summary'!G29,0,1)</f>
        <v>0</v>
      </c>
      <c r="AI29" s="1783">
        <f>IF(I29='Part 3 DA summary'!I29,0,1)</f>
        <v>0</v>
      </c>
      <c r="AK29" s="1783">
        <f>IF(K29='Part 3 DA summary'!K29,0,1)</f>
        <v>0</v>
      </c>
      <c r="AM29" s="1783">
        <f>IF(M29='Part 3 DA summary'!M29,0,1)</f>
        <v>0</v>
      </c>
      <c r="AO29" s="1783">
        <f>IF(O29='Part 3 DA summary'!O29,0,1)</f>
        <v>0</v>
      </c>
      <c r="AQ29" s="1783">
        <f>IF(Q29='Part 3 DA summary'!Q29,0,1)</f>
        <v>0</v>
      </c>
      <c r="AS29" s="1783">
        <f>IF(S29='Part 3 DA summary'!S29,0,1)</f>
        <v>0</v>
      </c>
      <c r="AU29" s="1783">
        <f>IF(U29='Part 3 DA summary'!U29,0,1)</f>
        <v>0</v>
      </c>
      <c r="AW29" s="1783">
        <f>IF(W29='Part 3 DA summary'!W29,0,1)</f>
        <v>0</v>
      </c>
      <c r="AY29" s="1783">
        <f>IF(Y29='Part 3 DA summary'!Y29,0,1)</f>
        <v>0</v>
      </c>
      <c r="BA29" s="1784">
        <f t="shared" si="4"/>
        <v>0</v>
      </c>
    </row>
    <row r="30" spans="1:53" s="1130" customFormat="1" ht="21" customHeight="1" thickBot="1" x14ac:dyDescent="0.25">
      <c r="A30" s="1771">
        <v>18</v>
      </c>
      <c r="B30" s="1753" t="str">
        <f t="shared" si="0"/>
        <v>EZZZZEZ18</v>
      </c>
      <c r="C30" s="1772" t="str">
        <f>'Part 3 DA summary'!C30</f>
        <v/>
      </c>
      <c r="D30" s="1768"/>
      <c r="E30" s="1773">
        <f>'Part 3 DA summary'!E30</f>
        <v>0</v>
      </c>
      <c r="F30" s="1758"/>
      <c r="G30" s="1773">
        <f>'Part 3 DA summary'!G30</f>
        <v>0</v>
      </c>
      <c r="H30" s="1759"/>
      <c r="I30" s="1773">
        <f>'Part 3 DA summary'!I30</f>
        <v>0</v>
      </c>
      <c r="J30" s="1759"/>
      <c r="K30" s="1774" t="str">
        <f t="shared" si="1"/>
        <v/>
      </c>
      <c r="L30" s="1760"/>
      <c r="M30" s="1773">
        <f>'Part 3 DA summary'!M30</f>
        <v>0</v>
      </c>
      <c r="N30" s="1758"/>
      <c r="O30" s="1773">
        <f>'Part 3 DA summary'!O30</f>
        <v>0</v>
      </c>
      <c r="P30" s="1759"/>
      <c r="Q30" s="1775">
        <f>'Part 3 DA summary'!Q30</f>
        <v>0</v>
      </c>
      <c r="R30" s="1759"/>
      <c r="S30" s="1776" t="str">
        <f t="shared" si="2"/>
        <v/>
      </c>
      <c r="T30" s="1759"/>
      <c r="U30" s="1773">
        <f>'Part 3 DA summary'!U30</f>
        <v>0</v>
      </c>
      <c r="V30" s="1758"/>
      <c r="W30" s="1776" t="str">
        <f>IF(C30="","",IF(VLOOKUP('Part 1'!$L$17,TierSplit!$A$6:$AG$332,10,FALSE)&lt;1,U30,0))</f>
        <v/>
      </c>
      <c r="X30" s="1759"/>
      <c r="Y30" s="1776" t="str">
        <f t="shared" si="3"/>
        <v/>
      </c>
      <c r="Z30" s="1759"/>
      <c r="AA30" s="1777"/>
      <c r="AB30" s="1133"/>
      <c r="AC30" s="1783">
        <f>IF(C30='Part 3 DA summary'!C30,0,1)</f>
        <v>0</v>
      </c>
      <c r="AD30" s="1142"/>
      <c r="AE30" s="1783">
        <f>IF(E30='Part 3 DA summary'!E30,0,1)</f>
        <v>0</v>
      </c>
      <c r="AF30" s="1140"/>
      <c r="AG30" s="1783">
        <f>IF(G30='Part 3 DA summary'!G30,0,1)</f>
        <v>0</v>
      </c>
      <c r="AI30" s="1783">
        <f>IF(I30='Part 3 DA summary'!I30,0,1)</f>
        <v>0</v>
      </c>
      <c r="AK30" s="1783">
        <f>IF(K30='Part 3 DA summary'!K30,0,1)</f>
        <v>0</v>
      </c>
      <c r="AM30" s="1783">
        <f>IF(M30='Part 3 DA summary'!M30,0,1)</f>
        <v>0</v>
      </c>
      <c r="AO30" s="1783">
        <f>IF(O30='Part 3 DA summary'!O30,0,1)</f>
        <v>0</v>
      </c>
      <c r="AQ30" s="1783">
        <f>IF(Q30='Part 3 DA summary'!Q30,0,1)</f>
        <v>0</v>
      </c>
      <c r="AS30" s="1783">
        <f>IF(S30='Part 3 DA summary'!S30,0,1)</f>
        <v>0</v>
      </c>
      <c r="AU30" s="1783">
        <f>IF(U30='Part 3 DA summary'!U30,0,1)</f>
        <v>0</v>
      </c>
      <c r="AW30" s="1783">
        <f>IF(W30='Part 3 DA summary'!W30,0,1)</f>
        <v>0</v>
      </c>
      <c r="AY30" s="1783">
        <f>IF(Y30='Part 3 DA summary'!Y30,0,1)</f>
        <v>0</v>
      </c>
      <c r="BA30" s="1784">
        <f t="shared" si="4"/>
        <v>0</v>
      </c>
    </row>
    <row r="31" spans="1:53" s="1130" customFormat="1" ht="21" customHeight="1" thickBot="1" x14ac:dyDescent="0.25">
      <c r="A31" s="1771">
        <v>19</v>
      </c>
      <c r="B31" s="1753" t="str">
        <f t="shared" si="0"/>
        <v>EZZZZEZ19</v>
      </c>
      <c r="C31" s="1772" t="str">
        <f>'Part 3 DA summary'!C31</f>
        <v/>
      </c>
      <c r="D31" s="1768"/>
      <c r="E31" s="1773">
        <f>'Part 3 DA summary'!E31</f>
        <v>0</v>
      </c>
      <c r="F31" s="1758"/>
      <c r="G31" s="1773">
        <f>'Part 3 DA summary'!G31</f>
        <v>0</v>
      </c>
      <c r="H31" s="1759"/>
      <c r="I31" s="1773">
        <f>'Part 3 DA summary'!I31</f>
        <v>0</v>
      </c>
      <c r="J31" s="1759"/>
      <c r="K31" s="1774" t="str">
        <f t="shared" si="1"/>
        <v/>
      </c>
      <c r="L31" s="1760"/>
      <c r="M31" s="1773">
        <f>'Part 3 DA summary'!M31</f>
        <v>0</v>
      </c>
      <c r="N31" s="1758"/>
      <c r="O31" s="1773">
        <f>'Part 3 DA summary'!O31</f>
        <v>0</v>
      </c>
      <c r="P31" s="1759"/>
      <c r="Q31" s="1775">
        <f>'Part 3 DA summary'!Q31</f>
        <v>0</v>
      </c>
      <c r="R31" s="1759"/>
      <c r="S31" s="1776" t="str">
        <f t="shared" si="2"/>
        <v/>
      </c>
      <c r="T31" s="1759"/>
      <c r="U31" s="1773">
        <f>'Part 3 DA summary'!U31</f>
        <v>0</v>
      </c>
      <c r="V31" s="1758"/>
      <c r="W31" s="1776" t="str">
        <f>IF(C31="","",IF(VLOOKUP('Part 1'!$L$17,TierSplit!$A$6:$AG$332,10,FALSE)&lt;1,U31,0))</f>
        <v/>
      </c>
      <c r="X31" s="1759"/>
      <c r="Y31" s="1776" t="str">
        <f t="shared" si="3"/>
        <v/>
      </c>
      <c r="Z31" s="1759"/>
      <c r="AA31" s="1777"/>
      <c r="AB31" s="1133"/>
      <c r="AC31" s="1783">
        <f>IF(C31='Part 3 DA summary'!C31,0,1)</f>
        <v>0</v>
      </c>
      <c r="AD31" s="1142"/>
      <c r="AE31" s="1783">
        <f>IF(E31='Part 3 DA summary'!E31,0,1)</f>
        <v>0</v>
      </c>
      <c r="AF31" s="1140"/>
      <c r="AG31" s="1783">
        <f>IF(G31='Part 3 DA summary'!G31,0,1)</f>
        <v>0</v>
      </c>
      <c r="AI31" s="1783">
        <f>IF(I31='Part 3 DA summary'!I31,0,1)</f>
        <v>0</v>
      </c>
      <c r="AK31" s="1783">
        <f>IF(K31='Part 3 DA summary'!K31,0,1)</f>
        <v>0</v>
      </c>
      <c r="AM31" s="1783">
        <f>IF(M31='Part 3 DA summary'!M31,0,1)</f>
        <v>0</v>
      </c>
      <c r="AO31" s="1783">
        <f>IF(O31='Part 3 DA summary'!O31,0,1)</f>
        <v>0</v>
      </c>
      <c r="AQ31" s="1783">
        <f>IF(Q31='Part 3 DA summary'!Q31,0,1)</f>
        <v>0</v>
      </c>
      <c r="AS31" s="1783">
        <f>IF(S31='Part 3 DA summary'!S31,0,1)</f>
        <v>0</v>
      </c>
      <c r="AU31" s="1783">
        <f>IF(U31='Part 3 DA summary'!U31,0,1)</f>
        <v>0</v>
      </c>
      <c r="AW31" s="1783">
        <f>IF(W31='Part 3 DA summary'!W31,0,1)</f>
        <v>0</v>
      </c>
      <c r="AY31" s="1783">
        <f>IF(Y31='Part 3 DA summary'!Y31,0,1)</f>
        <v>0</v>
      </c>
      <c r="BA31" s="1784">
        <f t="shared" si="4"/>
        <v>0</v>
      </c>
    </row>
    <row r="32" spans="1:53" s="1130" customFormat="1" ht="21" customHeight="1" thickBot="1" x14ac:dyDescent="0.25">
      <c r="A32" s="1771">
        <v>20</v>
      </c>
      <c r="B32" s="1753" t="str">
        <f t="shared" si="0"/>
        <v>EZZZZEZ20</v>
      </c>
      <c r="C32" s="1772" t="str">
        <f>'Part 3 DA summary'!C32</f>
        <v/>
      </c>
      <c r="D32" s="1768"/>
      <c r="E32" s="1773">
        <f>'Part 3 DA summary'!E32</f>
        <v>0</v>
      </c>
      <c r="F32" s="1758"/>
      <c r="G32" s="1773">
        <f>'Part 3 DA summary'!G32</f>
        <v>0</v>
      </c>
      <c r="H32" s="1759"/>
      <c r="I32" s="1773">
        <f>'Part 3 DA summary'!I32</f>
        <v>0</v>
      </c>
      <c r="J32" s="1759"/>
      <c r="K32" s="1774" t="str">
        <f t="shared" si="1"/>
        <v/>
      </c>
      <c r="L32" s="1760"/>
      <c r="M32" s="1773">
        <f>'Part 3 DA summary'!M32</f>
        <v>0</v>
      </c>
      <c r="N32" s="1758"/>
      <c r="O32" s="1773">
        <f>'Part 3 DA summary'!O32</f>
        <v>0</v>
      </c>
      <c r="P32" s="1759"/>
      <c r="Q32" s="1775">
        <f>'Part 3 DA summary'!Q32</f>
        <v>0</v>
      </c>
      <c r="R32" s="1759"/>
      <c r="S32" s="1776" t="str">
        <f t="shared" si="2"/>
        <v/>
      </c>
      <c r="T32" s="1759"/>
      <c r="U32" s="1773">
        <f>'Part 3 DA summary'!U32</f>
        <v>0</v>
      </c>
      <c r="V32" s="1758"/>
      <c r="W32" s="1776" t="str">
        <f>IF(C32="","",IF(VLOOKUP('Part 1'!$L$17,TierSplit!$A$6:$AG$332,10,FALSE)&lt;1,U32,0))</f>
        <v/>
      </c>
      <c r="X32" s="1759"/>
      <c r="Y32" s="1776" t="str">
        <f t="shared" si="3"/>
        <v/>
      </c>
      <c r="Z32" s="1759"/>
      <c r="AA32" s="1777"/>
      <c r="AB32" s="1133"/>
      <c r="AC32" s="1783">
        <f>IF(C32='Part 3 DA summary'!C32,0,1)</f>
        <v>0</v>
      </c>
      <c r="AD32" s="1142"/>
      <c r="AE32" s="1783">
        <f>IF(E32='Part 3 DA summary'!E32,0,1)</f>
        <v>0</v>
      </c>
      <c r="AF32" s="1140"/>
      <c r="AG32" s="1783">
        <f>IF(G32='Part 3 DA summary'!G32,0,1)</f>
        <v>0</v>
      </c>
      <c r="AI32" s="1783">
        <f>IF(I32='Part 3 DA summary'!I32,0,1)</f>
        <v>0</v>
      </c>
      <c r="AK32" s="1783">
        <f>IF(K32='Part 3 DA summary'!K32,0,1)</f>
        <v>0</v>
      </c>
      <c r="AM32" s="1783">
        <f>IF(M32='Part 3 DA summary'!M32,0,1)</f>
        <v>0</v>
      </c>
      <c r="AO32" s="1783">
        <f>IF(O32='Part 3 DA summary'!O32,0,1)</f>
        <v>0</v>
      </c>
      <c r="AQ32" s="1783">
        <f>IF(Q32='Part 3 DA summary'!Q32,0,1)</f>
        <v>0</v>
      </c>
      <c r="AS32" s="1783">
        <f>IF(S32='Part 3 DA summary'!S32,0,1)</f>
        <v>0</v>
      </c>
      <c r="AU32" s="1783">
        <f>IF(U32='Part 3 DA summary'!U32,0,1)</f>
        <v>0</v>
      </c>
      <c r="AW32" s="1783">
        <f>IF(W32='Part 3 DA summary'!W32,0,1)</f>
        <v>0</v>
      </c>
      <c r="AY32" s="1783">
        <f>IF(Y32='Part 3 DA summary'!Y32,0,1)</f>
        <v>0</v>
      </c>
      <c r="BA32" s="1784">
        <f t="shared" si="4"/>
        <v>0</v>
      </c>
    </row>
    <row r="33" spans="1:53" s="1130" customFormat="1" ht="21" customHeight="1" thickBot="1" x14ac:dyDescent="0.25">
      <c r="A33" s="1771">
        <v>21</v>
      </c>
      <c r="B33" s="1753" t="str">
        <f t="shared" si="0"/>
        <v>EZZZZEZ21</v>
      </c>
      <c r="C33" s="1772" t="str">
        <f>'Part 3 DA summary'!C33</f>
        <v/>
      </c>
      <c r="D33" s="1768"/>
      <c r="E33" s="1773">
        <f>'Part 3 DA summary'!E33</f>
        <v>0</v>
      </c>
      <c r="F33" s="1758"/>
      <c r="G33" s="1773">
        <f>'Part 3 DA summary'!G33</f>
        <v>0</v>
      </c>
      <c r="H33" s="1759"/>
      <c r="I33" s="1773">
        <f>'Part 3 DA summary'!I33</f>
        <v>0</v>
      </c>
      <c r="J33" s="1759"/>
      <c r="K33" s="1774" t="str">
        <f t="shared" si="1"/>
        <v/>
      </c>
      <c r="L33" s="1760"/>
      <c r="M33" s="1773">
        <f>'Part 3 DA summary'!M33</f>
        <v>0</v>
      </c>
      <c r="N33" s="1758"/>
      <c r="O33" s="1773">
        <f>'Part 3 DA summary'!O33</f>
        <v>0</v>
      </c>
      <c r="P33" s="1759"/>
      <c r="Q33" s="1775">
        <f>'Part 3 DA summary'!Q33</f>
        <v>0</v>
      </c>
      <c r="R33" s="1759"/>
      <c r="S33" s="1776" t="str">
        <f t="shared" si="2"/>
        <v/>
      </c>
      <c r="T33" s="1759"/>
      <c r="U33" s="1773">
        <f>'Part 3 DA summary'!U33</f>
        <v>0</v>
      </c>
      <c r="V33" s="1758"/>
      <c r="W33" s="1776" t="str">
        <f>IF(C33="","",IF(VLOOKUP('Part 1'!$L$17,TierSplit!$A$6:$AG$332,10,FALSE)&lt;1,U33,0))</f>
        <v/>
      </c>
      <c r="X33" s="1759"/>
      <c r="Y33" s="1776" t="str">
        <f t="shared" si="3"/>
        <v/>
      </c>
      <c r="Z33" s="1759"/>
      <c r="AA33" s="1777"/>
      <c r="AB33" s="1133"/>
      <c r="AC33" s="1783">
        <f>IF(C33='Part 3 DA summary'!C33,0,1)</f>
        <v>0</v>
      </c>
      <c r="AD33" s="1142"/>
      <c r="AE33" s="1783">
        <f>IF(E33='Part 3 DA summary'!E33,0,1)</f>
        <v>0</v>
      </c>
      <c r="AF33" s="1140"/>
      <c r="AG33" s="1783">
        <f>IF(G33='Part 3 DA summary'!G33,0,1)</f>
        <v>0</v>
      </c>
      <c r="AI33" s="1783">
        <f>IF(I33='Part 3 DA summary'!I33,0,1)</f>
        <v>0</v>
      </c>
      <c r="AK33" s="1783">
        <f>IF(K33='Part 3 DA summary'!K33,0,1)</f>
        <v>0</v>
      </c>
      <c r="AM33" s="1783">
        <f>IF(M33='Part 3 DA summary'!M33,0,1)</f>
        <v>0</v>
      </c>
      <c r="AO33" s="1783">
        <f>IF(O33='Part 3 DA summary'!O33,0,1)</f>
        <v>0</v>
      </c>
      <c r="AQ33" s="1783">
        <f>IF(Q33='Part 3 DA summary'!Q33,0,1)</f>
        <v>0</v>
      </c>
      <c r="AS33" s="1783">
        <f>IF(S33='Part 3 DA summary'!S33,0,1)</f>
        <v>0</v>
      </c>
      <c r="AU33" s="1783">
        <f>IF(U33='Part 3 DA summary'!U33,0,1)</f>
        <v>0</v>
      </c>
      <c r="AW33" s="1783">
        <f>IF(W33='Part 3 DA summary'!W33,0,1)</f>
        <v>0</v>
      </c>
      <c r="AY33" s="1783">
        <f>IF(Y33='Part 3 DA summary'!Y33,0,1)</f>
        <v>0</v>
      </c>
      <c r="BA33" s="1784">
        <f t="shared" si="4"/>
        <v>0</v>
      </c>
    </row>
    <row r="34" spans="1:53" s="1130" customFormat="1" ht="21" customHeight="1" thickBot="1" x14ac:dyDescent="0.25">
      <c r="A34" s="1771">
        <v>22</v>
      </c>
      <c r="B34" s="1753" t="str">
        <f t="shared" si="0"/>
        <v>EZZZZEZ22</v>
      </c>
      <c r="C34" s="1772" t="str">
        <f>'Part 3 DA summary'!C34</f>
        <v/>
      </c>
      <c r="D34" s="1768"/>
      <c r="E34" s="1773">
        <f>'Part 3 DA summary'!E34</f>
        <v>0</v>
      </c>
      <c r="F34" s="1758"/>
      <c r="G34" s="1773">
        <f>'Part 3 DA summary'!G34</f>
        <v>0</v>
      </c>
      <c r="H34" s="1759"/>
      <c r="I34" s="1773">
        <f>'Part 3 DA summary'!I34</f>
        <v>0</v>
      </c>
      <c r="J34" s="1759"/>
      <c r="K34" s="1774" t="str">
        <f t="shared" si="1"/>
        <v/>
      </c>
      <c r="L34" s="1760"/>
      <c r="M34" s="1773">
        <f>'Part 3 DA summary'!M34</f>
        <v>0</v>
      </c>
      <c r="N34" s="1758"/>
      <c r="O34" s="1773">
        <f>'Part 3 DA summary'!O34</f>
        <v>0</v>
      </c>
      <c r="P34" s="1759"/>
      <c r="Q34" s="1775">
        <f>'Part 3 DA summary'!Q34</f>
        <v>0</v>
      </c>
      <c r="R34" s="1759"/>
      <c r="S34" s="1776" t="str">
        <f t="shared" si="2"/>
        <v/>
      </c>
      <c r="T34" s="1759"/>
      <c r="U34" s="1773">
        <f>'Part 3 DA summary'!U34</f>
        <v>0</v>
      </c>
      <c r="V34" s="1758"/>
      <c r="W34" s="1776" t="str">
        <f>IF(C34="","",IF(VLOOKUP('Part 1'!$L$17,TierSplit!$A$6:$AG$332,10,FALSE)&lt;1,U34,0))</f>
        <v/>
      </c>
      <c r="X34" s="1759"/>
      <c r="Y34" s="1776" t="str">
        <f t="shared" si="3"/>
        <v/>
      </c>
      <c r="Z34" s="1759"/>
      <c r="AA34" s="1777"/>
      <c r="AB34" s="1133"/>
      <c r="AC34" s="1783">
        <f>IF(C34='Part 3 DA summary'!C34,0,1)</f>
        <v>0</v>
      </c>
      <c r="AD34" s="1142"/>
      <c r="AE34" s="1783">
        <f>IF(E34='Part 3 DA summary'!E34,0,1)</f>
        <v>0</v>
      </c>
      <c r="AF34" s="1140"/>
      <c r="AG34" s="1783">
        <f>IF(G34='Part 3 DA summary'!G34,0,1)</f>
        <v>0</v>
      </c>
      <c r="AI34" s="1783">
        <f>IF(I34='Part 3 DA summary'!I34,0,1)</f>
        <v>0</v>
      </c>
      <c r="AK34" s="1783">
        <f>IF(K34='Part 3 DA summary'!K34,0,1)</f>
        <v>0</v>
      </c>
      <c r="AM34" s="1783">
        <f>IF(M34='Part 3 DA summary'!M34,0,1)</f>
        <v>0</v>
      </c>
      <c r="AO34" s="1783">
        <f>IF(O34='Part 3 DA summary'!O34,0,1)</f>
        <v>0</v>
      </c>
      <c r="AQ34" s="1783">
        <f>IF(Q34='Part 3 DA summary'!Q34,0,1)</f>
        <v>0</v>
      </c>
      <c r="AS34" s="1783">
        <f>IF(S34='Part 3 DA summary'!S34,0,1)</f>
        <v>0</v>
      </c>
      <c r="AU34" s="1783">
        <f>IF(U34='Part 3 DA summary'!U34,0,1)</f>
        <v>0</v>
      </c>
      <c r="AW34" s="1783">
        <f>IF(W34='Part 3 DA summary'!W34,0,1)</f>
        <v>0</v>
      </c>
      <c r="AY34" s="1783">
        <f>IF(Y34='Part 3 DA summary'!Y34,0,1)</f>
        <v>0</v>
      </c>
      <c r="BA34" s="1784">
        <f t="shared" si="4"/>
        <v>0</v>
      </c>
    </row>
    <row r="35" spans="1:53" s="1130" customFormat="1" ht="21" customHeight="1" thickBot="1" x14ac:dyDescent="0.25">
      <c r="A35" s="1771">
        <v>23</v>
      </c>
      <c r="B35" s="1753" t="str">
        <f t="shared" si="0"/>
        <v>EZZZZEZ23</v>
      </c>
      <c r="C35" s="1772" t="str">
        <f>'Part 3 DA summary'!C35</f>
        <v/>
      </c>
      <c r="D35" s="1768"/>
      <c r="E35" s="1773">
        <f>'Part 3 DA summary'!E35</f>
        <v>0</v>
      </c>
      <c r="F35" s="1758"/>
      <c r="G35" s="1773">
        <f>'Part 3 DA summary'!G35</f>
        <v>0</v>
      </c>
      <c r="H35" s="1759"/>
      <c r="I35" s="1773">
        <f>'Part 3 DA summary'!I35</f>
        <v>0</v>
      </c>
      <c r="J35" s="1759"/>
      <c r="K35" s="1774" t="str">
        <f t="shared" si="1"/>
        <v/>
      </c>
      <c r="L35" s="1760"/>
      <c r="M35" s="1773">
        <f>'Part 3 DA summary'!M35</f>
        <v>0</v>
      </c>
      <c r="N35" s="1758"/>
      <c r="O35" s="1773">
        <f>'Part 3 DA summary'!O35</f>
        <v>0</v>
      </c>
      <c r="P35" s="1759"/>
      <c r="Q35" s="1775">
        <f>'Part 3 DA summary'!Q35</f>
        <v>0</v>
      </c>
      <c r="R35" s="1759"/>
      <c r="S35" s="1776" t="str">
        <f t="shared" si="2"/>
        <v/>
      </c>
      <c r="T35" s="1759"/>
      <c r="U35" s="1773">
        <f>'Part 3 DA summary'!U35</f>
        <v>0</v>
      </c>
      <c r="V35" s="1758"/>
      <c r="W35" s="1776" t="str">
        <f>IF(C35="","",IF(VLOOKUP('Part 1'!$L$17,TierSplit!$A$6:$AG$332,10,FALSE)&lt;1,U35,0))</f>
        <v/>
      </c>
      <c r="X35" s="1759"/>
      <c r="Y35" s="1776" t="str">
        <f t="shared" si="3"/>
        <v/>
      </c>
      <c r="Z35" s="1759"/>
      <c r="AA35" s="1777"/>
      <c r="AB35" s="1133"/>
      <c r="AC35" s="1783">
        <f>IF(C35='Part 3 DA summary'!C35,0,1)</f>
        <v>0</v>
      </c>
      <c r="AD35" s="1142"/>
      <c r="AE35" s="1783">
        <f>IF(E35='Part 3 DA summary'!E35,0,1)</f>
        <v>0</v>
      </c>
      <c r="AF35" s="1140"/>
      <c r="AG35" s="1783">
        <f>IF(G35='Part 3 DA summary'!G35,0,1)</f>
        <v>0</v>
      </c>
      <c r="AI35" s="1783">
        <f>IF(I35='Part 3 DA summary'!I35,0,1)</f>
        <v>0</v>
      </c>
      <c r="AK35" s="1783">
        <f>IF(K35='Part 3 DA summary'!K35,0,1)</f>
        <v>0</v>
      </c>
      <c r="AM35" s="1783">
        <f>IF(M35='Part 3 DA summary'!M35,0,1)</f>
        <v>0</v>
      </c>
      <c r="AO35" s="1783">
        <f>IF(O35='Part 3 DA summary'!O35,0,1)</f>
        <v>0</v>
      </c>
      <c r="AQ35" s="1783">
        <f>IF(Q35='Part 3 DA summary'!Q35,0,1)</f>
        <v>0</v>
      </c>
      <c r="AS35" s="1783">
        <f>IF(S35='Part 3 DA summary'!S35,0,1)</f>
        <v>0</v>
      </c>
      <c r="AU35" s="1783">
        <f>IF(U35='Part 3 DA summary'!U35,0,1)</f>
        <v>0</v>
      </c>
      <c r="AW35" s="1783">
        <f>IF(W35='Part 3 DA summary'!W35,0,1)</f>
        <v>0</v>
      </c>
      <c r="AY35" s="1783">
        <f>IF(Y35='Part 3 DA summary'!Y35,0,1)</f>
        <v>0</v>
      </c>
      <c r="BA35" s="1784">
        <f t="shared" si="4"/>
        <v>0</v>
      </c>
    </row>
    <row r="36" spans="1:53" s="1130" customFormat="1" ht="21" customHeight="1" thickBot="1" x14ac:dyDescent="0.25">
      <c r="A36" s="1771">
        <v>24</v>
      </c>
      <c r="B36" s="1753" t="str">
        <f t="shared" si="0"/>
        <v>EZZZZEZ24</v>
      </c>
      <c r="C36" s="1772" t="str">
        <f>'Part 3 DA summary'!C36</f>
        <v/>
      </c>
      <c r="D36" s="1768"/>
      <c r="E36" s="1773">
        <f>'Part 3 DA summary'!E36</f>
        <v>0</v>
      </c>
      <c r="F36" s="1758"/>
      <c r="G36" s="1773">
        <f>'Part 3 DA summary'!G36</f>
        <v>0</v>
      </c>
      <c r="H36" s="1759"/>
      <c r="I36" s="1773">
        <f>'Part 3 DA summary'!I36</f>
        <v>0</v>
      </c>
      <c r="J36" s="1759"/>
      <c r="K36" s="1774" t="str">
        <f t="shared" si="1"/>
        <v/>
      </c>
      <c r="L36" s="1760"/>
      <c r="M36" s="1773">
        <f>'Part 3 DA summary'!M36</f>
        <v>0</v>
      </c>
      <c r="N36" s="1758"/>
      <c r="O36" s="1773">
        <f>'Part 3 DA summary'!O36</f>
        <v>0</v>
      </c>
      <c r="P36" s="1759"/>
      <c r="Q36" s="1775">
        <f>'Part 3 DA summary'!Q36</f>
        <v>0</v>
      </c>
      <c r="R36" s="1759"/>
      <c r="S36" s="1776" t="str">
        <f t="shared" si="2"/>
        <v/>
      </c>
      <c r="T36" s="1759"/>
      <c r="U36" s="1773">
        <f>'Part 3 DA summary'!U36</f>
        <v>0</v>
      </c>
      <c r="V36" s="1758"/>
      <c r="W36" s="1776" t="str">
        <f>IF(C36="","",IF(VLOOKUP('Part 1'!$L$17,TierSplit!$A$6:$AG$332,10,FALSE)&lt;1,U36,0))</f>
        <v/>
      </c>
      <c r="X36" s="1759"/>
      <c r="Y36" s="1776" t="str">
        <f t="shared" si="3"/>
        <v/>
      </c>
      <c r="Z36" s="1759"/>
      <c r="AA36" s="1777"/>
      <c r="AB36" s="1133"/>
      <c r="AC36" s="1783">
        <f>IF(C36='Part 3 DA summary'!C36,0,1)</f>
        <v>0</v>
      </c>
      <c r="AD36" s="1142"/>
      <c r="AE36" s="1783">
        <f>IF(E36='Part 3 DA summary'!E36,0,1)</f>
        <v>0</v>
      </c>
      <c r="AF36" s="1140"/>
      <c r="AG36" s="1783">
        <f>IF(G36='Part 3 DA summary'!G36,0,1)</f>
        <v>0</v>
      </c>
      <c r="AI36" s="1783">
        <f>IF(I36='Part 3 DA summary'!I36,0,1)</f>
        <v>0</v>
      </c>
      <c r="AK36" s="1783">
        <f>IF(K36='Part 3 DA summary'!K36,0,1)</f>
        <v>0</v>
      </c>
      <c r="AM36" s="1783">
        <f>IF(M36='Part 3 DA summary'!M36,0,1)</f>
        <v>0</v>
      </c>
      <c r="AO36" s="1783">
        <f>IF(O36='Part 3 DA summary'!O36,0,1)</f>
        <v>0</v>
      </c>
      <c r="AQ36" s="1783">
        <f>IF(Q36='Part 3 DA summary'!Q36,0,1)</f>
        <v>0</v>
      </c>
      <c r="AS36" s="1783">
        <f>IF(S36='Part 3 DA summary'!S36,0,1)</f>
        <v>0</v>
      </c>
      <c r="AU36" s="1783">
        <f>IF(U36='Part 3 DA summary'!U36,0,1)</f>
        <v>0</v>
      </c>
      <c r="AW36" s="1783">
        <f>IF(W36='Part 3 DA summary'!W36,0,1)</f>
        <v>0</v>
      </c>
      <c r="AY36" s="1783">
        <f>IF(Y36='Part 3 DA summary'!Y36,0,1)</f>
        <v>0</v>
      </c>
      <c r="BA36" s="1784">
        <f t="shared" si="4"/>
        <v>0</v>
      </c>
    </row>
    <row r="37" spans="1:53" s="1130" customFormat="1" ht="21" customHeight="1" thickBot="1" x14ac:dyDescent="0.25">
      <c r="A37" s="1771">
        <v>25</v>
      </c>
      <c r="B37" s="1753" t="str">
        <f t="shared" si="0"/>
        <v>EZZZZEZ25</v>
      </c>
      <c r="C37" s="1772" t="str">
        <f>'Part 3 DA summary'!C37</f>
        <v/>
      </c>
      <c r="D37" s="1768"/>
      <c r="E37" s="1773">
        <f>'Part 3 DA summary'!E37</f>
        <v>0</v>
      </c>
      <c r="F37" s="1758"/>
      <c r="G37" s="1773">
        <f>'Part 3 DA summary'!G37</f>
        <v>0</v>
      </c>
      <c r="H37" s="1759"/>
      <c r="I37" s="1773">
        <f>'Part 3 DA summary'!I37</f>
        <v>0</v>
      </c>
      <c r="J37" s="1759"/>
      <c r="K37" s="1774" t="str">
        <f t="shared" si="1"/>
        <v/>
      </c>
      <c r="L37" s="1760"/>
      <c r="M37" s="1773">
        <f>'Part 3 DA summary'!M37</f>
        <v>0</v>
      </c>
      <c r="N37" s="1758"/>
      <c r="O37" s="1773">
        <f>'Part 3 DA summary'!O37</f>
        <v>0</v>
      </c>
      <c r="P37" s="1759"/>
      <c r="Q37" s="1775">
        <f>'Part 3 DA summary'!Q37</f>
        <v>0</v>
      </c>
      <c r="R37" s="1759"/>
      <c r="S37" s="1776" t="str">
        <f t="shared" si="2"/>
        <v/>
      </c>
      <c r="T37" s="1759"/>
      <c r="U37" s="1773">
        <f>'Part 3 DA summary'!U37</f>
        <v>0</v>
      </c>
      <c r="V37" s="1758"/>
      <c r="W37" s="1776" t="str">
        <f>IF(C37="","",IF(VLOOKUP('Part 1'!$L$17,TierSplit!$A$6:$AG$332,10,FALSE)&lt;1,U37,0))</f>
        <v/>
      </c>
      <c r="X37" s="1759"/>
      <c r="Y37" s="1776" t="str">
        <f t="shared" si="3"/>
        <v/>
      </c>
      <c r="Z37" s="1759"/>
      <c r="AA37" s="1777"/>
      <c r="AB37" s="1133"/>
      <c r="AC37" s="1783">
        <f>IF(C37='Part 3 DA summary'!C37,0,1)</f>
        <v>0</v>
      </c>
      <c r="AD37" s="1142"/>
      <c r="AE37" s="1783">
        <f>IF(E37='Part 3 DA summary'!E37,0,1)</f>
        <v>0</v>
      </c>
      <c r="AF37" s="1140"/>
      <c r="AG37" s="1783">
        <f>IF(G37='Part 3 DA summary'!G37,0,1)</f>
        <v>0</v>
      </c>
      <c r="AI37" s="1783">
        <f>IF(I37='Part 3 DA summary'!I37,0,1)</f>
        <v>0</v>
      </c>
      <c r="AK37" s="1783">
        <f>IF(K37='Part 3 DA summary'!K37,0,1)</f>
        <v>0</v>
      </c>
      <c r="AM37" s="1783">
        <f>IF(M37='Part 3 DA summary'!M37,0,1)</f>
        <v>0</v>
      </c>
      <c r="AO37" s="1783">
        <f>IF(O37='Part 3 DA summary'!O37,0,1)</f>
        <v>0</v>
      </c>
      <c r="AQ37" s="1783">
        <f>IF(Q37='Part 3 DA summary'!Q37,0,1)</f>
        <v>0</v>
      </c>
      <c r="AS37" s="1783">
        <f>IF(S37='Part 3 DA summary'!S37,0,1)</f>
        <v>0</v>
      </c>
      <c r="AU37" s="1783">
        <f>IF(U37='Part 3 DA summary'!U37,0,1)</f>
        <v>0</v>
      </c>
      <c r="AW37" s="1783">
        <f>IF(W37='Part 3 DA summary'!W37,0,1)</f>
        <v>0</v>
      </c>
      <c r="AY37" s="1783">
        <f>IF(Y37='Part 3 DA summary'!Y37,0,1)</f>
        <v>0</v>
      </c>
      <c r="BA37" s="1784">
        <f t="shared" si="4"/>
        <v>0</v>
      </c>
    </row>
    <row r="38" spans="1:53" s="1130" customFormat="1" ht="21" customHeight="1" thickBot="1" x14ac:dyDescent="0.25">
      <c r="A38" s="1771">
        <v>26</v>
      </c>
      <c r="B38" s="1753" t="str">
        <f t="shared" si="0"/>
        <v>EZZZZEZ26</v>
      </c>
      <c r="C38" s="1772" t="str">
        <f>'Part 3 DA summary'!C38</f>
        <v/>
      </c>
      <c r="D38" s="1768"/>
      <c r="E38" s="1773">
        <f>'Part 3 DA summary'!E38</f>
        <v>0</v>
      </c>
      <c r="F38" s="1758"/>
      <c r="G38" s="1773">
        <f>'Part 3 DA summary'!G38</f>
        <v>0</v>
      </c>
      <c r="H38" s="1759"/>
      <c r="I38" s="1773">
        <f>'Part 3 DA summary'!I38</f>
        <v>0</v>
      </c>
      <c r="J38" s="1759"/>
      <c r="K38" s="1774" t="str">
        <f t="shared" si="1"/>
        <v/>
      </c>
      <c r="L38" s="1760"/>
      <c r="M38" s="1773">
        <f>'Part 3 DA summary'!M38</f>
        <v>0</v>
      </c>
      <c r="N38" s="1758"/>
      <c r="O38" s="1773">
        <f>'Part 3 DA summary'!O38</f>
        <v>0</v>
      </c>
      <c r="P38" s="1759"/>
      <c r="Q38" s="1775">
        <f>'Part 3 DA summary'!Q38</f>
        <v>0</v>
      </c>
      <c r="R38" s="1759"/>
      <c r="S38" s="1776" t="str">
        <f t="shared" si="2"/>
        <v/>
      </c>
      <c r="T38" s="1759"/>
      <c r="U38" s="1773">
        <f>'Part 3 DA summary'!U38</f>
        <v>0</v>
      </c>
      <c r="V38" s="1758"/>
      <c r="W38" s="1776" t="str">
        <f>IF(C38="","",IF(VLOOKUP('Part 1'!$L$17,TierSplit!$A$6:$AG$332,10,FALSE)&lt;1,U38,0))</f>
        <v/>
      </c>
      <c r="X38" s="1759"/>
      <c r="Y38" s="1776" t="str">
        <f t="shared" si="3"/>
        <v/>
      </c>
      <c r="Z38" s="1759"/>
      <c r="AA38" s="1777"/>
      <c r="AB38" s="1133"/>
      <c r="AC38" s="1783">
        <f>IF(C38='Part 3 DA summary'!C38,0,1)</f>
        <v>0</v>
      </c>
      <c r="AD38" s="1142"/>
      <c r="AE38" s="1783">
        <f>IF(E38='Part 3 DA summary'!E38,0,1)</f>
        <v>0</v>
      </c>
      <c r="AF38" s="1140"/>
      <c r="AG38" s="1783">
        <f>IF(G38='Part 3 DA summary'!G38,0,1)</f>
        <v>0</v>
      </c>
      <c r="AI38" s="1783">
        <f>IF(I38='Part 3 DA summary'!I38,0,1)</f>
        <v>0</v>
      </c>
      <c r="AK38" s="1783">
        <f>IF(K38='Part 3 DA summary'!K38,0,1)</f>
        <v>0</v>
      </c>
      <c r="AM38" s="1783">
        <f>IF(M38='Part 3 DA summary'!M38,0,1)</f>
        <v>0</v>
      </c>
      <c r="AO38" s="1783">
        <f>IF(O38='Part 3 DA summary'!O38,0,1)</f>
        <v>0</v>
      </c>
      <c r="AQ38" s="1783">
        <f>IF(Q38='Part 3 DA summary'!Q38,0,1)</f>
        <v>0</v>
      </c>
      <c r="AS38" s="1783">
        <f>IF(S38='Part 3 DA summary'!S38,0,1)</f>
        <v>0</v>
      </c>
      <c r="AU38" s="1783">
        <f>IF(U38='Part 3 DA summary'!U38,0,1)</f>
        <v>0</v>
      </c>
      <c r="AW38" s="1783">
        <f>IF(W38='Part 3 DA summary'!W38,0,1)</f>
        <v>0</v>
      </c>
      <c r="AY38" s="1783">
        <f>IF(Y38='Part 3 DA summary'!Y38,0,1)</f>
        <v>0</v>
      </c>
      <c r="BA38" s="1784">
        <f t="shared" si="4"/>
        <v>0</v>
      </c>
    </row>
    <row r="39" spans="1:53" s="1130" customFormat="1" ht="21" customHeight="1" thickBot="1" x14ac:dyDescent="0.25">
      <c r="A39" s="1771">
        <v>27</v>
      </c>
      <c r="B39" s="1753" t="str">
        <f t="shared" si="0"/>
        <v>EZZZZEZ27</v>
      </c>
      <c r="C39" s="1772" t="str">
        <f>'Part 3 DA summary'!C39</f>
        <v/>
      </c>
      <c r="D39" s="1768"/>
      <c r="E39" s="1773">
        <f>'Part 3 DA summary'!E39</f>
        <v>0</v>
      </c>
      <c r="F39" s="1758"/>
      <c r="G39" s="1773">
        <f>'Part 3 DA summary'!G39</f>
        <v>0</v>
      </c>
      <c r="H39" s="1759"/>
      <c r="I39" s="1773">
        <f>'Part 3 DA summary'!I39</f>
        <v>0</v>
      </c>
      <c r="J39" s="1759"/>
      <c r="K39" s="1774" t="str">
        <f t="shared" si="1"/>
        <v/>
      </c>
      <c r="L39" s="1760"/>
      <c r="M39" s="1773">
        <f>'Part 3 DA summary'!M39</f>
        <v>0</v>
      </c>
      <c r="N39" s="1758"/>
      <c r="O39" s="1773">
        <f>'Part 3 DA summary'!O39</f>
        <v>0</v>
      </c>
      <c r="P39" s="1759"/>
      <c r="Q39" s="1775">
        <f>'Part 3 DA summary'!Q39</f>
        <v>0</v>
      </c>
      <c r="R39" s="1759"/>
      <c r="S39" s="1776" t="str">
        <f t="shared" si="2"/>
        <v/>
      </c>
      <c r="T39" s="1759"/>
      <c r="U39" s="1773">
        <f>'Part 3 DA summary'!U39</f>
        <v>0</v>
      </c>
      <c r="V39" s="1758"/>
      <c r="W39" s="1776" t="str">
        <f>IF(C39="","",IF(VLOOKUP('Part 1'!$L$17,TierSplit!$A$6:$AG$332,10,FALSE)&lt;1,U39,0))</f>
        <v/>
      </c>
      <c r="X39" s="1759"/>
      <c r="Y39" s="1776" t="str">
        <f t="shared" si="3"/>
        <v/>
      </c>
      <c r="Z39" s="1759"/>
      <c r="AA39" s="1777"/>
      <c r="AB39" s="1133"/>
      <c r="AC39" s="1783">
        <f>IF(C39='Part 3 DA summary'!C39,0,1)</f>
        <v>0</v>
      </c>
      <c r="AD39" s="1142"/>
      <c r="AE39" s="1783">
        <f>IF(E39='Part 3 DA summary'!E39,0,1)</f>
        <v>0</v>
      </c>
      <c r="AF39" s="1140"/>
      <c r="AG39" s="1783">
        <f>IF(G39='Part 3 DA summary'!G39,0,1)</f>
        <v>0</v>
      </c>
      <c r="AI39" s="1783">
        <f>IF(I39='Part 3 DA summary'!I39,0,1)</f>
        <v>0</v>
      </c>
      <c r="AK39" s="1783">
        <f>IF(K39='Part 3 DA summary'!K39,0,1)</f>
        <v>0</v>
      </c>
      <c r="AM39" s="1783">
        <f>IF(M39='Part 3 DA summary'!M39,0,1)</f>
        <v>0</v>
      </c>
      <c r="AO39" s="1783">
        <f>IF(O39='Part 3 DA summary'!O39,0,1)</f>
        <v>0</v>
      </c>
      <c r="AQ39" s="1783">
        <f>IF(Q39='Part 3 DA summary'!Q39,0,1)</f>
        <v>0</v>
      </c>
      <c r="AS39" s="1783">
        <f>IF(S39='Part 3 DA summary'!S39,0,1)</f>
        <v>0</v>
      </c>
      <c r="AU39" s="1783">
        <f>IF(U39='Part 3 DA summary'!U39,0,1)</f>
        <v>0</v>
      </c>
      <c r="AW39" s="1783">
        <f>IF(W39='Part 3 DA summary'!W39,0,1)</f>
        <v>0</v>
      </c>
      <c r="AY39" s="1783">
        <f>IF(Y39='Part 3 DA summary'!Y39,0,1)</f>
        <v>0</v>
      </c>
      <c r="BA39" s="1784">
        <f t="shared" si="4"/>
        <v>0</v>
      </c>
    </row>
    <row r="40" spans="1:53" s="1130" customFormat="1" ht="21" customHeight="1" thickBot="1" x14ac:dyDescent="0.25">
      <c r="A40" s="1771">
        <v>28</v>
      </c>
      <c r="B40" s="1753" t="str">
        <f t="shared" si="0"/>
        <v>EZZZZEZ28</v>
      </c>
      <c r="C40" s="1772" t="str">
        <f>'Part 3 DA summary'!C40</f>
        <v/>
      </c>
      <c r="D40" s="1768"/>
      <c r="E40" s="1773">
        <f>'Part 3 DA summary'!E40</f>
        <v>0</v>
      </c>
      <c r="F40" s="1758"/>
      <c r="G40" s="1773">
        <f>'Part 3 DA summary'!G40</f>
        <v>0</v>
      </c>
      <c r="H40" s="1759"/>
      <c r="I40" s="1773">
        <f>'Part 3 DA summary'!I40</f>
        <v>0</v>
      </c>
      <c r="J40" s="1759"/>
      <c r="K40" s="1774" t="str">
        <f t="shared" si="1"/>
        <v/>
      </c>
      <c r="L40" s="1760"/>
      <c r="M40" s="1773">
        <f>'Part 3 DA summary'!M40</f>
        <v>0</v>
      </c>
      <c r="N40" s="1758"/>
      <c r="O40" s="1773">
        <f>'Part 3 DA summary'!O40</f>
        <v>0</v>
      </c>
      <c r="P40" s="1759"/>
      <c r="Q40" s="1775">
        <f>'Part 3 DA summary'!Q40</f>
        <v>0</v>
      </c>
      <c r="R40" s="1759"/>
      <c r="S40" s="1776" t="str">
        <f t="shared" si="2"/>
        <v/>
      </c>
      <c r="T40" s="1759"/>
      <c r="U40" s="1773">
        <f>'Part 3 DA summary'!U40</f>
        <v>0</v>
      </c>
      <c r="V40" s="1758"/>
      <c r="W40" s="1776" t="str">
        <f>IF(C40="","",IF(VLOOKUP('Part 1'!$L$17,TierSplit!$A$6:$AG$332,10,FALSE)&lt;1,U40,0))</f>
        <v/>
      </c>
      <c r="X40" s="1759"/>
      <c r="Y40" s="1776" t="str">
        <f t="shared" si="3"/>
        <v/>
      </c>
      <c r="Z40" s="1759"/>
      <c r="AA40" s="1777"/>
      <c r="AB40" s="1133"/>
      <c r="AC40" s="1783">
        <f>IF(C40='Part 3 DA summary'!C40,0,1)</f>
        <v>0</v>
      </c>
      <c r="AD40" s="1142"/>
      <c r="AE40" s="1783">
        <f>IF(E40='Part 3 DA summary'!E40,0,1)</f>
        <v>0</v>
      </c>
      <c r="AF40" s="1140"/>
      <c r="AG40" s="1783">
        <f>IF(G40='Part 3 DA summary'!G40,0,1)</f>
        <v>0</v>
      </c>
      <c r="AI40" s="1783">
        <f>IF(I40='Part 3 DA summary'!I40,0,1)</f>
        <v>0</v>
      </c>
      <c r="AK40" s="1783">
        <f>IF(K40='Part 3 DA summary'!K40,0,1)</f>
        <v>0</v>
      </c>
      <c r="AM40" s="1783">
        <f>IF(M40='Part 3 DA summary'!M40,0,1)</f>
        <v>0</v>
      </c>
      <c r="AO40" s="1783">
        <f>IF(O40='Part 3 DA summary'!O40,0,1)</f>
        <v>0</v>
      </c>
      <c r="AQ40" s="1783">
        <f>IF(Q40='Part 3 DA summary'!Q40,0,1)</f>
        <v>0</v>
      </c>
      <c r="AS40" s="1783">
        <f>IF(S40='Part 3 DA summary'!S40,0,1)</f>
        <v>0</v>
      </c>
      <c r="AU40" s="1783">
        <f>IF(U40='Part 3 DA summary'!U40,0,1)</f>
        <v>0</v>
      </c>
      <c r="AW40" s="1783">
        <f>IF(W40='Part 3 DA summary'!W40,0,1)</f>
        <v>0</v>
      </c>
      <c r="AY40" s="1783">
        <f>IF(Y40='Part 3 DA summary'!Y40,0,1)</f>
        <v>0</v>
      </c>
      <c r="BA40" s="1784">
        <f t="shared" si="4"/>
        <v>0</v>
      </c>
    </row>
    <row r="41" spans="1:53" s="1130" customFormat="1" ht="21" customHeight="1" thickBot="1" x14ac:dyDescent="0.25">
      <c r="A41" s="1771">
        <v>29</v>
      </c>
      <c r="B41" s="1753" t="str">
        <f t="shared" si="0"/>
        <v>EZZZZEZ29</v>
      </c>
      <c r="C41" s="1772" t="str">
        <f>'Part 3 DA summary'!C41</f>
        <v/>
      </c>
      <c r="D41" s="1768"/>
      <c r="E41" s="1773">
        <f>'Part 3 DA summary'!E41</f>
        <v>0</v>
      </c>
      <c r="F41" s="1758"/>
      <c r="G41" s="1773">
        <f>'Part 3 DA summary'!G41</f>
        <v>0</v>
      </c>
      <c r="H41" s="1759"/>
      <c r="I41" s="1773">
        <f>'Part 3 DA summary'!I41</f>
        <v>0</v>
      </c>
      <c r="J41" s="1759"/>
      <c r="K41" s="1774" t="str">
        <f t="shared" si="1"/>
        <v/>
      </c>
      <c r="L41" s="1760"/>
      <c r="M41" s="1773">
        <f>'Part 3 DA summary'!M41</f>
        <v>0</v>
      </c>
      <c r="N41" s="1758"/>
      <c r="O41" s="1773">
        <f>'Part 3 DA summary'!O41</f>
        <v>0</v>
      </c>
      <c r="P41" s="1759"/>
      <c r="Q41" s="1775">
        <f>'Part 3 DA summary'!Q41</f>
        <v>0</v>
      </c>
      <c r="R41" s="1759"/>
      <c r="S41" s="1776" t="str">
        <f t="shared" si="2"/>
        <v/>
      </c>
      <c r="T41" s="1759"/>
      <c r="U41" s="1773">
        <f>'Part 3 DA summary'!U41</f>
        <v>0</v>
      </c>
      <c r="V41" s="1758"/>
      <c r="W41" s="1776" t="str">
        <f>IF(C41="","",IF(VLOOKUP('Part 1'!$L$17,TierSplit!$A$6:$AG$332,10,FALSE)&lt;1,U41,0))</f>
        <v/>
      </c>
      <c r="X41" s="1759"/>
      <c r="Y41" s="1776" t="str">
        <f t="shared" si="3"/>
        <v/>
      </c>
      <c r="Z41" s="1759"/>
      <c r="AA41" s="1777"/>
      <c r="AB41" s="1133"/>
      <c r="AC41" s="1783">
        <f>IF(C41='Part 3 DA summary'!C41,0,1)</f>
        <v>0</v>
      </c>
      <c r="AD41" s="1142"/>
      <c r="AE41" s="1783">
        <f>IF(E41='Part 3 DA summary'!E41,0,1)</f>
        <v>0</v>
      </c>
      <c r="AF41" s="1140"/>
      <c r="AG41" s="1783">
        <f>IF(G41='Part 3 DA summary'!G41,0,1)</f>
        <v>0</v>
      </c>
      <c r="AI41" s="1783">
        <f>IF(I41='Part 3 DA summary'!I41,0,1)</f>
        <v>0</v>
      </c>
      <c r="AK41" s="1783">
        <f>IF(K41='Part 3 DA summary'!K41,0,1)</f>
        <v>0</v>
      </c>
      <c r="AM41" s="1783">
        <f>IF(M41='Part 3 DA summary'!M41,0,1)</f>
        <v>0</v>
      </c>
      <c r="AO41" s="1783">
        <f>IF(O41='Part 3 DA summary'!O41,0,1)</f>
        <v>0</v>
      </c>
      <c r="AQ41" s="1783">
        <f>IF(Q41='Part 3 DA summary'!Q41,0,1)</f>
        <v>0</v>
      </c>
      <c r="AS41" s="1783">
        <f>IF(S41='Part 3 DA summary'!S41,0,1)</f>
        <v>0</v>
      </c>
      <c r="AU41" s="1783">
        <f>IF(U41='Part 3 DA summary'!U41,0,1)</f>
        <v>0</v>
      </c>
      <c r="AW41" s="1783">
        <f>IF(W41='Part 3 DA summary'!W41,0,1)</f>
        <v>0</v>
      </c>
      <c r="AY41" s="1783">
        <f>IF(Y41='Part 3 DA summary'!Y41,0,1)</f>
        <v>0</v>
      </c>
      <c r="BA41" s="1784">
        <f t="shared" si="4"/>
        <v>0</v>
      </c>
    </row>
    <row r="42" spans="1:53" s="1130" customFormat="1" ht="21" customHeight="1" thickBot="1" x14ac:dyDescent="0.25">
      <c r="A42" s="1771">
        <v>30</v>
      </c>
      <c r="B42" s="1753" t="str">
        <f t="shared" si="0"/>
        <v>EZZZZEZ30</v>
      </c>
      <c r="C42" s="1772" t="str">
        <f>'Part 3 DA summary'!C42</f>
        <v/>
      </c>
      <c r="D42" s="1768"/>
      <c r="E42" s="1773">
        <f>'Part 3 DA summary'!E42</f>
        <v>0</v>
      </c>
      <c r="F42" s="1758"/>
      <c r="G42" s="1773">
        <f>'Part 3 DA summary'!G42</f>
        <v>0</v>
      </c>
      <c r="H42" s="1759"/>
      <c r="I42" s="1773">
        <f>'Part 3 DA summary'!I42</f>
        <v>0</v>
      </c>
      <c r="J42" s="1759"/>
      <c r="K42" s="1774" t="str">
        <f t="shared" si="1"/>
        <v/>
      </c>
      <c r="L42" s="1760"/>
      <c r="M42" s="1773">
        <f>'Part 3 DA summary'!M42</f>
        <v>0</v>
      </c>
      <c r="N42" s="1758"/>
      <c r="O42" s="1773">
        <f>'Part 3 DA summary'!O42</f>
        <v>0</v>
      </c>
      <c r="P42" s="1759"/>
      <c r="Q42" s="1775">
        <f>'Part 3 DA summary'!Q42</f>
        <v>0</v>
      </c>
      <c r="R42" s="1759"/>
      <c r="S42" s="1776" t="str">
        <f t="shared" si="2"/>
        <v/>
      </c>
      <c r="T42" s="1759"/>
      <c r="U42" s="1773">
        <f>'Part 3 DA summary'!U42</f>
        <v>0</v>
      </c>
      <c r="V42" s="1758"/>
      <c r="W42" s="1776" t="str">
        <f>IF(C42="","",IF(VLOOKUP('Part 1'!$L$17,TierSplit!$A$6:$AG$332,10,FALSE)&lt;1,U42,0))</f>
        <v/>
      </c>
      <c r="X42" s="1759"/>
      <c r="Y42" s="1776" t="str">
        <f t="shared" si="3"/>
        <v/>
      </c>
      <c r="Z42" s="1759"/>
      <c r="AA42" s="1777"/>
      <c r="AB42" s="1133"/>
      <c r="AC42" s="1783">
        <f>IF(C42='Part 3 DA summary'!C42,0,1)</f>
        <v>0</v>
      </c>
      <c r="AD42" s="1142"/>
      <c r="AE42" s="1783">
        <f>IF(E42='Part 3 DA summary'!E42,0,1)</f>
        <v>0</v>
      </c>
      <c r="AF42" s="1140"/>
      <c r="AG42" s="1783">
        <f>IF(G42='Part 3 DA summary'!G42,0,1)</f>
        <v>0</v>
      </c>
      <c r="AI42" s="1783">
        <f>IF(I42='Part 3 DA summary'!I42,0,1)</f>
        <v>0</v>
      </c>
      <c r="AK42" s="1783">
        <f>IF(K42='Part 3 DA summary'!K42,0,1)</f>
        <v>0</v>
      </c>
      <c r="AM42" s="1783">
        <f>IF(M42='Part 3 DA summary'!M42,0,1)</f>
        <v>0</v>
      </c>
      <c r="AO42" s="1783">
        <f>IF(O42='Part 3 DA summary'!O42,0,1)</f>
        <v>0</v>
      </c>
      <c r="AQ42" s="1783">
        <f>IF(Q42='Part 3 DA summary'!Q42,0,1)</f>
        <v>0</v>
      </c>
      <c r="AS42" s="1783">
        <f>IF(S42='Part 3 DA summary'!S42,0,1)</f>
        <v>0</v>
      </c>
      <c r="AU42" s="1783">
        <f>IF(U42='Part 3 DA summary'!U42,0,1)</f>
        <v>0</v>
      </c>
      <c r="AW42" s="1783">
        <f>IF(W42='Part 3 DA summary'!W42,0,1)</f>
        <v>0</v>
      </c>
      <c r="AY42" s="1783">
        <f>IF(Y42='Part 3 DA summary'!Y42,0,1)</f>
        <v>0</v>
      </c>
      <c r="BA42" s="1784">
        <f t="shared" si="4"/>
        <v>0</v>
      </c>
    </row>
    <row r="43" spans="1:53" s="1130" customFormat="1" ht="21" customHeight="1" thickBot="1" x14ac:dyDescent="0.25">
      <c r="A43" s="1771">
        <v>31</v>
      </c>
      <c r="B43" s="1753" t="str">
        <f t="shared" si="0"/>
        <v>EZZZZEZ31</v>
      </c>
      <c r="C43" s="1772" t="str">
        <f>'Part 3 DA summary'!C43</f>
        <v/>
      </c>
      <c r="D43" s="1768"/>
      <c r="E43" s="1773">
        <f>'Part 3 DA summary'!E43</f>
        <v>0</v>
      </c>
      <c r="F43" s="1758"/>
      <c r="G43" s="1773">
        <f>'Part 3 DA summary'!G43</f>
        <v>0</v>
      </c>
      <c r="H43" s="1759"/>
      <c r="I43" s="1773">
        <f>'Part 3 DA summary'!I43</f>
        <v>0</v>
      </c>
      <c r="J43" s="1759"/>
      <c r="K43" s="1774" t="str">
        <f t="shared" si="1"/>
        <v/>
      </c>
      <c r="L43" s="1760"/>
      <c r="M43" s="1773">
        <f>'Part 3 DA summary'!M43</f>
        <v>0</v>
      </c>
      <c r="N43" s="1758"/>
      <c r="O43" s="1773">
        <f>'Part 3 DA summary'!O43</f>
        <v>0</v>
      </c>
      <c r="P43" s="1759"/>
      <c r="Q43" s="1775">
        <f>'Part 3 DA summary'!Q43</f>
        <v>0</v>
      </c>
      <c r="R43" s="1759"/>
      <c r="S43" s="1776" t="str">
        <f t="shared" si="2"/>
        <v/>
      </c>
      <c r="T43" s="1759"/>
      <c r="U43" s="1773">
        <f>'Part 3 DA summary'!U43</f>
        <v>0</v>
      </c>
      <c r="V43" s="1758"/>
      <c r="W43" s="1776" t="str">
        <f>IF(C43="","",IF(VLOOKUP('Part 1'!$L$17,TierSplit!$A$6:$AG$332,10,FALSE)&lt;1,U43,0))</f>
        <v/>
      </c>
      <c r="X43" s="1759"/>
      <c r="Y43" s="1776" t="str">
        <f t="shared" si="3"/>
        <v/>
      </c>
      <c r="Z43" s="1759"/>
      <c r="AA43" s="1777"/>
      <c r="AB43" s="1133"/>
      <c r="AC43" s="1783">
        <f>IF(C43='Part 3 DA summary'!C43,0,1)</f>
        <v>0</v>
      </c>
      <c r="AD43" s="1142"/>
      <c r="AE43" s="1783">
        <f>IF(E43='Part 3 DA summary'!E43,0,1)</f>
        <v>0</v>
      </c>
      <c r="AF43" s="1140"/>
      <c r="AG43" s="1783">
        <f>IF(G43='Part 3 DA summary'!G43,0,1)</f>
        <v>0</v>
      </c>
      <c r="AI43" s="1783">
        <f>IF(I43='Part 3 DA summary'!I43,0,1)</f>
        <v>0</v>
      </c>
      <c r="AK43" s="1783">
        <f>IF(K43='Part 3 DA summary'!K43,0,1)</f>
        <v>0</v>
      </c>
      <c r="AM43" s="1783">
        <f>IF(M43='Part 3 DA summary'!M43,0,1)</f>
        <v>0</v>
      </c>
      <c r="AO43" s="1783">
        <f>IF(O43='Part 3 DA summary'!O43,0,1)</f>
        <v>0</v>
      </c>
      <c r="AQ43" s="1783">
        <f>IF(Q43='Part 3 DA summary'!Q43,0,1)</f>
        <v>0</v>
      </c>
      <c r="AS43" s="1783">
        <f>IF(S43='Part 3 DA summary'!S43,0,1)</f>
        <v>0</v>
      </c>
      <c r="AU43" s="1783">
        <f>IF(U43='Part 3 DA summary'!U43,0,1)</f>
        <v>0</v>
      </c>
      <c r="AW43" s="1783">
        <f>IF(W43='Part 3 DA summary'!W43,0,1)</f>
        <v>0</v>
      </c>
      <c r="AY43" s="1783">
        <f>IF(Y43='Part 3 DA summary'!Y43,0,1)</f>
        <v>0</v>
      </c>
      <c r="BA43" s="1784">
        <f t="shared" si="4"/>
        <v>0</v>
      </c>
    </row>
    <row r="44" spans="1:53" s="1130" customFormat="1" ht="21" customHeight="1" thickBot="1" x14ac:dyDescent="0.25">
      <c r="A44" s="1771">
        <v>32</v>
      </c>
      <c r="B44" s="1753" t="str">
        <f t="shared" si="0"/>
        <v>EZZZZEZ32</v>
      </c>
      <c r="C44" s="1772" t="str">
        <f>'Part 3 DA summary'!C44</f>
        <v/>
      </c>
      <c r="D44" s="1768"/>
      <c r="E44" s="1773">
        <f>'Part 3 DA summary'!E44</f>
        <v>0</v>
      </c>
      <c r="F44" s="1758"/>
      <c r="G44" s="1773">
        <f>'Part 3 DA summary'!G44</f>
        <v>0</v>
      </c>
      <c r="H44" s="1759"/>
      <c r="I44" s="1773">
        <f>'Part 3 DA summary'!I44</f>
        <v>0</v>
      </c>
      <c r="J44" s="1759"/>
      <c r="K44" s="1774" t="str">
        <f t="shared" si="1"/>
        <v/>
      </c>
      <c r="L44" s="1760"/>
      <c r="M44" s="1773">
        <f>'Part 3 DA summary'!M44</f>
        <v>0</v>
      </c>
      <c r="N44" s="1758"/>
      <c r="O44" s="1773">
        <f>'Part 3 DA summary'!O44</f>
        <v>0</v>
      </c>
      <c r="P44" s="1759"/>
      <c r="Q44" s="1775">
        <f>'Part 3 DA summary'!Q44</f>
        <v>0</v>
      </c>
      <c r="R44" s="1759"/>
      <c r="S44" s="1776" t="str">
        <f t="shared" si="2"/>
        <v/>
      </c>
      <c r="T44" s="1759"/>
      <c r="U44" s="1773">
        <f>'Part 3 DA summary'!U44</f>
        <v>0</v>
      </c>
      <c r="V44" s="1758"/>
      <c r="W44" s="1776" t="str">
        <f>IF(C44="","",IF(VLOOKUP('Part 1'!$L$17,TierSplit!$A$6:$AG$332,10,FALSE)&lt;1,U44,0))</f>
        <v/>
      </c>
      <c r="X44" s="1759"/>
      <c r="Y44" s="1776" t="str">
        <f t="shared" si="3"/>
        <v/>
      </c>
      <c r="Z44" s="1759"/>
      <c r="AA44" s="1777"/>
      <c r="AB44" s="1133"/>
      <c r="AC44" s="1783">
        <f>IF(C44='Part 3 DA summary'!C44,0,1)</f>
        <v>0</v>
      </c>
      <c r="AD44" s="1142"/>
      <c r="AE44" s="1783">
        <f>IF(E44='Part 3 DA summary'!E44,0,1)</f>
        <v>0</v>
      </c>
      <c r="AF44" s="1140"/>
      <c r="AG44" s="1783">
        <f>IF(G44='Part 3 DA summary'!G44,0,1)</f>
        <v>0</v>
      </c>
      <c r="AI44" s="1783">
        <f>IF(I44='Part 3 DA summary'!I44,0,1)</f>
        <v>0</v>
      </c>
      <c r="AK44" s="1783">
        <f>IF(K44='Part 3 DA summary'!K44,0,1)</f>
        <v>0</v>
      </c>
      <c r="AM44" s="1783">
        <f>IF(M44='Part 3 DA summary'!M44,0,1)</f>
        <v>0</v>
      </c>
      <c r="AO44" s="1783">
        <f>IF(O44='Part 3 DA summary'!O44,0,1)</f>
        <v>0</v>
      </c>
      <c r="AQ44" s="1783">
        <f>IF(Q44='Part 3 DA summary'!Q44,0,1)</f>
        <v>0</v>
      </c>
      <c r="AS44" s="1783">
        <f>IF(S44='Part 3 DA summary'!S44,0,1)</f>
        <v>0</v>
      </c>
      <c r="AU44" s="1783">
        <f>IF(U44='Part 3 DA summary'!U44,0,1)</f>
        <v>0</v>
      </c>
      <c r="AW44" s="1783">
        <f>IF(W44='Part 3 DA summary'!W44,0,1)</f>
        <v>0</v>
      </c>
      <c r="AY44" s="1783">
        <f>IF(Y44='Part 3 DA summary'!Y44,0,1)</f>
        <v>0</v>
      </c>
      <c r="BA44" s="1784">
        <f t="shared" si="4"/>
        <v>0</v>
      </c>
    </row>
    <row r="45" spans="1:53" s="1130" customFormat="1" ht="21" customHeight="1" thickBot="1" x14ac:dyDescent="0.25">
      <c r="A45" s="1771">
        <v>33</v>
      </c>
      <c r="B45" s="1753" t="str">
        <f t="shared" si="0"/>
        <v>EZZZZEZ33</v>
      </c>
      <c r="C45" s="1772" t="str">
        <f>'Part 3 DA summary'!C45</f>
        <v/>
      </c>
      <c r="D45" s="1768"/>
      <c r="E45" s="1773">
        <f>'Part 3 DA summary'!E45</f>
        <v>0</v>
      </c>
      <c r="F45" s="1758"/>
      <c r="G45" s="1773">
        <f>'Part 3 DA summary'!G45</f>
        <v>0</v>
      </c>
      <c r="H45" s="1759"/>
      <c r="I45" s="1773">
        <f>'Part 3 DA summary'!I45</f>
        <v>0</v>
      </c>
      <c r="J45" s="1759"/>
      <c r="K45" s="1774" t="str">
        <f t="shared" si="1"/>
        <v/>
      </c>
      <c r="L45" s="1760"/>
      <c r="M45" s="1773">
        <f>'Part 3 DA summary'!M45</f>
        <v>0</v>
      </c>
      <c r="N45" s="1758"/>
      <c r="O45" s="1773">
        <f>'Part 3 DA summary'!O45</f>
        <v>0</v>
      </c>
      <c r="P45" s="1759"/>
      <c r="Q45" s="1775">
        <f>'Part 3 DA summary'!Q45</f>
        <v>0</v>
      </c>
      <c r="R45" s="1759"/>
      <c r="S45" s="1776" t="str">
        <f t="shared" si="2"/>
        <v/>
      </c>
      <c r="T45" s="1759"/>
      <c r="U45" s="1773">
        <f>'Part 3 DA summary'!U45</f>
        <v>0</v>
      </c>
      <c r="V45" s="1758"/>
      <c r="W45" s="1776" t="str">
        <f>IF(C45="","",IF(VLOOKUP('Part 1'!$L$17,TierSplit!$A$6:$AG$332,10,FALSE)&lt;1,U45,0))</f>
        <v/>
      </c>
      <c r="X45" s="1759"/>
      <c r="Y45" s="1776" t="str">
        <f t="shared" si="3"/>
        <v/>
      </c>
      <c r="Z45" s="1759"/>
      <c r="AA45" s="1777"/>
      <c r="AB45" s="1133"/>
      <c r="AC45" s="1783">
        <f>IF(C45='Part 3 DA summary'!C45,0,1)</f>
        <v>0</v>
      </c>
      <c r="AD45" s="1142"/>
      <c r="AE45" s="1783">
        <f>IF(E45='Part 3 DA summary'!E45,0,1)</f>
        <v>0</v>
      </c>
      <c r="AF45" s="1140"/>
      <c r="AG45" s="1783">
        <f>IF(G45='Part 3 DA summary'!G45,0,1)</f>
        <v>0</v>
      </c>
      <c r="AI45" s="1783">
        <f>IF(I45='Part 3 DA summary'!I45,0,1)</f>
        <v>0</v>
      </c>
      <c r="AK45" s="1783">
        <f>IF(K45='Part 3 DA summary'!K45,0,1)</f>
        <v>0</v>
      </c>
      <c r="AM45" s="1783">
        <f>IF(M45='Part 3 DA summary'!M45,0,1)</f>
        <v>0</v>
      </c>
      <c r="AO45" s="1783">
        <f>IF(O45='Part 3 DA summary'!O45,0,1)</f>
        <v>0</v>
      </c>
      <c r="AQ45" s="1783">
        <f>IF(Q45='Part 3 DA summary'!Q45,0,1)</f>
        <v>0</v>
      </c>
      <c r="AS45" s="1783">
        <f>IF(S45='Part 3 DA summary'!S45,0,1)</f>
        <v>0</v>
      </c>
      <c r="AU45" s="1783">
        <f>IF(U45='Part 3 DA summary'!U45,0,1)</f>
        <v>0</v>
      </c>
      <c r="AW45" s="1783">
        <f>IF(W45='Part 3 DA summary'!W45,0,1)</f>
        <v>0</v>
      </c>
      <c r="AY45" s="1783">
        <f>IF(Y45='Part 3 DA summary'!Y45,0,1)</f>
        <v>0</v>
      </c>
      <c r="BA45" s="1784">
        <f t="shared" si="4"/>
        <v>0</v>
      </c>
    </row>
    <row r="46" spans="1:53" s="1130" customFormat="1" ht="21" customHeight="1" thickBot="1" x14ac:dyDescent="0.25">
      <c r="A46" s="1771">
        <v>34</v>
      </c>
      <c r="B46" s="1753" t="str">
        <f t="shared" si="0"/>
        <v>EZZZZEZ34</v>
      </c>
      <c r="C46" s="1772" t="str">
        <f>'Part 3 DA summary'!C46</f>
        <v/>
      </c>
      <c r="D46" s="1768"/>
      <c r="E46" s="1773">
        <f>'Part 3 DA summary'!E46</f>
        <v>0</v>
      </c>
      <c r="F46" s="1758"/>
      <c r="G46" s="1773">
        <f>'Part 3 DA summary'!G46</f>
        <v>0</v>
      </c>
      <c r="H46" s="1759"/>
      <c r="I46" s="1773">
        <f>'Part 3 DA summary'!I46</f>
        <v>0</v>
      </c>
      <c r="J46" s="1759"/>
      <c r="K46" s="1774" t="str">
        <f t="shared" si="1"/>
        <v/>
      </c>
      <c r="L46" s="1760"/>
      <c r="M46" s="1773">
        <f>'Part 3 DA summary'!M46</f>
        <v>0</v>
      </c>
      <c r="N46" s="1758"/>
      <c r="O46" s="1773">
        <f>'Part 3 DA summary'!O46</f>
        <v>0</v>
      </c>
      <c r="P46" s="1759"/>
      <c r="Q46" s="1775">
        <f>'Part 3 DA summary'!Q46</f>
        <v>0</v>
      </c>
      <c r="R46" s="1759"/>
      <c r="S46" s="1776" t="str">
        <f t="shared" si="2"/>
        <v/>
      </c>
      <c r="T46" s="1759"/>
      <c r="U46" s="1773">
        <f>'Part 3 DA summary'!U46</f>
        <v>0</v>
      </c>
      <c r="V46" s="1758"/>
      <c r="W46" s="1776" t="str">
        <f>IF(C46="","",IF(VLOOKUP('Part 1'!$L$17,TierSplit!$A$6:$AG$332,10,FALSE)&lt;1,U46,0))</f>
        <v/>
      </c>
      <c r="X46" s="1759"/>
      <c r="Y46" s="1776" t="str">
        <f t="shared" si="3"/>
        <v/>
      </c>
      <c r="Z46" s="1759"/>
      <c r="AA46" s="1777"/>
      <c r="AB46" s="1133"/>
      <c r="AC46" s="1783">
        <f>IF(C46='Part 3 DA summary'!C46,0,1)</f>
        <v>0</v>
      </c>
      <c r="AD46" s="1142"/>
      <c r="AE46" s="1783">
        <f>IF(E46='Part 3 DA summary'!E46,0,1)</f>
        <v>0</v>
      </c>
      <c r="AF46" s="1140"/>
      <c r="AG46" s="1783">
        <f>IF(G46='Part 3 DA summary'!G46,0,1)</f>
        <v>0</v>
      </c>
      <c r="AI46" s="1783">
        <f>IF(I46='Part 3 DA summary'!I46,0,1)</f>
        <v>0</v>
      </c>
      <c r="AK46" s="1783">
        <f>IF(K46='Part 3 DA summary'!K46,0,1)</f>
        <v>0</v>
      </c>
      <c r="AM46" s="1783">
        <f>IF(M46='Part 3 DA summary'!M46,0,1)</f>
        <v>0</v>
      </c>
      <c r="AO46" s="1783">
        <f>IF(O46='Part 3 DA summary'!O46,0,1)</f>
        <v>0</v>
      </c>
      <c r="AQ46" s="1783">
        <f>IF(Q46='Part 3 DA summary'!Q46,0,1)</f>
        <v>0</v>
      </c>
      <c r="AS46" s="1783">
        <f>IF(S46='Part 3 DA summary'!S46,0,1)</f>
        <v>0</v>
      </c>
      <c r="AU46" s="1783">
        <f>IF(U46='Part 3 DA summary'!U46,0,1)</f>
        <v>0</v>
      </c>
      <c r="AW46" s="1783">
        <f>IF(W46='Part 3 DA summary'!W46,0,1)</f>
        <v>0</v>
      </c>
      <c r="AY46" s="1783">
        <f>IF(Y46='Part 3 DA summary'!Y46,0,1)</f>
        <v>0</v>
      </c>
      <c r="BA46" s="1784">
        <f t="shared" si="4"/>
        <v>0</v>
      </c>
    </row>
    <row r="47" spans="1:53" s="1130" customFormat="1" ht="21" customHeight="1" thickBot="1" x14ac:dyDescent="0.25">
      <c r="A47" s="1771">
        <v>35</v>
      </c>
      <c r="B47" s="1753" t="str">
        <f t="shared" si="0"/>
        <v>EZZZZEZ35</v>
      </c>
      <c r="C47" s="1772" t="str">
        <f>'Part 3 DA summary'!C47</f>
        <v/>
      </c>
      <c r="D47" s="1768"/>
      <c r="E47" s="1773">
        <f>'Part 3 DA summary'!E47</f>
        <v>0</v>
      </c>
      <c r="F47" s="1758"/>
      <c r="G47" s="1773">
        <f>'Part 3 DA summary'!G47</f>
        <v>0</v>
      </c>
      <c r="H47" s="1759"/>
      <c r="I47" s="1773">
        <f>'Part 3 DA summary'!I47</f>
        <v>0</v>
      </c>
      <c r="J47" s="1759"/>
      <c r="K47" s="1774" t="str">
        <f t="shared" si="1"/>
        <v/>
      </c>
      <c r="L47" s="1760"/>
      <c r="M47" s="1773">
        <f>'Part 3 DA summary'!M47</f>
        <v>0</v>
      </c>
      <c r="N47" s="1758"/>
      <c r="O47" s="1773">
        <f>'Part 3 DA summary'!O47</f>
        <v>0</v>
      </c>
      <c r="P47" s="1759"/>
      <c r="Q47" s="1775">
        <f>'Part 3 DA summary'!Q47</f>
        <v>0</v>
      </c>
      <c r="R47" s="1759"/>
      <c r="S47" s="1776" t="str">
        <f t="shared" si="2"/>
        <v/>
      </c>
      <c r="T47" s="1759"/>
      <c r="U47" s="1773">
        <f>'Part 3 DA summary'!U47</f>
        <v>0</v>
      </c>
      <c r="V47" s="1758"/>
      <c r="W47" s="1776" t="str">
        <f>IF(C47="","",IF(VLOOKUP('Part 1'!$L$17,TierSplit!$A$6:$AG$332,10,FALSE)&lt;1,U47,0))</f>
        <v/>
      </c>
      <c r="X47" s="1759"/>
      <c r="Y47" s="1776" t="str">
        <f t="shared" si="3"/>
        <v/>
      </c>
      <c r="Z47" s="1759"/>
      <c r="AA47" s="1777"/>
      <c r="AB47" s="1133"/>
      <c r="AC47" s="1783">
        <f>IF(C47='Part 3 DA summary'!C47,0,1)</f>
        <v>0</v>
      </c>
      <c r="AD47" s="1142"/>
      <c r="AE47" s="1783">
        <f>IF(E47='Part 3 DA summary'!E47,0,1)</f>
        <v>0</v>
      </c>
      <c r="AF47" s="1140"/>
      <c r="AG47" s="1783">
        <f>IF(G47='Part 3 DA summary'!G47,0,1)</f>
        <v>0</v>
      </c>
      <c r="AI47" s="1783">
        <f>IF(I47='Part 3 DA summary'!I47,0,1)</f>
        <v>0</v>
      </c>
      <c r="AK47" s="1783">
        <f>IF(K47='Part 3 DA summary'!K47,0,1)</f>
        <v>0</v>
      </c>
      <c r="AM47" s="1783">
        <f>IF(M47='Part 3 DA summary'!M47,0,1)</f>
        <v>0</v>
      </c>
      <c r="AO47" s="1783">
        <f>IF(O47='Part 3 DA summary'!O47,0,1)</f>
        <v>0</v>
      </c>
      <c r="AQ47" s="1783">
        <f>IF(Q47='Part 3 DA summary'!Q47,0,1)</f>
        <v>0</v>
      </c>
      <c r="AS47" s="1783">
        <f>IF(S47='Part 3 DA summary'!S47,0,1)</f>
        <v>0</v>
      </c>
      <c r="AU47" s="1783">
        <f>IF(U47='Part 3 DA summary'!U47,0,1)</f>
        <v>0</v>
      </c>
      <c r="AW47" s="1783">
        <f>IF(W47='Part 3 DA summary'!W47,0,1)</f>
        <v>0</v>
      </c>
      <c r="AY47" s="1783">
        <f>IF(Y47='Part 3 DA summary'!Y47,0,1)</f>
        <v>0</v>
      </c>
      <c r="BA47" s="1784">
        <f t="shared" si="4"/>
        <v>0</v>
      </c>
    </row>
    <row r="48" spans="1:53" s="1130" customFormat="1" ht="21" customHeight="1" thickBot="1" x14ac:dyDescent="0.25">
      <c r="A48" s="1771">
        <v>36</v>
      </c>
      <c r="B48" s="1753" t="str">
        <f t="shared" si="0"/>
        <v>EZZZZEZ36</v>
      </c>
      <c r="C48" s="1772" t="str">
        <f>'Part 3 DA summary'!C48</f>
        <v/>
      </c>
      <c r="D48" s="1768"/>
      <c r="E48" s="1773">
        <f>'Part 3 DA summary'!E48</f>
        <v>0</v>
      </c>
      <c r="F48" s="1758"/>
      <c r="G48" s="1773">
        <f>'Part 3 DA summary'!G48</f>
        <v>0</v>
      </c>
      <c r="H48" s="1759"/>
      <c r="I48" s="1773">
        <f>'Part 3 DA summary'!I48</f>
        <v>0</v>
      </c>
      <c r="J48" s="1759"/>
      <c r="K48" s="1774" t="str">
        <f t="shared" si="1"/>
        <v/>
      </c>
      <c r="L48" s="1760"/>
      <c r="M48" s="1773">
        <f>'Part 3 DA summary'!M48</f>
        <v>0</v>
      </c>
      <c r="N48" s="1758"/>
      <c r="O48" s="1773">
        <f>'Part 3 DA summary'!O48</f>
        <v>0</v>
      </c>
      <c r="P48" s="1759"/>
      <c r="Q48" s="1775">
        <f>'Part 3 DA summary'!Q48</f>
        <v>0</v>
      </c>
      <c r="R48" s="1759"/>
      <c r="S48" s="1776" t="str">
        <f t="shared" si="2"/>
        <v/>
      </c>
      <c r="T48" s="1759"/>
      <c r="U48" s="1773">
        <f>'Part 3 DA summary'!U48</f>
        <v>0</v>
      </c>
      <c r="V48" s="1758"/>
      <c r="W48" s="1776" t="str">
        <f>IF(C48="","",IF(VLOOKUP('Part 1'!$L$17,TierSplit!$A$6:$AG$332,10,FALSE)&lt;1,U48,0))</f>
        <v/>
      </c>
      <c r="X48" s="1759"/>
      <c r="Y48" s="1776" t="str">
        <f t="shared" si="3"/>
        <v/>
      </c>
      <c r="Z48" s="1759"/>
      <c r="AA48" s="1777"/>
      <c r="AB48" s="1133"/>
      <c r="AC48" s="1783">
        <f>IF(C48='Part 3 DA summary'!C48,0,1)</f>
        <v>0</v>
      </c>
      <c r="AD48" s="1142"/>
      <c r="AE48" s="1783">
        <f>IF(E48='Part 3 DA summary'!E48,0,1)</f>
        <v>0</v>
      </c>
      <c r="AF48" s="1140"/>
      <c r="AG48" s="1783">
        <f>IF(G48='Part 3 DA summary'!G48,0,1)</f>
        <v>0</v>
      </c>
      <c r="AI48" s="1783">
        <f>IF(I48='Part 3 DA summary'!I48,0,1)</f>
        <v>0</v>
      </c>
      <c r="AK48" s="1783">
        <f>IF(K48='Part 3 DA summary'!K48,0,1)</f>
        <v>0</v>
      </c>
      <c r="AM48" s="1783">
        <f>IF(M48='Part 3 DA summary'!M48,0,1)</f>
        <v>0</v>
      </c>
      <c r="AO48" s="1783">
        <f>IF(O48='Part 3 DA summary'!O48,0,1)</f>
        <v>0</v>
      </c>
      <c r="AQ48" s="1783">
        <f>IF(Q48='Part 3 DA summary'!Q48,0,1)</f>
        <v>0</v>
      </c>
      <c r="AS48" s="1783">
        <f>IF(S48='Part 3 DA summary'!S48,0,1)</f>
        <v>0</v>
      </c>
      <c r="AU48" s="1783">
        <f>IF(U48='Part 3 DA summary'!U48,0,1)</f>
        <v>0</v>
      </c>
      <c r="AW48" s="1783">
        <f>IF(W48='Part 3 DA summary'!W48,0,1)</f>
        <v>0</v>
      </c>
      <c r="AY48" s="1783">
        <f>IF(Y48='Part 3 DA summary'!Y48,0,1)</f>
        <v>0</v>
      </c>
      <c r="BA48" s="1784">
        <f t="shared" si="4"/>
        <v>0</v>
      </c>
    </row>
    <row r="49" spans="1:53" s="1130" customFormat="1" ht="21" customHeight="1" thickBot="1" x14ac:dyDescent="0.25">
      <c r="A49" s="1771">
        <v>37</v>
      </c>
      <c r="B49" s="1753" t="str">
        <f t="shared" si="0"/>
        <v>EZZZZEZ37</v>
      </c>
      <c r="C49" s="1772" t="str">
        <f>'Part 3 DA summary'!C49</f>
        <v/>
      </c>
      <c r="D49" s="1768"/>
      <c r="E49" s="1773">
        <f>'Part 3 DA summary'!E49</f>
        <v>0</v>
      </c>
      <c r="F49" s="1758"/>
      <c r="G49" s="1773">
        <f>'Part 3 DA summary'!G49</f>
        <v>0</v>
      </c>
      <c r="H49" s="1759"/>
      <c r="I49" s="1773">
        <f>'Part 3 DA summary'!I49</f>
        <v>0</v>
      </c>
      <c r="J49" s="1759"/>
      <c r="K49" s="1774" t="str">
        <f t="shared" si="1"/>
        <v/>
      </c>
      <c r="L49" s="1760"/>
      <c r="M49" s="1773">
        <f>'Part 3 DA summary'!M49</f>
        <v>0</v>
      </c>
      <c r="N49" s="1758"/>
      <c r="O49" s="1773">
        <f>'Part 3 DA summary'!O49</f>
        <v>0</v>
      </c>
      <c r="P49" s="1759"/>
      <c r="Q49" s="1775">
        <f>'Part 3 DA summary'!Q49</f>
        <v>0</v>
      </c>
      <c r="R49" s="1759"/>
      <c r="S49" s="1776" t="str">
        <f t="shared" si="2"/>
        <v/>
      </c>
      <c r="T49" s="1759"/>
      <c r="U49" s="1773">
        <f>'Part 3 DA summary'!U49</f>
        <v>0</v>
      </c>
      <c r="V49" s="1758"/>
      <c r="W49" s="1776" t="str">
        <f>IF(C49="","",IF(VLOOKUP('Part 1'!$L$17,TierSplit!$A$6:$AG$332,10,FALSE)&lt;1,U49,0))</f>
        <v/>
      </c>
      <c r="X49" s="1759"/>
      <c r="Y49" s="1776" t="str">
        <f t="shared" si="3"/>
        <v/>
      </c>
      <c r="Z49" s="1759"/>
      <c r="AA49" s="1777"/>
      <c r="AB49" s="1133"/>
      <c r="AC49" s="1783">
        <f>IF(C49='Part 3 DA summary'!C49,0,1)</f>
        <v>0</v>
      </c>
      <c r="AD49" s="1142"/>
      <c r="AE49" s="1783">
        <f>IF(E49='Part 3 DA summary'!E49,0,1)</f>
        <v>0</v>
      </c>
      <c r="AF49" s="1140"/>
      <c r="AG49" s="1783">
        <f>IF(G49='Part 3 DA summary'!G49,0,1)</f>
        <v>0</v>
      </c>
      <c r="AI49" s="1783">
        <f>IF(I49='Part 3 DA summary'!I49,0,1)</f>
        <v>0</v>
      </c>
      <c r="AK49" s="1783">
        <f>IF(K49='Part 3 DA summary'!K49,0,1)</f>
        <v>0</v>
      </c>
      <c r="AM49" s="1783">
        <f>IF(M49='Part 3 DA summary'!M49,0,1)</f>
        <v>0</v>
      </c>
      <c r="AO49" s="1783">
        <f>IF(O49='Part 3 DA summary'!O49,0,1)</f>
        <v>0</v>
      </c>
      <c r="AQ49" s="1783">
        <f>IF(Q49='Part 3 DA summary'!Q49,0,1)</f>
        <v>0</v>
      </c>
      <c r="AS49" s="1783">
        <f>IF(S49='Part 3 DA summary'!S49,0,1)</f>
        <v>0</v>
      </c>
      <c r="AU49" s="1783">
        <f>IF(U49='Part 3 DA summary'!U49,0,1)</f>
        <v>0</v>
      </c>
      <c r="AW49" s="1783">
        <f>IF(W49='Part 3 DA summary'!W49,0,1)</f>
        <v>0</v>
      </c>
      <c r="AY49" s="1783">
        <f>IF(Y49='Part 3 DA summary'!Y49,0,1)</f>
        <v>0</v>
      </c>
      <c r="BA49" s="1784">
        <f t="shared" si="4"/>
        <v>0</v>
      </c>
    </row>
    <row r="50" spans="1:53" s="1130" customFormat="1" ht="21" customHeight="1" thickBot="1" x14ac:dyDescent="0.25">
      <c r="A50" s="1771">
        <v>38</v>
      </c>
      <c r="B50" s="1753" t="str">
        <f t="shared" si="0"/>
        <v>EZZZZEZ38</v>
      </c>
      <c r="C50" s="1772" t="str">
        <f>'Part 3 DA summary'!C50</f>
        <v/>
      </c>
      <c r="D50" s="1768"/>
      <c r="E50" s="1773">
        <f>'Part 3 DA summary'!E50</f>
        <v>0</v>
      </c>
      <c r="F50" s="1758"/>
      <c r="G50" s="1773">
        <f>'Part 3 DA summary'!G50</f>
        <v>0</v>
      </c>
      <c r="H50" s="1759"/>
      <c r="I50" s="1773">
        <f>'Part 3 DA summary'!I50</f>
        <v>0</v>
      </c>
      <c r="J50" s="1759"/>
      <c r="K50" s="1774" t="str">
        <f t="shared" si="1"/>
        <v/>
      </c>
      <c r="L50" s="1760"/>
      <c r="M50" s="1773">
        <f>'Part 3 DA summary'!M50</f>
        <v>0</v>
      </c>
      <c r="N50" s="1758"/>
      <c r="O50" s="1773">
        <f>'Part 3 DA summary'!O50</f>
        <v>0</v>
      </c>
      <c r="P50" s="1759"/>
      <c r="Q50" s="1775">
        <f>'Part 3 DA summary'!Q50</f>
        <v>0</v>
      </c>
      <c r="R50" s="1759"/>
      <c r="S50" s="1776" t="str">
        <f t="shared" si="2"/>
        <v/>
      </c>
      <c r="T50" s="1759"/>
      <c r="U50" s="1773">
        <f>'Part 3 DA summary'!U50</f>
        <v>0</v>
      </c>
      <c r="V50" s="1758"/>
      <c r="W50" s="1776" t="str">
        <f>IF(C50="","",IF(VLOOKUP('Part 1'!$L$17,TierSplit!$A$6:$AG$332,10,FALSE)&lt;1,U50,0))</f>
        <v/>
      </c>
      <c r="X50" s="1759"/>
      <c r="Y50" s="1776" t="str">
        <f t="shared" si="3"/>
        <v/>
      </c>
      <c r="Z50" s="1759"/>
      <c r="AA50" s="1777"/>
      <c r="AB50" s="1133"/>
      <c r="AC50" s="1783">
        <f>IF(C50='Part 3 DA summary'!C50,0,1)</f>
        <v>0</v>
      </c>
      <c r="AD50" s="1142"/>
      <c r="AE50" s="1783">
        <f>IF(E50='Part 3 DA summary'!E50,0,1)</f>
        <v>0</v>
      </c>
      <c r="AF50" s="1140"/>
      <c r="AG50" s="1783">
        <f>IF(G50='Part 3 DA summary'!G50,0,1)</f>
        <v>0</v>
      </c>
      <c r="AI50" s="1783">
        <f>IF(I50='Part 3 DA summary'!I50,0,1)</f>
        <v>0</v>
      </c>
      <c r="AK50" s="1783">
        <f>IF(K50='Part 3 DA summary'!K50,0,1)</f>
        <v>0</v>
      </c>
      <c r="AM50" s="1783">
        <f>IF(M50='Part 3 DA summary'!M50,0,1)</f>
        <v>0</v>
      </c>
      <c r="AO50" s="1783">
        <f>IF(O50='Part 3 DA summary'!O50,0,1)</f>
        <v>0</v>
      </c>
      <c r="AQ50" s="1783">
        <f>IF(Q50='Part 3 DA summary'!Q50,0,1)</f>
        <v>0</v>
      </c>
      <c r="AS50" s="1783">
        <f>IF(S50='Part 3 DA summary'!S50,0,1)</f>
        <v>0</v>
      </c>
      <c r="AU50" s="1783">
        <f>IF(U50='Part 3 DA summary'!U50,0,1)</f>
        <v>0</v>
      </c>
      <c r="AW50" s="1783">
        <f>IF(W50='Part 3 DA summary'!W50,0,1)</f>
        <v>0</v>
      </c>
      <c r="AY50" s="1783">
        <f>IF(Y50='Part 3 DA summary'!Y50,0,1)</f>
        <v>0</v>
      </c>
      <c r="BA50" s="1784">
        <f t="shared" si="4"/>
        <v>0</v>
      </c>
    </row>
    <row r="51" spans="1:53" s="1130" customFormat="1" ht="21" customHeight="1" thickBot="1" x14ac:dyDescent="0.25">
      <c r="A51" s="1771">
        <v>39</v>
      </c>
      <c r="B51" s="1753" t="str">
        <f t="shared" si="0"/>
        <v>EZZZZEZ39</v>
      </c>
      <c r="C51" s="1772" t="str">
        <f>'Part 3 DA summary'!C51</f>
        <v/>
      </c>
      <c r="D51" s="1768"/>
      <c r="E51" s="1773">
        <f>'Part 3 DA summary'!E51</f>
        <v>0</v>
      </c>
      <c r="F51" s="1758"/>
      <c r="G51" s="1773">
        <f>'Part 3 DA summary'!G51</f>
        <v>0</v>
      </c>
      <c r="H51" s="1759"/>
      <c r="I51" s="1773">
        <f>'Part 3 DA summary'!I51</f>
        <v>0</v>
      </c>
      <c r="J51" s="1759"/>
      <c r="K51" s="1774" t="str">
        <f t="shared" si="1"/>
        <v/>
      </c>
      <c r="L51" s="1760"/>
      <c r="M51" s="1773">
        <f>'Part 3 DA summary'!M51</f>
        <v>0</v>
      </c>
      <c r="N51" s="1758"/>
      <c r="O51" s="1773">
        <f>'Part 3 DA summary'!O51</f>
        <v>0</v>
      </c>
      <c r="P51" s="1759"/>
      <c r="Q51" s="1775">
        <f>'Part 3 DA summary'!Q51</f>
        <v>0</v>
      </c>
      <c r="R51" s="1759"/>
      <c r="S51" s="1776" t="str">
        <f t="shared" si="2"/>
        <v/>
      </c>
      <c r="T51" s="1759"/>
      <c r="U51" s="1773">
        <f>'Part 3 DA summary'!U51</f>
        <v>0</v>
      </c>
      <c r="V51" s="1758"/>
      <c r="W51" s="1776" t="str">
        <f>IF(C51="","",IF(VLOOKUP('Part 1'!$L$17,TierSplit!$A$6:$AG$332,10,FALSE)&lt;1,U51,0))</f>
        <v/>
      </c>
      <c r="X51" s="1759"/>
      <c r="Y51" s="1776" t="str">
        <f t="shared" si="3"/>
        <v/>
      </c>
      <c r="Z51" s="1759"/>
      <c r="AA51" s="1777"/>
      <c r="AB51" s="1133"/>
      <c r="AC51" s="1783">
        <f>IF(C51='Part 3 DA summary'!C51,0,1)</f>
        <v>0</v>
      </c>
      <c r="AD51" s="1142"/>
      <c r="AE51" s="1783">
        <f>IF(E51='Part 3 DA summary'!E51,0,1)</f>
        <v>0</v>
      </c>
      <c r="AF51" s="1140"/>
      <c r="AG51" s="1783">
        <f>IF(G51='Part 3 DA summary'!G51,0,1)</f>
        <v>0</v>
      </c>
      <c r="AI51" s="1783">
        <f>IF(I51='Part 3 DA summary'!I51,0,1)</f>
        <v>0</v>
      </c>
      <c r="AK51" s="1783">
        <f>IF(K51='Part 3 DA summary'!K51,0,1)</f>
        <v>0</v>
      </c>
      <c r="AM51" s="1783">
        <f>IF(M51='Part 3 DA summary'!M51,0,1)</f>
        <v>0</v>
      </c>
      <c r="AO51" s="1783">
        <f>IF(O51='Part 3 DA summary'!O51,0,1)</f>
        <v>0</v>
      </c>
      <c r="AQ51" s="1783">
        <f>IF(Q51='Part 3 DA summary'!Q51,0,1)</f>
        <v>0</v>
      </c>
      <c r="AS51" s="1783">
        <f>IF(S51='Part 3 DA summary'!S51,0,1)</f>
        <v>0</v>
      </c>
      <c r="AU51" s="1783">
        <f>IF(U51='Part 3 DA summary'!U51,0,1)</f>
        <v>0</v>
      </c>
      <c r="AW51" s="1783">
        <f>IF(W51='Part 3 DA summary'!W51,0,1)</f>
        <v>0</v>
      </c>
      <c r="AY51" s="1783">
        <f>IF(Y51='Part 3 DA summary'!Y51,0,1)</f>
        <v>0</v>
      </c>
      <c r="BA51" s="1784">
        <f t="shared" si="4"/>
        <v>0</v>
      </c>
    </row>
    <row r="52" spans="1:53" s="1130" customFormat="1" ht="21" customHeight="1" thickBot="1" x14ac:dyDescent="0.25">
      <c r="A52" s="1771">
        <v>40</v>
      </c>
      <c r="B52" s="1753" t="str">
        <f t="shared" si="0"/>
        <v>EZZZZEZ40</v>
      </c>
      <c r="C52" s="1772" t="str">
        <f>'Part 3 DA summary'!C52</f>
        <v/>
      </c>
      <c r="D52" s="1768"/>
      <c r="E52" s="1773">
        <f>'Part 3 DA summary'!E52</f>
        <v>0</v>
      </c>
      <c r="F52" s="1758"/>
      <c r="G52" s="1773">
        <f>'Part 3 DA summary'!G52</f>
        <v>0</v>
      </c>
      <c r="H52" s="1759"/>
      <c r="I52" s="1773">
        <f>'Part 3 DA summary'!I52</f>
        <v>0</v>
      </c>
      <c r="J52" s="1759"/>
      <c r="K52" s="1774" t="str">
        <f t="shared" si="1"/>
        <v/>
      </c>
      <c r="L52" s="1760"/>
      <c r="M52" s="1773">
        <f>'Part 3 DA summary'!M52</f>
        <v>0</v>
      </c>
      <c r="N52" s="1758"/>
      <c r="O52" s="1773">
        <f>'Part 3 DA summary'!O52</f>
        <v>0</v>
      </c>
      <c r="P52" s="1759"/>
      <c r="Q52" s="1775">
        <f>'Part 3 DA summary'!Q52</f>
        <v>0</v>
      </c>
      <c r="R52" s="1759"/>
      <c r="S52" s="1776" t="str">
        <f t="shared" si="2"/>
        <v/>
      </c>
      <c r="T52" s="1759"/>
      <c r="U52" s="1773">
        <f>'Part 3 DA summary'!U52</f>
        <v>0</v>
      </c>
      <c r="V52" s="1758"/>
      <c r="W52" s="1776" t="str">
        <f>IF(C52="","",IF(VLOOKUP('Part 1'!$L$17,TierSplit!$A$6:$AG$332,10,FALSE)&lt;1,U52,0))</f>
        <v/>
      </c>
      <c r="X52" s="1759"/>
      <c r="Y52" s="1776" t="str">
        <f t="shared" si="3"/>
        <v/>
      </c>
      <c r="Z52" s="1759"/>
      <c r="AA52" s="1777"/>
      <c r="AB52" s="1133"/>
      <c r="AC52" s="1783">
        <f>IF(C52='Part 3 DA summary'!C52,0,1)</f>
        <v>0</v>
      </c>
      <c r="AD52" s="1142"/>
      <c r="AE52" s="1783">
        <f>IF(E52='Part 3 DA summary'!E52,0,1)</f>
        <v>0</v>
      </c>
      <c r="AF52" s="1140"/>
      <c r="AG52" s="1783">
        <f>IF(G52='Part 3 DA summary'!G52,0,1)</f>
        <v>0</v>
      </c>
      <c r="AI52" s="1783">
        <f>IF(I52='Part 3 DA summary'!I52,0,1)</f>
        <v>0</v>
      </c>
      <c r="AK52" s="1783">
        <f>IF(K52='Part 3 DA summary'!K52,0,1)</f>
        <v>0</v>
      </c>
      <c r="AM52" s="1783">
        <f>IF(M52='Part 3 DA summary'!M52,0,1)</f>
        <v>0</v>
      </c>
      <c r="AO52" s="1783">
        <f>IF(O52='Part 3 DA summary'!O52,0,1)</f>
        <v>0</v>
      </c>
      <c r="AQ52" s="1783">
        <f>IF(Q52='Part 3 DA summary'!Q52,0,1)</f>
        <v>0</v>
      </c>
      <c r="AS52" s="1783">
        <f>IF(S52='Part 3 DA summary'!S52,0,1)</f>
        <v>0</v>
      </c>
      <c r="AU52" s="1783">
        <f>IF(U52='Part 3 DA summary'!U52,0,1)</f>
        <v>0</v>
      </c>
      <c r="AW52" s="1783">
        <f>IF(W52='Part 3 DA summary'!W52,0,1)</f>
        <v>0</v>
      </c>
      <c r="AY52" s="1783">
        <f>IF(Y52='Part 3 DA summary'!Y52,0,1)</f>
        <v>0</v>
      </c>
      <c r="BA52" s="1784">
        <f t="shared" si="4"/>
        <v>0</v>
      </c>
    </row>
    <row r="53" spans="1:53" s="1130" customFormat="1" ht="21" customHeight="1" thickBot="1" x14ac:dyDescent="0.25">
      <c r="A53" s="1771">
        <v>41</v>
      </c>
      <c r="B53" s="1753" t="str">
        <f t="shared" si="0"/>
        <v>EZZZZEZ41</v>
      </c>
      <c r="C53" s="1772" t="str">
        <f>'Part 3 DA summary'!C53</f>
        <v/>
      </c>
      <c r="D53" s="1768"/>
      <c r="E53" s="1773">
        <f>'Part 3 DA summary'!E53</f>
        <v>0</v>
      </c>
      <c r="F53" s="1758"/>
      <c r="G53" s="1773">
        <f>'Part 3 DA summary'!G53</f>
        <v>0</v>
      </c>
      <c r="H53" s="1759"/>
      <c r="I53" s="1773">
        <f>'Part 3 DA summary'!I53</f>
        <v>0</v>
      </c>
      <c r="J53" s="1759"/>
      <c r="K53" s="1774" t="str">
        <f t="shared" si="1"/>
        <v/>
      </c>
      <c r="L53" s="1760"/>
      <c r="M53" s="1773">
        <f>'Part 3 DA summary'!M53</f>
        <v>0</v>
      </c>
      <c r="N53" s="1758"/>
      <c r="O53" s="1773">
        <f>'Part 3 DA summary'!O53</f>
        <v>0</v>
      </c>
      <c r="P53" s="1759"/>
      <c r="Q53" s="1775">
        <f>'Part 3 DA summary'!Q53</f>
        <v>0</v>
      </c>
      <c r="R53" s="1759"/>
      <c r="S53" s="1776" t="str">
        <f t="shared" si="2"/>
        <v/>
      </c>
      <c r="T53" s="1759"/>
      <c r="U53" s="1773">
        <f>'Part 3 DA summary'!U53</f>
        <v>0</v>
      </c>
      <c r="V53" s="1758"/>
      <c r="W53" s="1776" t="str">
        <f>IF(C53="","",IF(VLOOKUP('Part 1'!$L$17,TierSplit!$A$6:$AG$332,10,FALSE)&lt;1,U53,0))</f>
        <v/>
      </c>
      <c r="X53" s="1759"/>
      <c r="Y53" s="1776" t="str">
        <f t="shared" si="3"/>
        <v/>
      </c>
      <c r="Z53" s="1759"/>
      <c r="AA53" s="1777"/>
      <c r="AB53" s="1133"/>
      <c r="AC53" s="1783">
        <f>IF(C53='Part 3 DA summary'!C53,0,1)</f>
        <v>0</v>
      </c>
      <c r="AD53" s="1142"/>
      <c r="AE53" s="1783">
        <f>IF(E53='Part 3 DA summary'!E53,0,1)</f>
        <v>0</v>
      </c>
      <c r="AF53" s="1140"/>
      <c r="AG53" s="1783">
        <f>IF(G53='Part 3 DA summary'!G53,0,1)</f>
        <v>0</v>
      </c>
      <c r="AI53" s="1783">
        <f>IF(I53='Part 3 DA summary'!I53,0,1)</f>
        <v>0</v>
      </c>
      <c r="AK53" s="1783">
        <f>IF(K53='Part 3 DA summary'!K53,0,1)</f>
        <v>0</v>
      </c>
      <c r="AM53" s="1783">
        <f>IF(M53='Part 3 DA summary'!M53,0,1)</f>
        <v>0</v>
      </c>
      <c r="AO53" s="1783">
        <f>IF(O53='Part 3 DA summary'!O53,0,1)</f>
        <v>0</v>
      </c>
      <c r="AQ53" s="1783">
        <f>IF(Q53='Part 3 DA summary'!Q53,0,1)</f>
        <v>0</v>
      </c>
      <c r="AS53" s="1783">
        <f>IF(S53='Part 3 DA summary'!S53,0,1)</f>
        <v>0</v>
      </c>
      <c r="AU53" s="1783">
        <f>IF(U53='Part 3 DA summary'!U53,0,1)</f>
        <v>0</v>
      </c>
      <c r="AW53" s="1783">
        <f>IF(W53='Part 3 DA summary'!W53,0,1)</f>
        <v>0</v>
      </c>
      <c r="AY53" s="1783">
        <f>IF(Y53='Part 3 DA summary'!Y53,0,1)</f>
        <v>0</v>
      </c>
      <c r="BA53" s="1784">
        <f t="shared" si="4"/>
        <v>0</v>
      </c>
    </row>
    <row r="54" spans="1:53" x14ac:dyDescent="0.2">
      <c r="A54" s="1753"/>
      <c r="B54" s="1753"/>
      <c r="C54" s="1753"/>
      <c r="D54" s="1753"/>
      <c r="E54" s="1753"/>
      <c r="F54" s="1753"/>
      <c r="G54" s="1753"/>
      <c r="H54" s="1753"/>
      <c r="I54" s="1753"/>
      <c r="J54" s="1753"/>
      <c r="K54" s="1753"/>
      <c r="L54" s="1753"/>
      <c r="M54" s="1753"/>
      <c r="N54" s="1753"/>
      <c r="O54" s="1753"/>
      <c r="P54" s="1753"/>
      <c r="Q54" s="1753"/>
      <c r="R54" s="1753"/>
      <c r="S54" s="1753"/>
      <c r="T54" s="1753"/>
      <c r="U54" s="1753"/>
      <c r="V54" s="1753"/>
      <c r="W54" s="1753"/>
      <c r="X54" s="1753"/>
      <c r="Y54" s="1753"/>
      <c r="Z54" s="1753"/>
      <c r="AA54" s="1753"/>
      <c r="AB54" s="1128"/>
    </row>
    <row r="55" spans="1:53" x14ac:dyDescent="0.2">
      <c r="A55" s="1748"/>
      <c r="B55" s="1778"/>
      <c r="C55" s="1779"/>
      <c r="D55" s="1779"/>
      <c r="E55" s="1779"/>
      <c r="F55" s="1779"/>
      <c r="G55" s="1779"/>
      <c r="H55" s="1779"/>
      <c r="I55" s="1780"/>
      <c r="M55" s="1779"/>
      <c r="N55" s="1779"/>
      <c r="O55" s="1779"/>
      <c r="P55" s="1779"/>
      <c r="Q55" s="1780"/>
      <c r="U55" s="1779"/>
      <c r="V55" s="1779"/>
      <c r="W55" s="1779"/>
      <c r="X55" s="1779"/>
      <c r="Y55" s="1780"/>
    </row>
    <row r="56" spans="1:53" x14ac:dyDescent="0.2">
      <c r="A56" s="1748"/>
      <c r="B56" s="1782"/>
      <c r="C56" s="1782"/>
      <c r="D56" s="1782"/>
      <c r="E56" s="1782"/>
      <c r="F56" s="1782"/>
      <c r="G56" s="1782"/>
      <c r="H56" s="1782"/>
      <c r="I56" s="1782"/>
      <c r="M56" s="1782"/>
      <c r="N56" s="1782"/>
      <c r="O56" s="1782"/>
      <c r="P56" s="1782"/>
      <c r="Q56" s="1782"/>
      <c r="U56" s="1782"/>
      <c r="V56" s="1782"/>
      <c r="W56" s="1782"/>
      <c r="X56" s="1782"/>
      <c r="Y56" s="1782"/>
    </row>
    <row r="57" spans="1:53" x14ac:dyDescent="0.2">
      <c r="A57" s="1748"/>
      <c r="B57" s="2551"/>
      <c r="C57" s="2552"/>
      <c r="D57" s="2552"/>
      <c r="E57" s="2552"/>
      <c r="F57" s="2552"/>
      <c r="G57" s="2552"/>
      <c r="H57" s="2552"/>
      <c r="I57" s="2552"/>
      <c r="M57" s="1748"/>
      <c r="N57" s="1748"/>
      <c r="O57" s="1748"/>
      <c r="P57" s="1748"/>
      <c r="Q57" s="1748"/>
    </row>
  </sheetData>
  <mergeCells count="9">
    <mergeCell ref="B12:C12"/>
    <mergeCell ref="B57:I57"/>
    <mergeCell ref="A1:AA1"/>
    <mergeCell ref="G7:K7"/>
    <mergeCell ref="O7:S7"/>
    <mergeCell ref="W7:Z7"/>
    <mergeCell ref="G9:I9"/>
    <mergeCell ref="M9:S9"/>
    <mergeCell ref="U9:W9"/>
  </mergeCells>
  <dataValidations count="1">
    <dataValidation type="custom" operator="equal" allowBlank="1" showInputMessage="1" showErrorMessage="1" error="The number setting their own council tax precept exceeds the sum of parishes and Charter Trustees" sqref="AA13:AA53">
      <formula1>#REF!=0</formula1>
    </dataValidation>
  </dataValidations>
  <printOptions horizontalCentered="1"/>
  <pageMargins left="0.39370078740157483" right="0.39370078740157483" top="0.59055118110236227" bottom="0.59055118110236227" header="0.31496062992125984" footer="0.31496062992125984"/>
  <pageSetup paperSize="9" scale="17" fitToHeight="5" orientation="portrait" r:id="rId1"/>
  <headerFooter alignWithMargins="0">
    <oddHeade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pageSetUpPr fitToPage="1"/>
  </sheetPr>
  <dimension ref="A1:Y79"/>
  <sheetViews>
    <sheetView workbookViewId="0"/>
  </sheetViews>
  <sheetFormatPr defaultRowHeight="15" x14ac:dyDescent="0.2"/>
  <cols>
    <col min="1" max="2" width="1.7109375" style="1407" customWidth="1"/>
    <col min="3" max="4" width="14.28515625" style="1407" customWidth="1"/>
    <col min="5" max="5" width="47.42578125" style="1407" customWidth="1"/>
    <col min="6" max="7" width="14.28515625" style="1407" customWidth="1"/>
    <col min="8" max="8" width="3.7109375" style="1407" customWidth="1"/>
    <col min="9" max="10" width="11.42578125" style="1407" customWidth="1"/>
    <col min="11" max="11" width="5.28515625" style="1407" customWidth="1"/>
    <col min="12" max="13" width="11.5703125" style="1407" customWidth="1"/>
    <col min="14" max="15" width="1.7109375" style="1407" customWidth="1"/>
    <col min="16" max="16" width="10.140625" bestFit="1" customWidth="1"/>
    <col min="18" max="18" width="11.7109375" style="497" hidden="1" customWidth="1"/>
  </cols>
  <sheetData>
    <row r="1" spans="1:19" x14ac:dyDescent="0.2">
      <c r="A1" s="1368"/>
      <c r="B1" s="1369"/>
      <c r="C1" s="1369"/>
      <c r="D1" s="1369"/>
      <c r="E1" s="1369"/>
      <c r="F1" s="1369"/>
      <c r="G1" s="1369"/>
      <c r="H1" s="1369"/>
      <c r="I1" s="1369"/>
      <c r="J1" s="1369"/>
      <c r="K1" s="1369"/>
      <c r="L1" s="1369"/>
      <c r="M1" s="1369"/>
      <c r="N1" s="1369"/>
      <c r="O1" s="1370"/>
    </row>
    <row r="2" spans="1:19" ht="15.75" x14ac:dyDescent="0.25">
      <c r="A2" s="2540" t="s">
        <v>36</v>
      </c>
      <c r="B2" s="2541"/>
      <c r="C2" s="2541"/>
      <c r="D2" s="2541"/>
      <c r="E2" s="2541"/>
      <c r="F2" s="2541"/>
      <c r="G2" s="2541"/>
      <c r="H2" s="2541"/>
      <c r="I2" s="2541"/>
      <c r="J2" s="2541"/>
      <c r="K2" s="2541"/>
      <c r="L2" s="2541"/>
      <c r="M2" s="2541"/>
      <c r="N2" s="2541"/>
      <c r="O2" s="2542"/>
    </row>
    <row r="3" spans="1:19" ht="15.75" x14ac:dyDescent="0.25">
      <c r="A3" s="2543" t="s">
        <v>2119</v>
      </c>
      <c r="B3" s="2544"/>
      <c r="C3" s="2544"/>
      <c r="D3" s="2544"/>
      <c r="E3" s="2544"/>
      <c r="F3" s="2544"/>
      <c r="G3" s="2544"/>
      <c r="H3" s="2544"/>
      <c r="I3" s="2544"/>
      <c r="J3" s="2544"/>
      <c r="K3" s="2544"/>
      <c r="L3" s="2544"/>
      <c r="M3" s="2544"/>
      <c r="N3" s="2544"/>
      <c r="O3" s="2545"/>
    </row>
    <row r="4" spans="1:19" ht="15.75" x14ac:dyDescent="0.25">
      <c r="A4" s="1549"/>
      <c r="B4" s="1550"/>
      <c r="C4" s="1550"/>
      <c r="D4" s="1550"/>
      <c r="E4" s="1550"/>
      <c r="F4" s="1550"/>
      <c r="G4" s="1550"/>
      <c r="H4" s="1550"/>
      <c r="I4" s="1550"/>
      <c r="J4" s="1550"/>
      <c r="K4" s="1550"/>
      <c r="L4" s="1550"/>
      <c r="M4" s="1550"/>
      <c r="N4" s="1550"/>
      <c r="O4" s="1551"/>
    </row>
    <row r="5" spans="1:19" x14ac:dyDescent="0.2">
      <c r="A5" s="2546" t="s">
        <v>1070</v>
      </c>
      <c r="B5" s="2535"/>
      <c r="C5" s="2535"/>
      <c r="D5" s="2535"/>
      <c r="E5" s="2535"/>
      <c r="F5" s="2535"/>
      <c r="G5" s="2535"/>
      <c r="H5" s="2535"/>
      <c r="I5" s="2535"/>
      <c r="J5" s="2535"/>
      <c r="K5" s="2535"/>
      <c r="L5" s="2535"/>
      <c r="M5" s="2535"/>
      <c r="N5" s="2535"/>
      <c r="O5" s="2547"/>
    </row>
    <row r="6" spans="1:19" x14ac:dyDescent="0.2">
      <c r="A6" s="1552"/>
      <c r="B6" s="1550"/>
      <c r="C6" s="1550"/>
      <c r="D6" s="1550"/>
      <c r="E6" s="1550"/>
      <c r="F6" s="1550"/>
      <c r="G6" s="1550"/>
      <c r="H6" s="1550"/>
      <c r="I6" s="1550"/>
      <c r="J6" s="1550"/>
      <c r="K6" s="1550"/>
      <c r="L6" s="1550"/>
      <c r="M6" s="1550"/>
      <c r="N6" s="1550"/>
      <c r="O6" s="1551"/>
    </row>
    <row r="7" spans="1:19" x14ac:dyDescent="0.2">
      <c r="A7" s="2546" t="str">
        <f>+IF('Main Validation'!M48=0,"If you are content with your answers please return this form to DCLG as soon as possible","Please check the Validation tab and answer the validation queries that need to be answered")</f>
        <v>Please check the Validation tab and answer the validation queries that need to be answered</v>
      </c>
      <c r="B7" s="2535"/>
      <c r="C7" s="2535"/>
      <c r="D7" s="2535"/>
      <c r="E7" s="2535"/>
      <c r="F7" s="2535"/>
      <c r="G7" s="2535"/>
      <c r="H7" s="2535"/>
      <c r="I7" s="2535"/>
      <c r="J7" s="2535"/>
      <c r="K7" s="2535"/>
      <c r="L7" s="2535"/>
      <c r="M7" s="2535"/>
      <c r="N7" s="2535"/>
      <c r="O7" s="2547"/>
    </row>
    <row r="8" spans="1:19" ht="15.75" thickBot="1" x14ac:dyDescent="0.25">
      <c r="A8" s="1371"/>
      <c r="B8" s="1372"/>
      <c r="C8" s="1372"/>
      <c r="D8" s="1372"/>
      <c r="E8" s="1372"/>
      <c r="F8" s="1372"/>
      <c r="G8" s="1372"/>
      <c r="H8" s="1372"/>
      <c r="I8" s="1372"/>
      <c r="J8" s="1372"/>
      <c r="K8" s="1372"/>
      <c r="L8" s="1373" t="s">
        <v>1195</v>
      </c>
      <c r="M8" s="1374">
        <f>+'Part 1'!X21</f>
        <v>1</v>
      </c>
      <c r="N8" s="1372"/>
      <c r="O8" s="1375"/>
    </row>
    <row r="9" spans="1:19" x14ac:dyDescent="0.2">
      <c r="A9" s="1384"/>
      <c r="B9" s="1385"/>
      <c r="C9" s="2548"/>
      <c r="D9" s="2548"/>
      <c r="E9" s="1614"/>
      <c r="F9" s="1614"/>
      <c r="G9" s="1385"/>
      <c r="H9" s="1385"/>
      <c r="I9" s="1385"/>
      <c r="J9" s="1385"/>
      <c r="K9" s="1385"/>
      <c r="L9" s="1385"/>
      <c r="M9" s="1385"/>
      <c r="N9" s="1385"/>
      <c r="O9" s="1387"/>
    </row>
    <row r="10" spans="1:19" ht="18" x14ac:dyDescent="0.25">
      <c r="A10" s="1379"/>
      <c r="B10" s="1380"/>
      <c r="C10" s="1381" t="str">
        <f>+CONCATENATE("Local Authority : ",+'Part 1'!L16)</f>
        <v>Local Authority : ZZZZ</v>
      </c>
      <c r="D10" s="1381"/>
      <c r="E10" s="1381"/>
      <c r="F10" s="1381"/>
      <c r="G10" s="1380"/>
      <c r="H10" s="1380"/>
      <c r="I10" s="1380"/>
      <c r="J10" s="1380"/>
      <c r="K10" s="1380"/>
      <c r="L10" s="1380"/>
      <c r="M10" s="1380"/>
      <c r="N10" s="1380"/>
      <c r="O10" s="1383"/>
    </row>
    <row r="11" spans="1:19" ht="15.75" x14ac:dyDescent="0.25">
      <c r="A11" s="1554"/>
      <c r="B11" s="1382"/>
      <c r="C11" s="1382"/>
      <c r="D11" s="1382"/>
      <c r="E11" s="1382"/>
      <c r="F11" s="1382"/>
      <c r="G11" s="1556"/>
      <c r="H11" s="1380"/>
      <c r="I11" s="1380"/>
      <c r="J11" s="1380"/>
      <c r="K11" s="1380"/>
      <c r="L11" s="1380"/>
      <c r="M11" s="1380"/>
      <c r="N11" s="1380"/>
      <c r="O11" s="1383"/>
    </row>
    <row r="12" spans="1:19" ht="15.75" x14ac:dyDescent="0.25">
      <c r="A12" s="1384"/>
      <c r="B12" s="1385"/>
      <c r="C12" s="1396" t="s">
        <v>825</v>
      </c>
      <c r="D12" s="1380"/>
      <c r="E12" s="1380"/>
      <c r="F12" s="1380"/>
      <c r="G12" s="1380"/>
      <c r="H12" s="1380"/>
      <c r="I12" s="1380"/>
      <c r="J12" s="1380"/>
      <c r="K12" s="1380"/>
      <c r="L12" s="1380"/>
      <c r="M12" s="1380"/>
      <c r="N12" s="1380"/>
      <c r="O12" s="1383"/>
    </row>
    <row r="13" spans="1:19" ht="15.75" x14ac:dyDescent="0.25">
      <c r="A13" s="1384"/>
      <c r="B13" s="1385"/>
      <c r="C13" s="1396"/>
      <c r="D13" s="1380"/>
      <c r="E13" s="1380"/>
      <c r="F13" s="1380"/>
      <c r="G13" s="1380"/>
      <c r="H13" s="1380"/>
      <c r="I13" s="1380"/>
      <c r="J13" s="1380"/>
      <c r="K13" s="1380"/>
      <c r="L13" s="1380"/>
      <c r="M13" s="1380"/>
      <c r="N13" s="1380"/>
      <c r="O13" s="1383"/>
    </row>
    <row r="14" spans="1:19" ht="16.5" thickBot="1" x14ac:dyDescent="0.3">
      <c r="A14" s="1384"/>
      <c r="B14" s="1385"/>
      <c r="C14" s="1396" t="s">
        <v>273</v>
      </c>
      <c r="D14" s="1380"/>
      <c r="E14" s="1380"/>
      <c r="F14" s="1380"/>
      <c r="G14" s="1380"/>
      <c r="H14" s="1380"/>
      <c r="I14" s="2532" t="s">
        <v>786</v>
      </c>
      <c r="J14" s="2532"/>
      <c r="K14" s="1380"/>
      <c r="L14" s="2570" t="s">
        <v>786</v>
      </c>
      <c r="M14" s="2570"/>
      <c r="N14" s="1380"/>
      <c r="O14" s="1383"/>
    </row>
    <row r="15" spans="1:19" ht="16.5" thickBot="1" x14ac:dyDescent="0.25">
      <c r="A15" s="1384"/>
      <c r="B15" s="1385"/>
      <c r="C15" s="1380" t="s">
        <v>20</v>
      </c>
      <c r="D15" s="1380"/>
      <c r="E15" s="1380"/>
      <c r="F15" s="1380"/>
      <c r="G15" s="1380"/>
      <c r="H15" s="1380"/>
      <c r="I15" s="1389"/>
      <c r="J15" s="1389"/>
      <c r="K15" s="1389"/>
      <c r="L15" s="2492">
        <f>'Part 4'!L15</f>
        <v>0</v>
      </c>
      <c r="M15" s="2493"/>
      <c r="N15" s="1380"/>
      <c r="O15" s="1383"/>
      <c r="S15" s="1536"/>
    </row>
    <row r="16" spans="1:19" ht="15.75" x14ac:dyDescent="0.25">
      <c r="A16" s="1384"/>
      <c r="B16" s="1385"/>
      <c r="C16" s="1396"/>
      <c r="D16" s="1380"/>
      <c r="E16" s="1380"/>
      <c r="F16" s="1380"/>
      <c r="G16" s="1380"/>
      <c r="H16" s="1380"/>
      <c r="I16" s="1380"/>
      <c r="J16" s="1380"/>
      <c r="K16" s="1380"/>
      <c r="L16" s="1380"/>
      <c r="M16" s="1380"/>
      <c r="N16" s="1380"/>
      <c r="O16" s="1383"/>
      <c r="S16" s="1536"/>
    </row>
    <row r="17" spans="1:20" ht="16.5" thickBot="1" x14ac:dyDescent="0.3">
      <c r="A17" s="1384"/>
      <c r="B17" s="1385"/>
      <c r="C17" s="1394" t="s">
        <v>1084</v>
      </c>
      <c r="D17" s="1380"/>
      <c r="E17" s="1380"/>
      <c r="F17" s="1380"/>
      <c r="G17" s="1380"/>
      <c r="H17" s="1380"/>
      <c r="I17" s="1380"/>
      <c r="J17" s="1380"/>
      <c r="K17" s="1380"/>
      <c r="L17" s="1380"/>
      <c r="M17" s="1380"/>
      <c r="N17" s="1380"/>
      <c r="O17" s="1383"/>
      <c r="S17" s="1536"/>
    </row>
    <row r="18" spans="1:20" ht="16.5" thickBot="1" x14ac:dyDescent="0.25">
      <c r="A18" s="1384"/>
      <c r="B18" s="1385"/>
      <c r="C18" s="1391" t="s">
        <v>2149</v>
      </c>
      <c r="D18" s="1380"/>
      <c r="E18" s="1380"/>
      <c r="F18" s="1380"/>
      <c r="G18" s="1380"/>
      <c r="H18" s="1380"/>
      <c r="I18" s="2492">
        <f>'Part 4'!I18</f>
        <v>0</v>
      </c>
      <c r="J18" s="2493"/>
      <c r="K18" s="1380"/>
      <c r="L18" s="1380"/>
      <c r="M18" s="1380"/>
      <c r="N18" s="1380"/>
      <c r="O18" s="1383"/>
      <c r="R18" s="2265" t="s">
        <v>1090</v>
      </c>
      <c r="S18" s="1536"/>
    </row>
    <row r="19" spans="1:20" ht="15.75" customHeight="1" thickBot="1" x14ac:dyDescent="0.3">
      <c r="A19" s="1384"/>
      <c r="B19" s="1385"/>
      <c r="C19" s="1394"/>
      <c r="D19" s="1380"/>
      <c r="E19" s="1380"/>
      <c r="F19" s="1380"/>
      <c r="G19" s="1380"/>
      <c r="H19" s="1380"/>
      <c r="I19" s="1380"/>
      <c r="J19" s="1380"/>
      <c r="K19" s="1380"/>
      <c r="L19" s="1380"/>
      <c r="M19" s="1380"/>
      <c r="N19" s="1380"/>
      <c r="O19" s="1383"/>
      <c r="R19" s="2265"/>
      <c r="S19" s="1536"/>
    </row>
    <row r="20" spans="1:20" ht="16.5" thickBot="1" x14ac:dyDescent="0.25">
      <c r="A20" s="1384"/>
      <c r="B20" s="1385"/>
      <c r="C20" s="1391" t="s">
        <v>1126</v>
      </c>
      <c r="D20" s="1380"/>
      <c r="E20" s="1380"/>
      <c r="F20" s="1380"/>
      <c r="G20" s="1380"/>
      <c r="H20" s="1380"/>
      <c r="I20" s="2492">
        <f>'Part 4'!I20</f>
        <v>0</v>
      </c>
      <c r="J20" s="2493"/>
      <c r="K20" s="1380"/>
      <c r="L20" s="1380"/>
      <c r="M20" s="1380"/>
      <c r="N20" s="1380"/>
      <c r="O20" s="1383"/>
      <c r="S20" s="1536"/>
    </row>
    <row r="21" spans="1:20" ht="16.5" thickBot="1" x14ac:dyDescent="0.3">
      <c r="A21" s="1384"/>
      <c r="B21" s="1385"/>
      <c r="C21" s="1394"/>
      <c r="D21" s="1380"/>
      <c r="E21" s="1380"/>
      <c r="F21" s="1380"/>
      <c r="G21" s="1380"/>
      <c r="H21" s="1380"/>
      <c r="I21" s="1380"/>
      <c r="J21" s="1380"/>
      <c r="K21" s="1380"/>
      <c r="L21" s="1380"/>
      <c r="M21" s="1380"/>
      <c r="N21" s="1380"/>
      <c r="O21" s="1383"/>
      <c r="S21" s="1536"/>
    </row>
    <row r="22" spans="1:20" ht="16.5" thickBot="1" x14ac:dyDescent="0.25">
      <c r="A22" s="1384"/>
      <c r="B22" s="1385"/>
      <c r="C22" s="1391" t="s">
        <v>1127</v>
      </c>
      <c r="D22" s="1380"/>
      <c r="E22" s="1380"/>
      <c r="F22" s="1380"/>
      <c r="G22" s="1380"/>
      <c r="H22" s="1380"/>
      <c r="I22" s="2492">
        <f>'Part 4'!I22</f>
        <v>0</v>
      </c>
      <c r="J22" s="2493"/>
      <c r="K22" s="1380"/>
      <c r="L22" s="1380"/>
      <c r="M22" s="1380"/>
      <c r="N22" s="1380"/>
      <c r="O22" s="1383"/>
      <c r="S22" s="1536"/>
    </row>
    <row r="23" spans="1:20" ht="16.5" thickBot="1" x14ac:dyDescent="0.3">
      <c r="A23" s="1384"/>
      <c r="B23" s="1385"/>
      <c r="C23" s="1394"/>
      <c r="D23" s="1380"/>
      <c r="E23" s="1380"/>
      <c r="F23" s="1380"/>
      <c r="G23" s="1380"/>
      <c r="H23" s="1380"/>
      <c r="I23" s="1380"/>
      <c r="J23" s="1380"/>
      <c r="K23" s="1380"/>
      <c r="L23" s="1380"/>
      <c r="M23" s="1380"/>
      <c r="N23" s="1380"/>
      <c r="O23" s="1383"/>
      <c r="S23" s="1536"/>
    </row>
    <row r="24" spans="1:20" ht="16.5" thickBot="1" x14ac:dyDescent="0.25">
      <c r="A24" s="1384"/>
      <c r="B24" s="1385"/>
      <c r="C24" s="1391" t="s">
        <v>1128</v>
      </c>
      <c r="D24" s="1380"/>
      <c r="E24" s="1380"/>
      <c r="F24" s="1380"/>
      <c r="G24" s="1380"/>
      <c r="H24" s="1380"/>
      <c r="I24" s="2492">
        <f>'Part 4'!I24</f>
        <v>0</v>
      </c>
      <c r="J24" s="2493"/>
      <c r="K24" s="1380"/>
      <c r="L24" s="1380"/>
      <c r="M24" s="1380"/>
      <c r="N24" s="1380"/>
      <c r="O24" s="1383"/>
      <c r="S24" s="1536"/>
    </row>
    <row r="25" spans="1:20" ht="16.5" thickBot="1" x14ac:dyDescent="0.3">
      <c r="A25" s="1384"/>
      <c r="B25" s="1385"/>
      <c r="C25" s="1394"/>
      <c r="D25" s="1380"/>
      <c r="E25" s="1380"/>
      <c r="F25" s="1380"/>
      <c r="G25" s="1380"/>
      <c r="H25" s="1380"/>
      <c r="I25" s="1380"/>
      <c r="J25" s="1380"/>
      <c r="K25" s="1380"/>
      <c r="L25" s="1380"/>
      <c r="M25" s="1380"/>
      <c r="N25" s="1380"/>
      <c r="O25" s="1383"/>
      <c r="R25" s="498" t="s">
        <v>73</v>
      </c>
      <c r="S25" s="1536"/>
    </row>
    <row r="26" spans="1:20" ht="16.5" thickBot="1" x14ac:dyDescent="0.25">
      <c r="A26" s="1384"/>
      <c r="B26" s="1385"/>
      <c r="C26" s="1391" t="s">
        <v>1129</v>
      </c>
      <c r="D26" s="1380"/>
      <c r="E26" s="1380"/>
      <c r="F26" s="1380"/>
      <c r="G26" s="1380"/>
      <c r="H26" s="1380"/>
      <c r="I26" s="2492">
        <f>'Part 4'!I26</f>
        <v>0</v>
      </c>
      <c r="J26" s="2493"/>
      <c r="K26" s="1380"/>
      <c r="L26" s="1380"/>
      <c r="M26" s="1380"/>
      <c r="N26" s="1380"/>
      <c r="O26" s="1383"/>
      <c r="R26" s="499" t="s">
        <v>71</v>
      </c>
      <c r="S26" s="1536"/>
    </row>
    <row r="27" spans="1:20" ht="15.75" thickBot="1" x14ac:dyDescent="0.25">
      <c r="A27" s="1384"/>
      <c r="B27" s="1385"/>
      <c r="C27" s="1391"/>
      <c r="D27" s="1380"/>
      <c r="E27" s="1380"/>
      <c r="F27" s="1380"/>
      <c r="G27" s="1380"/>
      <c r="H27" s="1380"/>
      <c r="I27" s="1380"/>
      <c r="J27" s="1380"/>
      <c r="K27" s="1380"/>
      <c r="L27" s="1380"/>
      <c r="M27" s="1380"/>
      <c r="N27" s="1380"/>
      <c r="O27" s="1383"/>
      <c r="R27" s="499"/>
      <c r="S27" s="1536"/>
    </row>
    <row r="28" spans="1:20" ht="16.5" thickBot="1" x14ac:dyDescent="0.3">
      <c r="A28" s="1384"/>
      <c r="B28" s="1385"/>
      <c r="C28" s="1394" t="s">
        <v>1130</v>
      </c>
      <c r="D28" s="1380"/>
      <c r="E28" s="1380"/>
      <c r="F28" s="1380"/>
      <c r="G28" s="1380"/>
      <c r="H28" s="1380"/>
      <c r="K28" s="1380"/>
      <c r="L28" s="2509">
        <f>SUM(I18:J26)</f>
        <v>0</v>
      </c>
      <c r="M28" s="2510"/>
      <c r="N28" s="1380"/>
      <c r="O28" s="1387"/>
      <c r="R28" s="499">
        <f>IF(+I18+I20+I22+I24+I26-L28=0,0,1)</f>
        <v>0</v>
      </c>
      <c r="S28" s="1536">
        <f>IF(L28='Part 4'!L28,0,1)</f>
        <v>0</v>
      </c>
    </row>
    <row r="29" spans="1:20" ht="15.75" x14ac:dyDescent="0.25">
      <c r="A29" s="1384"/>
      <c r="B29" s="1385"/>
      <c r="C29" s="1394"/>
      <c r="D29" s="1380"/>
      <c r="E29" s="1380"/>
      <c r="F29" s="1380"/>
      <c r="G29" s="1380"/>
      <c r="H29" s="1380"/>
      <c r="I29" s="1380"/>
      <c r="J29" s="1380"/>
      <c r="K29" s="1380"/>
      <c r="L29" s="1391"/>
      <c r="M29" s="1380"/>
      <c r="N29" s="1380"/>
      <c r="O29" s="1383"/>
      <c r="R29" s="499"/>
      <c r="S29" s="1536"/>
    </row>
    <row r="30" spans="1:20" ht="16.5" thickBot="1" x14ac:dyDescent="0.3">
      <c r="A30" s="1384"/>
      <c r="B30" s="1385"/>
      <c r="C30" s="1394" t="s">
        <v>1091</v>
      </c>
      <c r="D30" s="1380"/>
      <c r="E30" s="1380"/>
      <c r="F30" s="1380"/>
      <c r="G30" s="1380"/>
      <c r="H30" s="1380"/>
      <c r="I30" s="1389"/>
      <c r="J30" s="1389"/>
      <c r="K30" s="1389"/>
      <c r="L30" s="1389"/>
      <c r="M30" s="1389"/>
      <c r="N30" s="1380"/>
      <c r="O30" s="1383"/>
      <c r="R30" s="499"/>
      <c r="S30" s="1536"/>
    </row>
    <row r="31" spans="1:20" ht="16.5" thickBot="1" x14ac:dyDescent="0.25">
      <c r="A31" s="1384"/>
      <c r="B31" s="1385"/>
      <c r="C31" s="1391" t="s">
        <v>2150</v>
      </c>
      <c r="D31" s="1380"/>
      <c r="E31" s="1380"/>
      <c r="F31" s="1380"/>
      <c r="G31" s="1380"/>
      <c r="H31" s="1380"/>
      <c r="I31" s="2492">
        <f>'Part 4'!I31</f>
        <v>0</v>
      </c>
      <c r="J31" s="2493"/>
      <c r="K31" s="1389"/>
      <c r="L31" s="1389"/>
      <c r="M31" s="1389"/>
      <c r="N31" s="1380"/>
      <c r="O31" s="1383"/>
      <c r="R31" s="499"/>
      <c r="S31" s="1536"/>
      <c r="T31" s="468"/>
    </row>
    <row r="32" spans="1:20" ht="15.75" thickBot="1" x14ac:dyDescent="0.25">
      <c r="A32" s="1384"/>
      <c r="B32" s="1385"/>
      <c r="C32" s="1391"/>
      <c r="D32" s="1380"/>
      <c r="E32" s="1380"/>
      <c r="F32" s="1380"/>
      <c r="G32" s="1380"/>
      <c r="H32" s="1380"/>
      <c r="I32" s="1389"/>
      <c r="J32" s="1389"/>
      <c r="K32" s="1389"/>
      <c r="L32" s="1389"/>
      <c r="M32" s="1389"/>
      <c r="N32" s="1380"/>
      <c r="O32" s="1383"/>
      <c r="R32" s="499"/>
      <c r="S32" s="1536"/>
    </row>
    <row r="33" spans="1:20" ht="16.5" thickBot="1" x14ac:dyDescent="0.25">
      <c r="A33" s="1384"/>
      <c r="B33" s="1385"/>
      <c r="C33" s="1391" t="s">
        <v>1131</v>
      </c>
      <c r="D33" s="1380"/>
      <c r="E33" s="1380"/>
      <c r="F33" s="1380"/>
      <c r="G33" s="1380"/>
      <c r="H33" s="1380"/>
      <c r="I33" s="2492">
        <f>'Part 4'!I33</f>
        <v>0</v>
      </c>
      <c r="J33" s="2493"/>
      <c r="K33" s="1389"/>
      <c r="L33" s="1389"/>
      <c r="M33" s="1389"/>
      <c r="N33" s="1380"/>
      <c r="O33" s="1383"/>
      <c r="R33" s="499"/>
      <c r="S33" s="1536"/>
      <c r="T33" s="468"/>
    </row>
    <row r="34" spans="1:20" ht="16.5" thickBot="1" x14ac:dyDescent="0.25">
      <c r="A34" s="1384"/>
      <c r="B34" s="1385"/>
      <c r="C34" s="1391"/>
      <c r="D34" s="1380"/>
      <c r="E34" s="1380"/>
      <c r="F34" s="1380"/>
      <c r="G34" s="1380"/>
      <c r="H34" s="1380"/>
      <c r="I34" s="1392"/>
      <c r="J34" s="1392"/>
      <c r="K34" s="1389"/>
      <c r="L34" s="1389"/>
      <c r="M34" s="1389"/>
      <c r="N34" s="1380"/>
      <c r="O34" s="1383"/>
      <c r="R34" s="499"/>
      <c r="S34" s="1536"/>
    </row>
    <row r="35" spans="1:20" ht="16.5" thickBot="1" x14ac:dyDescent="0.25">
      <c r="A35" s="1384"/>
      <c r="B35" s="1385"/>
      <c r="C35" s="1391" t="s">
        <v>2151</v>
      </c>
      <c r="D35" s="1380"/>
      <c r="E35" s="1380"/>
      <c r="F35" s="1380"/>
      <c r="G35" s="1380"/>
      <c r="H35" s="1380"/>
      <c r="I35" s="2492">
        <f>'Part 4'!I35</f>
        <v>0</v>
      </c>
      <c r="J35" s="2493"/>
      <c r="K35" s="1389"/>
      <c r="L35" s="1389"/>
      <c r="M35" s="1389"/>
      <c r="N35" s="1380"/>
      <c r="O35" s="1383"/>
      <c r="R35" s="499"/>
      <c r="S35" s="1536"/>
      <c r="T35" s="468"/>
    </row>
    <row r="36" spans="1:20" ht="16.5" thickBot="1" x14ac:dyDescent="0.25">
      <c r="A36" s="1384"/>
      <c r="B36" s="1385"/>
      <c r="C36" s="1391"/>
      <c r="D36" s="1380"/>
      <c r="E36" s="1380"/>
      <c r="F36" s="1380"/>
      <c r="G36" s="1380"/>
      <c r="H36" s="1380"/>
      <c r="I36" s="1392"/>
      <c r="J36" s="1392"/>
      <c r="K36" s="1389"/>
      <c r="L36" s="1389"/>
      <c r="M36" s="1389"/>
      <c r="N36" s="1380"/>
      <c r="O36" s="1383"/>
      <c r="R36" s="499"/>
      <c r="S36" s="1536"/>
    </row>
    <row r="37" spans="1:20" ht="16.5" thickBot="1" x14ac:dyDescent="0.3">
      <c r="A37" s="1384"/>
      <c r="B37" s="1385"/>
      <c r="C37" s="1394" t="s">
        <v>1132</v>
      </c>
      <c r="D37" s="1380"/>
      <c r="E37" s="1380"/>
      <c r="F37" s="1380"/>
      <c r="G37" s="1380"/>
      <c r="H37" s="1380"/>
      <c r="I37" s="1389"/>
      <c r="J37" s="1389"/>
      <c r="K37" s="1389"/>
      <c r="L37" s="2509">
        <f>+I31+I33+I35</f>
        <v>0</v>
      </c>
      <c r="M37" s="2510"/>
      <c r="N37" s="1380"/>
      <c r="O37" s="1387"/>
      <c r="R37" s="499">
        <f>IF(+I31+I33+I35-L37=0,0,1)</f>
        <v>0</v>
      </c>
      <c r="S37" s="1536">
        <f>IF(L37='Part 4'!L37,0,1)</f>
        <v>0</v>
      </c>
      <c r="T37" s="468"/>
    </row>
    <row r="38" spans="1:20" x14ac:dyDescent="0.2">
      <c r="A38" s="1384"/>
      <c r="B38" s="1385"/>
      <c r="C38" s="1380"/>
      <c r="D38" s="1380"/>
      <c r="E38" s="1380"/>
      <c r="F38" s="1380"/>
      <c r="G38" s="1380"/>
      <c r="H38" s="1380"/>
      <c r="I38" s="1389"/>
      <c r="J38" s="1389"/>
      <c r="K38" s="1389"/>
      <c r="L38" s="1389"/>
      <c r="M38" s="1389"/>
      <c r="N38" s="1380"/>
      <c r="O38" s="1383"/>
      <c r="R38" s="499"/>
      <c r="S38" s="1536"/>
    </row>
    <row r="39" spans="1:20" ht="16.5" thickBot="1" x14ac:dyDescent="0.3">
      <c r="A39" s="1384"/>
      <c r="B39" s="1385"/>
      <c r="C39" s="1394" t="s">
        <v>1085</v>
      </c>
      <c r="D39" s="1380"/>
      <c r="E39" s="1380"/>
      <c r="F39" s="1380"/>
      <c r="G39" s="1380"/>
      <c r="H39" s="1380"/>
      <c r="I39" s="1389"/>
      <c r="J39" s="1389"/>
      <c r="K39" s="1389"/>
      <c r="L39" s="1389"/>
      <c r="M39" s="1389"/>
      <c r="N39" s="1380"/>
      <c r="O39" s="1383"/>
      <c r="R39" s="499"/>
      <c r="S39" s="1536"/>
    </row>
    <row r="40" spans="1:20" ht="16.5" thickBot="1" x14ac:dyDescent="0.25">
      <c r="A40" s="1384"/>
      <c r="B40" s="1385"/>
      <c r="C40" s="1391" t="s">
        <v>2152</v>
      </c>
      <c r="D40" s="1391"/>
      <c r="E40" s="1391"/>
      <c r="F40" s="1391"/>
      <c r="G40" s="1391"/>
      <c r="H40" s="1380"/>
      <c r="I40" s="2492">
        <f>'Part 4'!I40</f>
        <v>0</v>
      </c>
      <c r="J40" s="2493"/>
      <c r="K40" s="1389"/>
      <c r="L40" s="1389"/>
      <c r="M40" s="1389"/>
      <c r="N40" s="1380"/>
      <c r="O40" s="1383"/>
      <c r="R40" s="499"/>
      <c r="S40" s="1536"/>
      <c r="T40" s="468"/>
    </row>
    <row r="41" spans="1:20" ht="15.75" thickBot="1" x14ac:dyDescent="0.25">
      <c r="A41" s="1384"/>
      <c r="B41" s="1385"/>
      <c r="C41" s="1391"/>
      <c r="D41" s="1391"/>
      <c r="E41" s="1391"/>
      <c r="F41" s="1391"/>
      <c r="G41" s="1391"/>
      <c r="H41" s="1380"/>
      <c r="I41" s="1389"/>
      <c r="J41" s="1389"/>
      <c r="K41" s="1389"/>
      <c r="L41" s="1389"/>
      <c r="M41" s="1389"/>
      <c r="N41" s="1380"/>
      <c r="O41" s="1383"/>
      <c r="R41" s="499"/>
      <c r="S41" s="1536"/>
    </row>
    <row r="42" spans="1:20" ht="16.5" thickBot="1" x14ac:dyDescent="0.25">
      <c r="A42" s="1384"/>
      <c r="B42" s="1385"/>
      <c r="C42" s="2569" t="s">
        <v>2153</v>
      </c>
      <c r="D42" s="2569"/>
      <c r="E42" s="2569"/>
      <c r="F42" s="2569"/>
      <c r="G42" s="2569"/>
      <c r="H42" s="1380"/>
      <c r="I42" s="2492">
        <f>'Part 4'!I42</f>
        <v>0</v>
      </c>
      <c r="J42" s="2493"/>
      <c r="K42" s="1389"/>
      <c r="L42" s="1389"/>
      <c r="M42" s="1389"/>
      <c r="N42" s="1380"/>
      <c r="O42" s="1383"/>
      <c r="R42" s="499"/>
      <c r="S42" s="1536"/>
      <c r="T42" s="468"/>
    </row>
    <row r="43" spans="1:20" x14ac:dyDescent="0.2">
      <c r="A43" s="1384"/>
      <c r="B43" s="1385"/>
      <c r="C43" s="2569"/>
      <c r="D43" s="2569"/>
      <c r="E43" s="2569"/>
      <c r="F43" s="2569"/>
      <c r="G43" s="2569"/>
      <c r="H43" s="1380"/>
      <c r="I43" s="1389"/>
      <c r="J43" s="1389"/>
      <c r="K43" s="1389"/>
      <c r="L43" s="1389"/>
      <c r="M43" s="1389"/>
      <c r="N43" s="1380"/>
      <c r="O43" s="1383"/>
      <c r="R43" s="499"/>
      <c r="S43" s="1536"/>
    </row>
    <row r="44" spans="1:20" ht="15.75" thickBot="1" x14ac:dyDescent="0.25">
      <c r="A44" s="1384"/>
      <c r="B44" s="1385"/>
      <c r="C44" s="1391"/>
      <c r="D44" s="1391"/>
      <c r="E44" s="1391"/>
      <c r="F44" s="1391"/>
      <c r="G44" s="1391"/>
      <c r="H44" s="1380"/>
      <c r="I44" s="1389"/>
      <c r="J44" s="1389"/>
      <c r="K44" s="1389"/>
      <c r="L44" s="1389"/>
      <c r="M44" s="1389"/>
      <c r="N44" s="1380"/>
      <c r="O44" s="1383"/>
      <c r="R44" s="499"/>
      <c r="S44" s="1536"/>
    </row>
    <row r="45" spans="1:20" ht="16.5" thickBot="1" x14ac:dyDescent="0.25">
      <c r="A45" s="1384"/>
      <c r="B45" s="1385"/>
      <c r="C45" s="1391" t="s">
        <v>1133</v>
      </c>
      <c r="D45" s="1391"/>
      <c r="E45" s="1391"/>
      <c r="F45" s="1391"/>
      <c r="G45" s="1391"/>
      <c r="H45" s="1380"/>
      <c r="I45" s="2492">
        <f>'Part 4'!I45</f>
        <v>0</v>
      </c>
      <c r="J45" s="2493"/>
      <c r="K45" s="1389"/>
      <c r="L45" s="1389"/>
      <c r="M45" s="1389"/>
      <c r="N45" s="1380"/>
      <c r="O45" s="1383"/>
      <c r="R45" s="499"/>
      <c r="S45" s="1536"/>
      <c r="T45" s="468"/>
    </row>
    <row r="46" spans="1:20" x14ac:dyDescent="0.2">
      <c r="A46" s="1384"/>
      <c r="B46" s="1385"/>
      <c r="C46" s="1391" t="s">
        <v>2154</v>
      </c>
      <c r="D46" s="1391"/>
      <c r="E46" s="1391"/>
      <c r="F46" s="1391"/>
      <c r="G46" s="1391"/>
      <c r="H46" s="1380"/>
      <c r="I46" s="1380"/>
      <c r="J46" s="1380"/>
      <c r="K46" s="1380"/>
      <c r="L46" s="1389"/>
      <c r="M46" s="1389"/>
      <c r="N46" s="1380"/>
      <c r="O46" s="1383"/>
      <c r="R46" s="499"/>
      <c r="S46" s="1536"/>
    </row>
    <row r="47" spans="1:20" ht="15.75" thickBot="1" x14ac:dyDescent="0.25">
      <c r="A47" s="1384"/>
      <c r="B47" s="1385"/>
      <c r="C47" s="1391"/>
      <c r="D47" s="1391"/>
      <c r="E47" s="1391"/>
      <c r="F47" s="1391"/>
      <c r="G47" s="1391"/>
      <c r="H47" s="1380"/>
      <c r="I47" s="1389"/>
      <c r="J47" s="1389"/>
      <c r="K47" s="1389"/>
      <c r="L47" s="1389"/>
      <c r="M47" s="1389"/>
      <c r="N47" s="1380"/>
      <c r="O47" s="1383"/>
      <c r="R47" s="499"/>
      <c r="S47" s="1536"/>
    </row>
    <row r="48" spans="1:20" ht="16.5" thickBot="1" x14ac:dyDescent="0.25">
      <c r="A48" s="1384"/>
      <c r="B48" s="1385"/>
      <c r="C48" s="2569" t="s">
        <v>1134</v>
      </c>
      <c r="D48" s="2569"/>
      <c r="E48" s="2569"/>
      <c r="F48" s="2569"/>
      <c r="G48" s="2569"/>
      <c r="H48" s="1380"/>
      <c r="I48" s="2492">
        <f>'Part 4'!I48</f>
        <v>0</v>
      </c>
      <c r="J48" s="2493"/>
      <c r="K48" s="1389"/>
      <c r="L48" s="1389"/>
      <c r="M48" s="1389"/>
      <c r="N48" s="1380"/>
      <c r="O48" s="1383"/>
      <c r="R48" s="499"/>
      <c r="S48" s="1536"/>
      <c r="T48" s="468"/>
    </row>
    <row r="49" spans="1:25" x14ac:dyDescent="0.2">
      <c r="A49" s="1384"/>
      <c r="B49" s="1385"/>
      <c r="C49" s="2569"/>
      <c r="D49" s="2569"/>
      <c r="E49" s="2569"/>
      <c r="F49" s="2569"/>
      <c r="G49" s="2569"/>
      <c r="H49" s="1380"/>
      <c r="I49" s="1389"/>
      <c r="J49" s="1389"/>
      <c r="K49" s="1389"/>
      <c r="L49" s="1389"/>
      <c r="M49" s="1389"/>
      <c r="N49" s="1380"/>
      <c r="O49" s="1383"/>
      <c r="R49" s="499"/>
      <c r="S49" s="1536"/>
    </row>
    <row r="50" spans="1:25" ht="15.75" thickBot="1" x14ac:dyDescent="0.25">
      <c r="A50" s="1384"/>
      <c r="B50" s="1385"/>
      <c r="C50" s="1395"/>
      <c r="D50" s="1395"/>
      <c r="E50" s="1395"/>
      <c r="F50" s="1395"/>
      <c r="G50" s="1395"/>
      <c r="H50" s="1380"/>
      <c r="I50" s="1389"/>
      <c r="J50" s="1389"/>
      <c r="K50" s="1389"/>
      <c r="L50" s="1389"/>
      <c r="M50" s="1389"/>
      <c r="N50" s="1380"/>
      <c r="O50" s="1383"/>
      <c r="R50" s="499"/>
      <c r="S50" s="1536"/>
    </row>
    <row r="51" spans="1:25" ht="16.5" thickBot="1" x14ac:dyDescent="0.25">
      <c r="A51" s="1384"/>
      <c r="B51" s="1385"/>
      <c r="C51" s="1582" t="s">
        <v>1135</v>
      </c>
      <c r="D51" s="1395"/>
      <c r="E51" s="1395"/>
      <c r="F51" s="1395"/>
      <c r="G51" s="1395"/>
      <c r="H51" s="1380"/>
      <c r="I51" s="2492">
        <f>'Part 4'!I51</f>
        <v>0</v>
      </c>
      <c r="J51" s="2493"/>
      <c r="K51" s="1389"/>
      <c r="L51" s="1389"/>
      <c r="M51" s="1389"/>
      <c r="N51" s="1380"/>
      <c r="O51" s="1383"/>
      <c r="R51" s="499"/>
      <c r="S51" s="1536"/>
      <c r="T51" s="468"/>
    </row>
    <row r="52" spans="1:25" x14ac:dyDescent="0.2">
      <c r="A52" s="1384"/>
      <c r="B52" s="1385"/>
      <c r="C52" s="1582" t="s">
        <v>2155</v>
      </c>
      <c r="D52" s="1395"/>
      <c r="E52" s="1395"/>
      <c r="F52" s="1395"/>
      <c r="G52" s="1395"/>
      <c r="H52" s="1380"/>
      <c r="I52" s="1389"/>
      <c r="J52" s="1389"/>
      <c r="K52" s="1389"/>
      <c r="L52" s="1389"/>
      <c r="M52" s="1389"/>
      <c r="N52" s="1380"/>
      <c r="O52" s="1383"/>
      <c r="R52" s="499"/>
      <c r="S52" s="1536"/>
    </row>
    <row r="53" spans="1:25" ht="15.75" thickBot="1" x14ac:dyDescent="0.25">
      <c r="A53" s="1384"/>
      <c r="B53" s="1385"/>
      <c r="C53" s="1582"/>
      <c r="D53" s="1395"/>
      <c r="E53" s="1395"/>
      <c r="F53" s="1395"/>
      <c r="G53" s="1395"/>
      <c r="H53" s="1380"/>
      <c r="I53" s="1389"/>
      <c r="J53" s="1389"/>
      <c r="K53" s="1389"/>
      <c r="L53" s="1389"/>
      <c r="M53" s="1389"/>
      <c r="N53" s="1380"/>
      <c r="O53" s="1383"/>
      <c r="R53" s="499"/>
      <c r="S53" s="1536"/>
    </row>
    <row r="54" spans="1:25" ht="16.5" thickBot="1" x14ac:dyDescent="0.25">
      <c r="A54" s="1384"/>
      <c r="B54" s="1385"/>
      <c r="C54" s="1391" t="s">
        <v>1136</v>
      </c>
      <c r="D54" s="1391"/>
      <c r="E54" s="1391"/>
      <c r="F54" s="1391"/>
      <c r="G54" s="1391"/>
      <c r="H54" s="1380"/>
      <c r="I54" s="2492">
        <f>'Part 4'!I54</f>
        <v>0</v>
      </c>
      <c r="J54" s="2493"/>
      <c r="K54" s="1385"/>
      <c r="L54" s="1389"/>
      <c r="M54" s="1389"/>
      <c r="N54" s="1380"/>
      <c r="O54" s="1383"/>
      <c r="R54" s="499"/>
      <c r="S54" s="1536"/>
      <c r="T54" s="468"/>
    </row>
    <row r="55" spans="1:25" ht="16.5" thickBot="1" x14ac:dyDescent="0.25">
      <c r="A55" s="1384"/>
      <c r="B55" s="1385"/>
      <c r="C55" s="1391"/>
      <c r="D55" s="1391"/>
      <c r="E55" s="1391"/>
      <c r="F55" s="1391"/>
      <c r="G55" s="1391"/>
      <c r="H55" s="1380"/>
      <c r="I55" s="1392"/>
      <c r="J55" s="1392"/>
      <c r="K55" s="1389"/>
      <c r="L55" s="1389"/>
      <c r="M55" s="1389"/>
      <c r="N55" s="1380"/>
      <c r="O55" s="1383"/>
      <c r="R55" s="499"/>
      <c r="S55" s="1536"/>
    </row>
    <row r="56" spans="1:25" ht="16.5" thickBot="1" x14ac:dyDescent="0.25">
      <c r="A56" s="1384"/>
      <c r="B56" s="1385"/>
      <c r="C56" s="1391" t="s">
        <v>2156</v>
      </c>
      <c r="D56" s="1391"/>
      <c r="E56" s="1391"/>
      <c r="F56" s="1391"/>
      <c r="G56" s="1391"/>
      <c r="H56" s="1380"/>
      <c r="I56" s="2492">
        <f>'Part 4'!I56</f>
        <v>0</v>
      </c>
      <c r="J56" s="2493"/>
      <c r="K56" s="1389"/>
      <c r="L56" s="1389"/>
      <c r="M56" s="1389"/>
      <c r="N56" s="1380"/>
      <c r="O56" s="1383"/>
      <c r="R56" s="499"/>
      <c r="S56" s="1536"/>
      <c r="T56" s="468"/>
    </row>
    <row r="57" spans="1:25" ht="16.5" thickBot="1" x14ac:dyDescent="0.25">
      <c r="A57" s="1384"/>
      <c r="B57" s="1385"/>
      <c r="C57" s="1391"/>
      <c r="D57" s="1391"/>
      <c r="E57" s="1391"/>
      <c r="F57" s="1391"/>
      <c r="G57" s="1391"/>
      <c r="H57" s="1380"/>
      <c r="I57" s="1392"/>
      <c r="J57" s="1392"/>
      <c r="K57" s="1389"/>
      <c r="L57" s="1389"/>
      <c r="M57" s="1389"/>
      <c r="N57" s="1380"/>
      <c r="O57" s="1383"/>
      <c r="R57" s="499"/>
      <c r="S57" s="1536"/>
    </row>
    <row r="58" spans="1:25" ht="16.5" thickBot="1" x14ac:dyDescent="0.3">
      <c r="A58" s="1384"/>
      <c r="B58" s="1385"/>
      <c r="C58" s="1394" t="s">
        <v>1137</v>
      </c>
      <c r="D58" s="1391"/>
      <c r="E58" s="1391"/>
      <c r="F58" s="1391"/>
      <c r="G58" s="1391"/>
      <c r="H58" s="1380"/>
      <c r="I58" s="1389"/>
      <c r="J58" s="1389"/>
      <c r="K58" s="1389"/>
      <c r="L58" s="2509">
        <f>+I40+I42+I45+I48+I51+I54+I56</f>
        <v>0</v>
      </c>
      <c r="M58" s="2510"/>
      <c r="N58" s="1386"/>
      <c r="O58" s="1387"/>
      <c r="R58" s="500">
        <f>IF(+I40+I42+I45+I48+I51+I54+I56-L58=0,0,1)</f>
        <v>0</v>
      </c>
      <c r="S58" s="1536">
        <f>IF(L58='Part 4'!L58,0,1)</f>
        <v>0</v>
      </c>
      <c r="T58" s="468"/>
    </row>
    <row r="59" spans="1:25" ht="16.5" thickBot="1" x14ac:dyDescent="0.3">
      <c r="A59" s="1384"/>
      <c r="B59" s="1385"/>
      <c r="C59" s="1396"/>
      <c r="D59" s="1380"/>
      <c r="E59" s="1380"/>
      <c r="F59" s="1380"/>
      <c r="G59" s="1380"/>
      <c r="H59" s="1380"/>
      <c r="I59" s="1389"/>
      <c r="J59" s="1389"/>
      <c r="K59" s="1389"/>
      <c r="L59" s="1389"/>
      <c r="M59" s="1389"/>
      <c r="N59" s="1386"/>
      <c r="O59" s="1383"/>
      <c r="R59" s="499"/>
      <c r="S59" s="1638"/>
    </row>
    <row r="60" spans="1:25" ht="15.75" x14ac:dyDescent="0.25">
      <c r="A60" s="1384"/>
      <c r="B60" s="1615"/>
      <c r="C60" s="1616"/>
      <c r="D60" s="1617"/>
      <c r="E60" s="1617"/>
      <c r="F60" s="1617"/>
      <c r="G60" s="1617"/>
      <c r="H60" s="1617"/>
      <c r="I60" s="1618"/>
      <c r="J60" s="1618"/>
      <c r="K60" s="1618"/>
      <c r="L60" s="1618"/>
      <c r="M60" s="1618"/>
      <c r="N60" s="1619"/>
      <c r="O60" s="1383"/>
      <c r="R60" s="499"/>
      <c r="S60" s="1536"/>
    </row>
    <row r="61" spans="1:25" ht="15.75" x14ac:dyDescent="0.25">
      <c r="A61" s="1384"/>
      <c r="B61" s="1620"/>
      <c r="C61" s="1394" t="s">
        <v>2157</v>
      </c>
      <c r="D61" s="1380"/>
      <c r="E61" s="1380"/>
      <c r="F61" s="1380"/>
      <c r="G61" s="1380"/>
      <c r="H61" s="1380"/>
      <c r="I61" s="1389"/>
      <c r="J61" s="1389"/>
      <c r="K61" s="1389"/>
      <c r="L61" s="1389"/>
      <c r="M61" s="1389"/>
      <c r="N61" s="1621"/>
      <c r="O61" s="1383"/>
      <c r="R61" s="499"/>
      <c r="S61" s="1536"/>
    </row>
    <row r="62" spans="1:25" ht="16.5" thickBot="1" x14ac:dyDescent="0.3">
      <c r="A62" s="1384"/>
      <c r="B62" s="1620"/>
      <c r="C62" s="1394"/>
      <c r="D62" s="1380"/>
      <c r="E62" s="1380"/>
      <c r="F62" s="1380"/>
      <c r="G62" s="1380"/>
      <c r="H62" s="1380"/>
      <c r="I62" s="1389"/>
      <c r="J62" s="1389"/>
      <c r="K62" s="1389"/>
      <c r="L62" s="2566" t="s">
        <v>786</v>
      </c>
      <c r="M62" s="2566"/>
      <c r="N62" s="1621"/>
      <c r="O62" s="1383"/>
      <c r="R62" s="499"/>
      <c r="S62" s="1536"/>
    </row>
    <row r="63" spans="1:25" ht="16.5" thickBot="1" x14ac:dyDescent="0.25">
      <c r="A63" s="1384"/>
      <c r="B63" s="1620"/>
      <c r="C63" s="1391" t="s">
        <v>2183</v>
      </c>
      <c r="D63" s="1380"/>
      <c r="E63" s="1380"/>
      <c r="F63" s="1380"/>
      <c r="G63" s="1380"/>
      <c r="H63" s="1380"/>
      <c r="I63" s="1389"/>
      <c r="J63" s="1389"/>
      <c r="K63" s="1389"/>
      <c r="L63" s="2567">
        <f>+L15+L28+L37+L58</f>
        <v>0</v>
      </c>
      <c r="M63" s="2568"/>
      <c r="N63" s="1622"/>
      <c r="O63" s="1387"/>
      <c r="P63" s="334"/>
      <c r="R63" s="501">
        <f>IF(+L15+L28+L37+L58-L63=0,0,1)</f>
        <v>0</v>
      </c>
      <c r="S63" s="1536">
        <f>IF(L63='Part 4'!L63,0,1)</f>
        <v>0</v>
      </c>
      <c r="Y63" s="683"/>
    </row>
    <row r="64" spans="1:25" ht="16.5" thickBot="1" x14ac:dyDescent="0.3">
      <c r="A64" s="1384"/>
      <c r="B64" s="1623"/>
      <c r="C64" s="1624"/>
      <c r="D64" s="1625"/>
      <c r="E64" s="1625"/>
      <c r="F64" s="1625"/>
      <c r="G64" s="1625"/>
      <c r="H64" s="1625"/>
      <c r="I64" s="1625"/>
      <c r="J64" s="1625"/>
      <c r="K64" s="1625"/>
      <c r="L64" s="1626"/>
      <c r="M64" s="1625"/>
      <c r="N64" s="1627"/>
      <c r="O64" s="1383"/>
    </row>
    <row r="65" spans="1:18" ht="16.5" thickBot="1" x14ac:dyDescent="0.3">
      <c r="A65" s="1384"/>
      <c r="B65" s="1385"/>
      <c r="C65" s="1396"/>
      <c r="D65" s="1380"/>
      <c r="E65" s="1380"/>
      <c r="F65" s="1380"/>
      <c r="G65" s="1380"/>
      <c r="H65" s="1380"/>
      <c r="I65" s="1380"/>
      <c r="J65" s="1380"/>
      <c r="K65" s="1380"/>
      <c r="L65" s="1380"/>
      <c r="M65" s="1380"/>
      <c r="N65" s="1380"/>
      <c r="O65" s="1383"/>
    </row>
    <row r="66" spans="1:18" ht="15.75" x14ac:dyDescent="0.25">
      <c r="A66" s="1376"/>
      <c r="B66" s="1377"/>
      <c r="C66" s="1628"/>
      <c r="D66" s="1629"/>
      <c r="E66" s="1629"/>
      <c r="F66" s="1629"/>
      <c r="G66" s="1629"/>
      <c r="H66" s="1629"/>
      <c r="I66" s="1629"/>
      <c r="J66" s="1629"/>
      <c r="K66" s="1629"/>
      <c r="L66" s="1629"/>
      <c r="M66" s="1629"/>
      <c r="N66" s="1629"/>
      <c r="O66" s="1630"/>
    </row>
    <row r="67" spans="1:18" ht="15.75" x14ac:dyDescent="0.25">
      <c r="A67" s="1384"/>
      <c r="B67" s="1385"/>
      <c r="C67" s="2564" t="str">
        <f>+IF(R69&gt;0,"There are errors in the calculations in this form.  Have you over written some of the pre-filled calculations? Please check.","")</f>
        <v/>
      </c>
      <c r="D67" s="2564"/>
      <c r="E67" s="2564"/>
      <c r="F67" s="2564"/>
      <c r="G67" s="2564"/>
      <c r="H67" s="2564"/>
      <c r="I67" s="2564"/>
      <c r="J67" s="2564"/>
      <c r="K67" s="2564"/>
      <c r="L67" s="2564"/>
      <c r="M67" s="2564"/>
      <c r="N67" s="1631"/>
      <c r="O67" s="1632"/>
      <c r="R67" s="497" t="s">
        <v>34</v>
      </c>
    </row>
    <row r="68" spans="1:18" ht="16.5" thickBot="1" x14ac:dyDescent="0.3">
      <c r="A68" s="1384"/>
      <c r="B68" s="1385"/>
      <c r="C68" s="1633"/>
      <c r="D68" s="1633"/>
      <c r="E68" s="1633"/>
      <c r="F68" s="1633"/>
      <c r="G68" s="1633"/>
      <c r="H68" s="1633"/>
      <c r="I68" s="1633"/>
      <c r="J68" s="1633"/>
      <c r="K68" s="1633"/>
      <c r="L68" s="1633"/>
      <c r="M68" s="1633"/>
      <c r="N68" s="1631"/>
      <c r="O68" s="1632"/>
    </row>
    <row r="69" spans="1:18" ht="16.5" thickBot="1" x14ac:dyDescent="0.3">
      <c r="A69" s="1384"/>
      <c r="B69" s="1385"/>
      <c r="C69" s="1631"/>
      <c r="D69" s="1631"/>
      <c r="E69" s="1406" t="s">
        <v>1077</v>
      </c>
      <c r="F69" s="1634"/>
      <c r="G69" s="1635"/>
      <c r="H69" s="1635"/>
      <c r="I69" s="1635"/>
      <c r="J69" s="1635"/>
      <c r="K69" s="1635"/>
      <c r="L69" s="1635"/>
      <c r="M69" s="1636"/>
      <c r="N69" s="1631"/>
      <c r="O69" s="1632"/>
      <c r="R69" s="502">
        <f>SUM(R37:R63)</f>
        <v>0</v>
      </c>
    </row>
    <row r="70" spans="1:18" ht="15.75" thickBot="1" x14ac:dyDescent="0.25">
      <c r="A70" s="1397"/>
      <c r="B70" s="1398"/>
      <c r="C70" s="1398"/>
      <c r="D70" s="1398"/>
      <c r="E70" s="1398"/>
      <c r="F70" s="1398"/>
      <c r="G70" s="1398"/>
      <c r="H70" s="1398"/>
      <c r="I70" s="1398"/>
      <c r="J70" s="1398"/>
      <c r="K70" s="1398"/>
      <c r="L70" s="1398"/>
      <c r="M70" s="1398"/>
      <c r="N70" s="1398"/>
      <c r="O70" s="1400"/>
    </row>
    <row r="72" spans="1:18" x14ac:dyDescent="0.2">
      <c r="C72" s="1637"/>
      <c r="D72" s="1637"/>
    </row>
    <row r="73" spans="1:18" x14ac:dyDescent="0.2">
      <c r="C73" s="1637"/>
      <c r="D73" s="1637"/>
    </row>
    <row r="74" spans="1:18" ht="15.75" x14ac:dyDescent="0.2">
      <c r="C74" s="2565">
        <f>VLOOKUP(+'Part 1'!$L$17,TierSplit!$A$6:$W$332,15,FALSE)</f>
        <v>0</v>
      </c>
      <c r="D74" s="2565"/>
    </row>
    <row r="75" spans="1:18" x14ac:dyDescent="0.2">
      <c r="C75" s="1637"/>
      <c r="D75" s="1637"/>
    </row>
    <row r="76" spans="1:18" x14ac:dyDescent="0.2">
      <c r="C76" s="1637"/>
      <c r="D76" s="1637"/>
    </row>
    <row r="77" spans="1:18" x14ac:dyDescent="0.2">
      <c r="C77" s="1637"/>
      <c r="D77" s="1637"/>
    </row>
    <row r="78" spans="1:18" x14ac:dyDescent="0.2">
      <c r="C78" s="1637"/>
      <c r="D78" s="1637"/>
    </row>
    <row r="79" spans="1:18" x14ac:dyDescent="0.2">
      <c r="C79" s="1637"/>
      <c r="D79" s="1637"/>
    </row>
  </sheetData>
  <mergeCells count="33">
    <mergeCell ref="I14:J14"/>
    <mergeCell ref="L14:M14"/>
    <mergeCell ref="A2:O2"/>
    <mergeCell ref="A3:O3"/>
    <mergeCell ref="A5:O5"/>
    <mergeCell ref="A7:O7"/>
    <mergeCell ref="C9:D9"/>
    <mergeCell ref="L37:M37"/>
    <mergeCell ref="L15:M15"/>
    <mergeCell ref="I18:J18"/>
    <mergeCell ref="R18:R19"/>
    <mergeCell ref="I20:J20"/>
    <mergeCell ref="I22:J22"/>
    <mergeCell ref="I24:J24"/>
    <mergeCell ref="I26:J26"/>
    <mergeCell ref="L28:M28"/>
    <mergeCell ref="I31:J31"/>
    <mergeCell ref="I33:J33"/>
    <mergeCell ref="I35:J35"/>
    <mergeCell ref="I40:J40"/>
    <mergeCell ref="C42:G43"/>
    <mergeCell ref="I42:J42"/>
    <mergeCell ref="I45:J45"/>
    <mergeCell ref="C48:G49"/>
    <mergeCell ref="I48:J48"/>
    <mergeCell ref="C67:M67"/>
    <mergeCell ref="C74:D74"/>
    <mergeCell ref="I51:J51"/>
    <mergeCell ref="I54:J54"/>
    <mergeCell ref="I56:J56"/>
    <mergeCell ref="L58:M58"/>
    <mergeCell ref="L62:M62"/>
    <mergeCell ref="L63:M63"/>
  </mergeCells>
  <conditionalFormatting sqref="O63">
    <cfRule type="expression" dxfId="3" priority="4">
      <formula>AND($R63=0)=FALSE</formula>
    </cfRule>
  </conditionalFormatting>
  <conditionalFormatting sqref="O58">
    <cfRule type="expression" dxfId="2" priority="3">
      <formula>AND($R58=0)=FALSE</formula>
    </cfRule>
  </conditionalFormatting>
  <conditionalFormatting sqref="O37">
    <cfRule type="expression" dxfId="1" priority="2">
      <formula>AND($R37=0)=FALSE</formula>
    </cfRule>
  </conditionalFormatting>
  <conditionalFormatting sqref="O28">
    <cfRule type="expression" dxfId="0" priority="1">
      <formula>AND($R28=0)=FALSE</formula>
    </cfRule>
  </conditionalFormatting>
  <dataValidations count="8">
    <dataValidation type="whole" operator="greaterThanOrEqual" allowBlank="1" showInputMessage="1" showErrorMessage="1" errorTitle="Positive number required here" error="This MUST be a positive whole number" sqref="I24:J24 I31:J31 I33:J33 I35:J35">
      <formula1>0</formula1>
    </dataValidation>
    <dataValidation type="whole" allowBlank="1" showInputMessage="1" showErrorMessage="1" error="Whole numbers only allowed" sqref="L15:M15 I22:J22 I26:J26">
      <formula1>-100000000000000000000</formula1>
      <formula2>100000000000000000000</formula2>
    </dataValidation>
    <dataValidation type="custom" operator="greaterThanOrEqual" allowBlank="1" showInputMessage="1" showErrorMessage="1" errorTitle="Data entry prohibited" error="You cannot amend this cell" sqref="L28:M28">
      <formula1>"if(P50=""N/A"")"</formula1>
    </dataValidation>
    <dataValidation type="whole" operator="greaterThanOrEqual" allowBlank="1" showInputMessage="1" showErrorMessage="1" errorTitle="Positive whole number required" error="This number MUST be a positive whole number" sqref="I18:J18">
      <formula1>0</formula1>
    </dataValidation>
    <dataValidation type="whole" operator="lessThanOrEqual" allowBlank="1" showInputMessage="1" showErrorMessage="1" errorTitle="Negative whole number required" error="This number MUST be a negative whole number" sqref="I20:J20 I54:J54 I40:J40 I42:J42 I45:J45 I48:J48 I51:J51 I56:J56">
      <formula1>0</formula1>
    </dataValidation>
    <dataValidation type="custom" allowBlank="1" showInputMessage="1" showErrorMessage="1" errorTitle="Data entry prohibited" error="You cannot amend this cell_x000a_" sqref="L58:M58">
      <formula1>"if(P50=""n/a"")"</formula1>
    </dataValidation>
    <dataValidation type="custom" allowBlank="1" showInputMessage="1" showErrorMessage="1" errorTitle="Data entry prohibited" error="You cannot amend this cell" sqref="L37:M37">
      <formula1>"if(P50=""n/a"")"</formula1>
    </dataValidation>
    <dataValidation type="custom" allowBlank="1" showInputMessage="1" showErrorMessage="1" sqref="C74:D74">
      <formula1>"if(c65&lt;&gt;0)"</formula1>
    </dataValidation>
  </dataValidations>
  <printOptions horizontalCentered="1" verticalCentered="1"/>
  <pageMargins left="0.39370078740157483" right="0.39370078740157483" top="0.59055118110236227" bottom="0.59055118110236227" header="0.51181102362204722" footer="0.51181102362204722"/>
  <pageSetup paperSize="9" scale="5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sheetPr>
  <dimension ref="A1:L123"/>
  <sheetViews>
    <sheetView workbookViewId="0"/>
  </sheetViews>
  <sheetFormatPr defaultRowHeight="12.75" x14ac:dyDescent="0.2"/>
  <cols>
    <col min="1" max="1" width="4.7109375" style="1407" customWidth="1"/>
    <col min="2" max="2" width="22.5703125" style="1407" customWidth="1"/>
    <col min="3" max="3" width="53.7109375" style="1407" customWidth="1"/>
    <col min="4" max="4" width="4.7109375" style="1407" customWidth="1"/>
    <col min="5" max="5" width="24.7109375" style="1407" customWidth="1"/>
    <col min="6" max="7" width="2.7109375" style="1407" customWidth="1"/>
    <col min="8" max="8" width="24.7109375" style="1407" customWidth="1"/>
    <col min="9" max="9" width="6.42578125" style="1407" customWidth="1"/>
    <col min="10" max="10" width="15" style="95" bestFit="1" customWidth="1"/>
  </cols>
  <sheetData>
    <row r="1" spans="1:10" s="88" customFormat="1" ht="18" x14ac:dyDescent="0.25">
      <c r="A1" s="1629"/>
      <c r="B1" s="1629"/>
      <c r="C1" s="1629"/>
      <c r="D1" s="1629"/>
      <c r="E1" s="1629"/>
      <c r="F1" s="1629"/>
      <c r="G1" s="1629"/>
      <c r="H1" s="1629"/>
      <c r="I1" s="1630"/>
      <c r="J1" s="87"/>
    </row>
    <row r="2" spans="1:10" s="90" customFormat="1" ht="24" customHeight="1" x14ac:dyDescent="0.25">
      <c r="A2" s="2606" t="s">
        <v>274</v>
      </c>
      <c r="B2" s="2607"/>
      <c r="C2" s="2607"/>
      <c r="D2" s="2607"/>
      <c r="E2" s="2607"/>
      <c r="F2" s="2607"/>
      <c r="G2" s="2607"/>
      <c r="H2" s="2607"/>
      <c r="I2" s="2608"/>
      <c r="J2" s="89"/>
    </row>
    <row r="3" spans="1:10" s="90" customFormat="1" ht="24" customHeight="1" x14ac:dyDescent="0.25">
      <c r="A3" s="2609"/>
      <c r="B3" s="2610"/>
      <c r="C3" s="2610"/>
      <c r="D3" s="2610"/>
      <c r="E3" s="2610"/>
      <c r="F3" s="2610"/>
      <c r="G3" s="2610"/>
      <c r="H3" s="2610"/>
      <c r="I3" s="2611"/>
      <c r="J3" s="89"/>
    </row>
    <row r="4" spans="1:10" s="88" customFormat="1" ht="18" x14ac:dyDescent="0.25">
      <c r="A4" s="1639"/>
      <c r="B4" s="2607" t="s">
        <v>275</v>
      </c>
      <c r="C4" s="2610"/>
      <c r="D4" s="2610"/>
      <c r="E4" s="2610"/>
      <c r="F4" s="2610"/>
      <c r="G4" s="2610"/>
      <c r="H4" s="2610"/>
      <c r="I4" s="1640"/>
      <c r="J4" s="87"/>
    </row>
    <row r="5" spans="1:10" s="88" customFormat="1" ht="18" x14ac:dyDescent="0.25">
      <c r="A5" s="1639"/>
      <c r="B5" s="2610"/>
      <c r="C5" s="2610"/>
      <c r="D5" s="2610"/>
      <c r="E5" s="2610"/>
      <c r="F5" s="2610"/>
      <c r="G5" s="2610"/>
      <c r="H5" s="2610"/>
      <c r="I5" s="1640"/>
      <c r="J5" s="87"/>
    </row>
    <row r="6" spans="1:10" s="88" customFormat="1" ht="18" x14ac:dyDescent="0.25">
      <c r="A6" s="1639"/>
      <c r="B6" s="1561"/>
      <c r="C6" s="1561"/>
      <c r="D6" s="1561"/>
      <c r="E6" s="1561"/>
      <c r="F6" s="1561"/>
      <c r="G6" s="1561"/>
      <c r="H6" s="1561"/>
      <c r="I6" s="1640"/>
      <c r="J6" s="87"/>
    </row>
    <row r="7" spans="1:10" s="88" customFormat="1" ht="18" x14ac:dyDescent="0.25">
      <c r="A7" s="1639"/>
      <c r="B7" s="2521" t="s">
        <v>580</v>
      </c>
      <c r="C7" s="2521"/>
      <c r="D7" s="2521"/>
      <c r="E7" s="2521"/>
      <c r="F7" s="2521"/>
      <c r="G7" s="2521"/>
      <c r="H7" s="2521"/>
      <c r="I7" s="1641"/>
      <c r="J7" s="87"/>
    </row>
    <row r="8" spans="1:10" s="88" customFormat="1" ht="18" x14ac:dyDescent="0.25">
      <c r="A8" s="1639"/>
      <c r="B8" s="2521" t="s">
        <v>574</v>
      </c>
      <c r="C8" s="2521"/>
      <c r="D8" s="2521"/>
      <c r="E8" s="2521"/>
      <c r="F8" s="2521"/>
      <c r="G8" s="2521"/>
      <c r="H8" s="2521"/>
      <c r="I8" s="1641"/>
      <c r="J8" s="87"/>
    </row>
    <row r="9" spans="1:10" s="88" customFormat="1" ht="18" x14ac:dyDescent="0.25">
      <c r="A9" s="2612"/>
      <c r="B9" s="2521"/>
      <c r="C9" s="2521"/>
      <c r="D9" s="2521"/>
      <c r="E9" s="2521"/>
      <c r="F9" s="2521"/>
      <c r="G9" s="2521"/>
      <c r="H9" s="2521"/>
      <c r="I9" s="2613"/>
      <c r="J9" s="87"/>
    </row>
    <row r="10" spans="1:10" s="88" customFormat="1" ht="18" x14ac:dyDescent="0.25">
      <c r="A10" s="1642"/>
      <c r="B10" s="2614" t="s">
        <v>2158</v>
      </c>
      <c r="C10" s="2615"/>
      <c r="D10" s="2615"/>
      <c r="E10" s="2615"/>
      <c r="F10" s="2615"/>
      <c r="G10" s="2615"/>
      <c r="H10" s="2615"/>
      <c r="I10" s="1640"/>
      <c r="J10" s="320"/>
    </row>
    <row r="11" spans="1:10" s="88" customFormat="1" ht="18" x14ac:dyDescent="0.25">
      <c r="A11" s="1642"/>
      <c r="B11" s="2615"/>
      <c r="C11" s="2615"/>
      <c r="D11" s="2615"/>
      <c r="E11" s="2615"/>
      <c r="F11" s="2615"/>
      <c r="G11" s="2615"/>
      <c r="H11" s="2615"/>
      <c r="I11" s="1640"/>
      <c r="J11" s="320"/>
    </row>
    <row r="12" spans="1:10" s="37" customFormat="1" ht="15.75" x14ac:dyDescent="0.25">
      <c r="A12" s="1379"/>
      <c r="B12" s="1388"/>
      <c r="C12" s="1388"/>
      <c r="D12" s="1388"/>
      <c r="E12" s="1388"/>
      <c r="F12" s="1388"/>
      <c r="G12" s="1388"/>
      <c r="H12" s="1388"/>
      <c r="I12" s="1383"/>
      <c r="J12" s="92"/>
    </row>
    <row r="13" spans="1:10" s="37" customFormat="1" ht="15.75" x14ac:dyDescent="0.25">
      <c r="A13" s="1379"/>
      <c r="B13" s="1396" t="s">
        <v>789</v>
      </c>
      <c r="C13" s="2616" t="str">
        <f>+'Part 1'!L16</f>
        <v>ZZZZ</v>
      </c>
      <c r="D13" s="2617"/>
      <c r="E13" s="1396"/>
      <c r="F13" s="1396"/>
      <c r="G13" s="1396"/>
      <c r="H13" s="1380"/>
      <c r="I13" s="1383"/>
      <c r="J13" s="92"/>
    </row>
    <row r="14" spans="1:10" s="37" customFormat="1" ht="15.75" x14ac:dyDescent="0.25">
      <c r="A14" s="1379"/>
      <c r="B14" s="1396" t="s">
        <v>790</v>
      </c>
      <c r="C14" s="2616" t="str">
        <f>+'Part 1'!L17</f>
        <v>EZZZZ</v>
      </c>
      <c r="D14" s="2617"/>
      <c r="E14" s="1396"/>
      <c r="F14" s="1396"/>
      <c r="G14" s="1396"/>
      <c r="H14" s="1380"/>
      <c r="I14" s="1383"/>
      <c r="J14" s="92"/>
    </row>
    <row r="15" spans="1:10" s="37" customFormat="1" ht="15.75" x14ac:dyDescent="0.25">
      <c r="A15" s="1379"/>
      <c r="B15" s="1396" t="s">
        <v>571</v>
      </c>
      <c r="C15" s="2618">
        <f>+'Part 1'!L18</f>
        <v>0</v>
      </c>
      <c r="D15" s="2619"/>
      <c r="E15" s="1396"/>
      <c r="F15" s="1396"/>
      <c r="G15" s="1396"/>
      <c r="H15" s="1380"/>
      <c r="I15" s="1383"/>
      <c r="J15" s="92"/>
    </row>
    <row r="16" spans="1:10" s="37" customFormat="1" ht="15.75" x14ac:dyDescent="0.25">
      <c r="A16" s="1379"/>
      <c r="B16" s="1396" t="s">
        <v>572</v>
      </c>
      <c r="C16" s="2618">
        <f>+'Part 1'!L19</f>
        <v>0</v>
      </c>
      <c r="D16" s="2619"/>
      <c r="E16" s="1396"/>
      <c r="F16" s="1396"/>
      <c r="G16" s="1396"/>
      <c r="H16" s="1380"/>
      <c r="I16" s="1383"/>
      <c r="J16" s="92"/>
    </row>
    <row r="17" spans="1:12" s="37" customFormat="1" ht="15.75" x14ac:dyDescent="0.25">
      <c r="A17" s="1379"/>
      <c r="B17" s="1396" t="s">
        <v>573</v>
      </c>
      <c r="C17" s="2620">
        <f>+'Part 1'!L20</f>
        <v>0</v>
      </c>
      <c r="D17" s="2621"/>
      <c r="E17" s="1396"/>
      <c r="F17" s="1396"/>
      <c r="G17" s="1396"/>
      <c r="H17" s="1380"/>
      <c r="I17" s="1383"/>
      <c r="J17" s="92"/>
    </row>
    <row r="18" spans="1:12" s="37" customFormat="1" ht="15.75" thickBot="1" x14ac:dyDescent="0.25">
      <c r="A18" s="1605"/>
      <c r="B18" s="1399"/>
      <c r="C18" s="1399"/>
      <c r="D18" s="1399"/>
      <c r="E18" s="1399"/>
      <c r="F18" s="1399"/>
      <c r="G18" s="1399"/>
      <c r="H18" s="1643" t="s">
        <v>1196</v>
      </c>
      <c r="I18" s="1644">
        <v>1</v>
      </c>
      <c r="J18" s="92"/>
    </row>
    <row r="19" spans="1:12" ht="21.95" hidden="1" customHeight="1" x14ac:dyDescent="0.2">
      <c r="A19" s="1645"/>
      <c r="B19" s="2603" t="s">
        <v>1023</v>
      </c>
      <c r="C19" s="2604"/>
      <c r="D19" s="2604"/>
      <c r="E19" s="2604"/>
      <c r="F19" s="2604"/>
      <c r="G19" s="2604"/>
      <c r="H19" s="2604"/>
      <c r="I19" s="1646"/>
    </row>
    <row r="20" spans="1:12" ht="21.95" hidden="1" customHeight="1" thickBot="1" x14ac:dyDescent="0.25">
      <c r="A20" s="1647"/>
      <c r="B20" s="2605"/>
      <c r="C20" s="2605"/>
      <c r="D20" s="2605"/>
      <c r="E20" s="2605"/>
      <c r="F20" s="2605"/>
      <c r="G20" s="2605"/>
      <c r="H20" s="2605"/>
      <c r="I20" s="1648"/>
    </row>
    <row r="21" spans="1:12" ht="13.5" thickBot="1" x14ac:dyDescent="0.25">
      <c r="A21" s="1384"/>
      <c r="B21" s="1385"/>
      <c r="C21" s="1385"/>
      <c r="D21" s="1385"/>
      <c r="E21" s="1385"/>
      <c r="F21" s="1385"/>
      <c r="G21" s="1385"/>
      <c r="H21" s="1385"/>
      <c r="I21" s="1387"/>
    </row>
    <row r="22" spans="1:12" s="37" customFormat="1" ht="75.75" thickBot="1" x14ac:dyDescent="0.3">
      <c r="A22" s="1379"/>
      <c r="B22" s="2602" t="s">
        <v>2159</v>
      </c>
      <c r="C22" s="2602"/>
      <c r="D22" s="2602"/>
      <c r="E22" s="2602"/>
      <c r="F22" s="1380"/>
      <c r="G22" s="1380"/>
      <c r="H22" s="1649" t="s">
        <v>2160</v>
      </c>
      <c r="I22" s="1383"/>
      <c r="J22" s="167"/>
    </row>
    <row r="23" spans="1:12" ht="18.75" thickBot="1" x14ac:dyDescent="0.3">
      <c r="A23" s="1650"/>
      <c r="B23" s="1396" t="s">
        <v>581</v>
      </c>
      <c r="C23" s="1380"/>
      <c r="D23" s="1380"/>
      <c r="E23" s="1385"/>
      <c r="F23" s="1385"/>
      <c r="G23" s="1385"/>
      <c r="H23" s="1380"/>
      <c r="I23" s="1387"/>
      <c r="J23" s="322"/>
    </row>
    <row r="24" spans="1:12" ht="18.75" thickBot="1" x14ac:dyDescent="0.3">
      <c r="A24" s="1650"/>
      <c r="B24" s="1651" t="s">
        <v>2161</v>
      </c>
      <c r="C24" s="1652"/>
      <c r="D24" s="1653"/>
      <c r="E24" s="1653"/>
      <c r="F24" s="1385"/>
      <c r="G24" s="1654"/>
      <c r="H24" s="1655">
        <f>'Supplementary Information'!H24</f>
        <v>0</v>
      </c>
      <c r="I24" s="1387"/>
      <c r="J24" s="323"/>
      <c r="L24" s="1536"/>
    </row>
    <row r="25" spans="1:12" s="1185" customFormat="1" ht="12" customHeight="1" thickBot="1" x14ac:dyDescent="0.3">
      <c r="A25" s="1650"/>
      <c r="B25" s="1401"/>
      <c r="C25" s="1401"/>
      <c r="D25" s="1656"/>
      <c r="E25" s="1656"/>
      <c r="F25" s="1657"/>
      <c r="G25" s="1658"/>
      <c r="H25" s="1659"/>
      <c r="I25" s="1660"/>
      <c r="J25" s="325"/>
      <c r="L25" s="1729"/>
    </row>
    <row r="26" spans="1:12" ht="18.75" thickBot="1" x14ac:dyDescent="0.3">
      <c r="A26" s="1650"/>
      <c r="B26" s="2505" t="s">
        <v>2162</v>
      </c>
      <c r="C26" s="2528"/>
      <c r="D26" s="2584"/>
      <c r="E26" s="2584"/>
      <c r="F26" s="1661"/>
      <c r="G26" s="1654"/>
      <c r="H26" s="1655">
        <f>'Supplementary Information'!H26</f>
        <v>0</v>
      </c>
      <c r="I26" s="1387"/>
      <c r="J26" s="323"/>
      <c r="L26" s="1536"/>
    </row>
    <row r="27" spans="1:12" ht="18.75" thickBot="1" x14ac:dyDescent="0.3">
      <c r="A27" s="1650"/>
      <c r="B27" s="2528"/>
      <c r="C27" s="2528"/>
      <c r="D27" s="2584"/>
      <c r="E27" s="2584"/>
      <c r="F27" s="1657"/>
      <c r="G27" s="1654"/>
      <c r="H27" s="1659"/>
      <c r="I27" s="1387"/>
      <c r="J27" s="323"/>
      <c r="L27" s="1536"/>
    </row>
    <row r="28" spans="1:12" ht="18.75" thickBot="1" x14ac:dyDescent="0.3">
      <c r="A28" s="1650"/>
      <c r="B28" s="2505" t="s">
        <v>2163</v>
      </c>
      <c r="C28" s="2528"/>
      <c r="D28" s="2584"/>
      <c r="E28" s="2584"/>
      <c r="F28" s="1661"/>
      <c r="G28" s="1654"/>
      <c r="H28" s="1655">
        <f>'Supplementary Information'!H28</f>
        <v>0</v>
      </c>
      <c r="I28" s="1387"/>
      <c r="J28" s="323"/>
      <c r="L28" s="1536"/>
    </row>
    <row r="29" spans="1:12" ht="18.75" thickBot="1" x14ac:dyDescent="0.3">
      <c r="A29" s="1650"/>
      <c r="B29" s="2528"/>
      <c r="C29" s="2528"/>
      <c r="D29" s="2584"/>
      <c r="E29" s="2584"/>
      <c r="F29" s="1657"/>
      <c r="G29" s="1662"/>
      <c r="H29" s="1659"/>
      <c r="I29" s="1387"/>
      <c r="L29" s="1536"/>
    </row>
    <row r="30" spans="1:12" ht="18.75" thickBot="1" x14ac:dyDescent="0.3">
      <c r="A30" s="1650"/>
      <c r="B30" s="2505" t="s">
        <v>2164</v>
      </c>
      <c r="C30" s="2528"/>
      <c r="D30" s="2584"/>
      <c r="E30" s="2584"/>
      <c r="F30" s="1661"/>
      <c r="G30" s="1654"/>
      <c r="H30" s="1655">
        <f>'Supplementary Information'!H30</f>
        <v>0</v>
      </c>
      <c r="I30" s="1387"/>
      <c r="J30" s="323"/>
      <c r="L30" s="1536"/>
    </row>
    <row r="31" spans="1:12" ht="18.75" thickBot="1" x14ac:dyDescent="0.3">
      <c r="A31" s="1650"/>
      <c r="B31" s="2528"/>
      <c r="C31" s="2528"/>
      <c r="D31" s="2584"/>
      <c r="E31" s="2584"/>
      <c r="F31" s="1657"/>
      <c r="G31" s="1654"/>
      <c r="H31" s="1659"/>
      <c r="I31" s="1387"/>
      <c r="L31" s="1536"/>
    </row>
    <row r="32" spans="1:12" ht="18.75" thickBot="1" x14ac:dyDescent="0.3">
      <c r="A32" s="1650"/>
      <c r="B32" s="1663" t="s">
        <v>2165</v>
      </c>
      <c r="C32" s="1664"/>
      <c r="D32" s="1656"/>
      <c r="E32" s="1656"/>
      <c r="F32" s="1657"/>
      <c r="G32" s="1654"/>
      <c r="H32" s="1665">
        <f>+H34+H36+H38+H40+H42+H44</f>
        <v>0</v>
      </c>
      <c r="I32" s="1387"/>
      <c r="J32" s="323"/>
      <c r="L32" s="1536">
        <f>IF(H32='Supplementary Information'!H32,0,1)</f>
        <v>0</v>
      </c>
    </row>
    <row r="33" spans="1:12" ht="18.75" thickBot="1" x14ac:dyDescent="0.3">
      <c r="A33" s="1650"/>
      <c r="B33" s="1664" t="s">
        <v>821</v>
      </c>
      <c r="C33" s="1656"/>
      <c r="D33" s="1656"/>
      <c r="E33" s="1656"/>
      <c r="F33" s="1666"/>
      <c r="G33" s="1664"/>
      <c r="H33" s="1667"/>
      <c r="I33" s="1387"/>
      <c r="J33" s="323"/>
      <c r="L33" s="1536"/>
    </row>
    <row r="34" spans="1:12" ht="18.75" thickBot="1" x14ac:dyDescent="0.3">
      <c r="A34" s="1650"/>
      <c r="B34" s="1668" t="s">
        <v>582</v>
      </c>
      <c r="C34" s="1668"/>
      <c r="D34" s="1664"/>
      <c r="E34" s="1656"/>
      <c r="F34" s="1669"/>
      <c r="G34" s="1555"/>
      <c r="H34" s="1655">
        <f>'Supplementary Information'!H34</f>
        <v>0</v>
      </c>
      <c r="I34" s="1387"/>
      <c r="J34" s="323"/>
      <c r="L34" s="1536"/>
    </row>
    <row r="35" spans="1:12" s="277" customFormat="1" ht="12" customHeight="1" thickBot="1" x14ac:dyDescent="0.25">
      <c r="A35" s="1670"/>
      <c r="B35" s="1671"/>
      <c r="C35" s="1671"/>
      <c r="D35" s="1672"/>
      <c r="E35" s="1672"/>
      <c r="F35" s="1669"/>
      <c r="G35" s="1673"/>
      <c r="H35" s="1674"/>
      <c r="I35" s="1675"/>
      <c r="J35" s="323"/>
      <c r="L35" s="1538"/>
    </row>
    <row r="36" spans="1:12" ht="18.75" thickBot="1" x14ac:dyDescent="0.3">
      <c r="A36" s="1650"/>
      <c r="B36" s="1668" t="s">
        <v>583</v>
      </c>
      <c r="C36" s="1668"/>
      <c r="D36" s="1664"/>
      <c r="E36" s="1656"/>
      <c r="F36" s="1669"/>
      <c r="G36" s="1555"/>
      <c r="H36" s="1655">
        <f>'Supplementary Information'!H36</f>
        <v>0</v>
      </c>
      <c r="I36" s="1387"/>
      <c r="J36" s="323"/>
      <c r="L36" s="1536"/>
    </row>
    <row r="37" spans="1:12" ht="12" customHeight="1" thickBot="1" x14ac:dyDescent="0.3">
      <c r="A37" s="1650"/>
      <c r="B37" s="1668"/>
      <c r="C37" s="1668"/>
      <c r="D37" s="1664"/>
      <c r="E37" s="1656"/>
      <c r="F37" s="1669"/>
      <c r="G37" s="1555"/>
      <c r="H37" s="1661"/>
      <c r="I37" s="1387"/>
      <c r="J37" s="323"/>
      <c r="L37" s="1536"/>
    </row>
    <row r="38" spans="1:12" ht="18.75" thickBot="1" x14ac:dyDescent="0.3">
      <c r="A38" s="1650"/>
      <c r="B38" s="1668" t="s">
        <v>584</v>
      </c>
      <c r="C38" s="1668"/>
      <c r="D38" s="1664"/>
      <c r="E38" s="1656"/>
      <c r="F38" s="1669"/>
      <c r="G38" s="1555"/>
      <c r="H38" s="1655">
        <f>'Supplementary Information'!H38</f>
        <v>0</v>
      </c>
      <c r="I38" s="1387"/>
      <c r="J38" s="323"/>
      <c r="L38" s="1536"/>
    </row>
    <row r="39" spans="1:12" ht="12" customHeight="1" thickBot="1" x14ac:dyDescent="0.3">
      <c r="A39" s="1650"/>
      <c r="B39" s="1668"/>
      <c r="C39" s="1668"/>
      <c r="D39" s="1664"/>
      <c r="E39" s="1656"/>
      <c r="F39" s="1669"/>
      <c r="G39" s="1555"/>
      <c r="H39" s="1661"/>
      <c r="I39" s="1387"/>
      <c r="J39" s="323"/>
      <c r="L39" s="1536"/>
    </row>
    <row r="40" spans="1:12" ht="18.75" thickBot="1" x14ac:dyDescent="0.3">
      <c r="A40" s="1650"/>
      <c r="B40" s="1668" t="s">
        <v>585</v>
      </c>
      <c r="C40" s="1668"/>
      <c r="D40" s="1664"/>
      <c r="E40" s="1656"/>
      <c r="F40" s="1669"/>
      <c r="G40" s="1555"/>
      <c r="H40" s="1655">
        <f>'Supplementary Information'!H40</f>
        <v>0</v>
      </c>
      <c r="I40" s="1387"/>
      <c r="J40" s="323"/>
      <c r="L40" s="1536"/>
    </row>
    <row r="41" spans="1:12" ht="12" customHeight="1" thickBot="1" x14ac:dyDescent="0.3">
      <c r="A41" s="1650"/>
      <c r="B41" s="1676"/>
      <c r="C41" s="1668"/>
      <c r="D41" s="1664"/>
      <c r="E41" s="1656"/>
      <c r="F41" s="1669"/>
      <c r="G41" s="1677"/>
      <c r="H41" s="1678"/>
      <c r="I41" s="1387"/>
      <c r="J41" s="323"/>
      <c r="L41" s="1536"/>
    </row>
    <row r="42" spans="1:12" ht="18.75" thickBot="1" x14ac:dyDescent="0.3">
      <c r="A42" s="1650"/>
      <c r="B42" s="2580" t="s">
        <v>836</v>
      </c>
      <c r="C42" s="2580"/>
      <c r="D42" s="2580"/>
      <c r="E42" s="2580"/>
      <c r="F42" s="1679"/>
      <c r="G42" s="1380"/>
      <c r="H42" s="1655">
        <f>'Supplementary Information'!H42</f>
        <v>0</v>
      </c>
      <c r="I42" s="1387"/>
      <c r="J42" s="323"/>
      <c r="L42" s="1536"/>
    </row>
    <row r="43" spans="1:12" ht="12" customHeight="1" thickBot="1" x14ac:dyDescent="0.3">
      <c r="A43" s="1650"/>
      <c r="B43" s="1680"/>
      <c r="C43" s="1680"/>
      <c r="D43" s="1680"/>
      <c r="E43" s="1680"/>
      <c r="F43" s="1679"/>
      <c r="G43" s="1380"/>
      <c r="H43" s="1661"/>
      <c r="I43" s="1387"/>
      <c r="J43" s="323"/>
      <c r="L43" s="1536"/>
    </row>
    <row r="44" spans="1:12" ht="18.75" thickBot="1" x14ac:dyDescent="0.3">
      <c r="A44" s="1681"/>
      <c r="B44" s="2580" t="s">
        <v>586</v>
      </c>
      <c r="C44" s="2580"/>
      <c r="D44" s="2580"/>
      <c r="E44" s="2580"/>
      <c r="F44" s="1657"/>
      <c r="G44" s="1682"/>
      <c r="H44" s="1655">
        <f>'Supplementary Information'!H44</f>
        <v>0</v>
      </c>
      <c r="I44" s="1683"/>
      <c r="J44" s="323"/>
      <c r="L44" s="1536"/>
    </row>
    <row r="45" spans="1:12" ht="18.75" customHeight="1" x14ac:dyDescent="0.25">
      <c r="A45" s="1681"/>
      <c r="B45" s="1680"/>
      <c r="C45" s="1680"/>
      <c r="D45" s="1680"/>
      <c r="E45" s="1680"/>
      <c r="F45" s="2600" t="str">
        <f>IF((AND(H32-H34-H36-H38-H40-H42-H44&lt;&gt;0)),"Ei to Evi do not sum to E total","")</f>
        <v/>
      </c>
      <c r="G45" s="2601"/>
      <c r="H45" s="2601"/>
      <c r="I45" s="1683"/>
      <c r="J45" s="323"/>
      <c r="L45" s="1536"/>
    </row>
    <row r="46" spans="1:12" ht="18.75" thickBot="1" x14ac:dyDescent="0.3">
      <c r="A46" s="1650"/>
      <c r="B46" s="1684" t="s">
        <v>587</v>
      </c>
      <c r="C46" s="1652"/>
      <c r="D46" s="1555"/>
      <c r="E46" s="1385"/>
      <c r="F46" s="1661"/>
      <c r="G46" s="1654"/>
      <c r="H46" s="1659"/>
      <c r="I46" s="1387"/>
      <c r="L46" s="1536"/>
    </row>
    <row r="47" spans="1:12" ht="18.75" thickBot="1" x14ac:dyDescent="0.3">
      <c r="A47" s="1650"/>
      <c r="B47" s="2505" t="s">
        <v>2166</v>
      </c>
      <c r="C47" s="2506"/>
      <c r="D47" s="2506"/>
      <c r="E47" s="2506"/>
      <c r="F47" s="1657"/>
      <c r="G47" s="1380"/>
      <c r="H47" s="1655">
        <f>'Supplementary Information'!H47</f>
        <v>0</v>
      </c>
      <c r="I47" s="1387"/>
      <c r="J47" s="323"/>
      <c r="L47" s="1536"/>
    </row>
    <row r="48" spans="1:12" ht="15" customHeight="1" thickBot="1" x14ac:dyDescent="0.3">
      <c r="A48" s="1650"/>
      <c r="B48" s="1401"/>
      <c r="C48" s="1401"/>
      <c r="D48" s="1685"/>
      <c r="E48" s="1685"/>
      <c r="F48" s="1657"/>
      <c r="G48" s="1380"/>
      <c r="H48" s="1659"/>
      <c r="I48" s="1387"/>
      <c r="L48" s="1536"/>
    </row>
    <row r="49" spans="1:12" ht="18.75" thickBot="1" x14ac:dyDescent="0.3">
      <c r="A49" s="1650"/>
      <c r="B49" s="2505" t="s">
        <v>2167</v>
      </c>
      <c r="C49" s="2528"/>
      <c r="D49" s="2584"/>
      <c r="E49" s="2584"/>
      <c r="F49" s="1653"/>
      <c r="G49" s="1380"/>
      <c r="H49" s="1655">
        <f>'Supplementary Information'!H49</f>
        <v>0</v>
      </c>
      <c r="I49" s="1387"/>
      <c r="J49" s="323"/>
      <c r="L49" s="1536"/>
    </row>
    <row r="50" spans="1:12" ht="18.75" thickBot="1" x14ac:dyDescent="0.3">
      <c r="A50" s="1650"/>
      <c r="B50" s="2528"/>
      <c r="C50" s="2528"/>
      <c r="D50" s="2584"/>
      <c r="E50" s="2584"/>
      <c r="F50" s="1686"/>
      <c r="G50" s="1654"/>
      <c r="H50" s="1659"/>
      <c r="I50" s="1387"/>
      <c r="L50" s="1536"/>
    </row>
    <row r="51" spans="1:12" ht="18.75" thickBot="1" x14ac:dyDescent="0.3">
      <c r="A51" s="1650"/>
      <c r="B51" s="2505" t="s">
        <v>2168</v>
      </c>
      <c r="C51" s="2528"/>
      <c r="D51" s="2584"/>
      <c r="E51" s="2584"/>
      <c r="F51" s="1661"/>
      <c r="G51" s="1654"/>
      <c r="H51" s="1655">
        <f>'Supplementary Information'!H51</f>
        <v>0</v>
      </c>
      <c r="I51" s="1387"/>
      <c r="J51" s="323"/>
      <c r="L51" s="1536"/>
    </row>
    <row r="52" spans="1:12" ht="18.75" thickBot="1" x14ac:dyDescent="0.3">
      <c r="A52" s="1650"/>
      <c r="B52" s="2528"/>
      <c r="C52" s="2528"/>
      <c r="D52" s="2584"/>
      <c r="E52" s="2584"/>
      <c r="F52" s="1679"/>
      <c r="G52" s="1654"/>
      <c r="H52" s="1659"/>
      <c r="I52" s="1387"/>
      <c r="L52" s="1536"/>
    </row>
    <row r="53" spans="1:12" ht="18.75" thickBot="1" x14ac:dyDescent="0.3">
      <c r="A53" s="1650"/>
      <c r="B53" s="2505" t="s">
        <v>2169</v>
      </c>
      <c r="C53" s="2528"/>
      <c r="D53" s="2528"/>
      <c r="E53" s="2528"/>
      <c r="F53" s="1661"/>
      <c r="G53" s="1654"/>
      <c r="H53" s="1655">
        <f>'Supplementary Information'!H53</f>
        <v>0</v>
      </c>
      <c r="I53" s="1387"/>
      <c r="J53" s="323"/>
      <c r="L53" s="1536"/>
    </row>
    <row r="54" spans="1:12" ht="18.75" thickBot="1" x14ac:dyDescent="0.3">
      <c r="A54" s="1650"/>
      <c r="B54" s="2529"/>
      <c r="C54" s="2529"/>
      <c r="D54" s="2529"/>
      <c r="E54" s="2529"/>
      <c r="F54" s="1679"/>
      <c r="G54" s="1654"/>
      <c r="H54" s="1659"/>
      <c r="I54" s="1387"/>
      <c r="L54" s="1536"/>
    </row>
    <row r="55" spans="1:12" ht="18.75" thickBot="1" x14ac:dyDescent="0.3">
      <c r="A55" s="1650"/>
      <c r="B55" s="2505" t="s">
        <v>2170</v>
      </c>
      <c r="C55" s="2528"/>
      <c r="D55" s="2584"/>
      <c r="E55" s="2584"/>
      <c r="F55" s="1661"/>
      <c r="G55" s="1654"/>
      <c r="H55" s="1655">
        <f>'Supplementary Information'!H55</f>
        <v>0</v>
      </c>
      <c r="I55" s="1387"/>
      <c r="J55" s="323"/>
      <c r="L55" s="1536"/>
    </row>
    <row r="56" spans="1:12" ht="18.75" thickBot="1" x14ac:dyDescent="0.3">
      <c r="A56" s="1650"/>
      <c r="B56" s="2528"/>
      <c r="C56" s="2528"/>
      <c r="D56" s="2584"/>
      <c r="E56" s="2584"/>
      <c r="F56" s="1661"/>
      <c r="G56" s="1654"/>
      <c r="H56" s="1659"/>
      <c r="I56" s="1387"/>
      <c r="J56" s="323"/>
      <c r="L56" s="1536"/>
    </row>
    <row r="57" spans="1:12" ht="18.75" thickBot="1" x14ac:dyDescent="0.3">
      <c r="A57" s="1650"/>
      <c r="B57" s="1663" t="s">
        <v>2171</v>
      </c>
      <c r="C57" s="1664"/>
      <c r="D57" s="1656"/>
      <c r="E57" s="1656"/>
      <c r="F57" s="1679"/>
      <c r="G57" s="1654"/>
      <c r="H57" s="1655">
        <f>'Supplementary Information'!H57</f>
        <v>0</v>
      </c>
      <c r="I57" s="1387"/>
      <c r="J57" s="323"/>
      <c r="L57" s="1536"/>
    </row>
    <row r="58" spans="1:12" ht="15" customHeight="1" thickBot="1" x14ac:dyDescent="0.3">
      <c r="A58" s="1650"/>
      <c r="B58" s="1664"/>
      <c r="C58" s="1664"/>
      <c r="D58" s="1656"/>
      <c r="E58" s="1656"/>
      <c r="F58" s="1679"/>
      <c r="G58" s="1654"/>
      <c r="H58" s="1661"/>
      <c r="I58" s="1387"/>
      <c r="J58" s="323"/>
      <c r="L58" s="1536"/>
    </row>
    <row r="59" spans="1:12" ht="18.75" thickBot="1" x14ac:dyDescent="0.3">
      <c r="A59" s="1650"/>
      <c r="B59" s="1663" t="s">
        <v>2172</v>
      </c>
      <c r="C59" s="1664"/>
      <c r="D59" s="1656"/>
      <c r="E59" s="1656"/>
      <c r="F59" s="1679"/>
      <c r="G59" s="1654"/>
      <c r="H59" s="1655">
        <f>'Supplementary Information'!H59</f>
        <v>0</v>
      </c>
      <c r="I59" s="1387"/>
      <c r="J59" s="323"/>
      <c r="L59" s="1536"/>
    </row>
    <row r="60" spans="1:12" ht="15" customHeight="1" x14ac:dyDescent="0.25">
      <c r="A60" s="1650"/>
      <c r="B60" s="1664"/>
      <c r="C60" s="1664"/>
      <c r="D60" s="1656"/>
      <c r="E60" s="1656"/>
      <c r="F60" s="1679"/>
      <c r="G60" s="1654"/>
      <c r="H60" s="1661"/>
      <c r="I60" s="1387"/>
      <c r="J60" s="323"/>
      <c r="L60" s="1536"/>
    </row>
    <row r="61" spans="1:12" ht="18.75" thickBot="1" x14ac:dyDescent="0.3">
      <c r="A61" s="1650"/>
      <c r="B61" s="1687" t="s">
        <v>1059</v>
      </c>
      <c r="C61" s="1664"/>
      <c r="D61" s="1656"/>
      <c r="E61" s="1656"/>
      <c r="F61" s="1679"/>
      <c r="G61" s="1654"/>
      <c r="H61" s="1661"/>
      <c r="I61" s="1387"/>
      <c r="J61" s="323"/>
      <c r="L61" s="1536"/>
    </row>
    <row r="62" spans="1:12" ht="18.75" thickBot="1" x14ac:dyDescent="0.3">
      <c r="A62" s="1650"/>
      <c r="B62" s="1663" t="s">
        <v>2173</v>
      </c>
      <c r="C62" s="1664"/>
      <c r="D62" s="1656"/>
      <c r="E62" s="1656"/>
      <c r="F62" s="1679"/>
      <c r="G62" s="1654"/>
      <c r="H62" s="1655">
        <f>'Supplementary Information'!H62</f>
        <v>0</v>
      </c>
      <c r="I62" s="1387"/>
      <c r="J62" s="323"/>
      <c r="L62" s="1536"/>
    </row>
    <row r="63" spans="1:12" ht="15" customHeight="1" thickBot="1" x14ac:dyDescent="0.3">
      <c r="A63" s="1650"/>
      <c r="B63" s="1664"/>
      <c r="C63" s="1664"/>
      <c r="D63" s="1656"/>
      <c r="E63" s="1656"/>
      <c r="F63" s="1679"/>
      <c r="G63" s="1654"/>
      <c r="H63" s="1661"/>
      <c r="I63" s="1387"/>
      <c r="J63" s="323"/>
      <c r="L63" s="1536"/>
    </row>
    <row r="64" spans="1:12" ht="18.75" thickBot="1" x14ac:dyDescent="0.3">
      <c r="A64" s="1650"/>
      <c r="B64" s="1663" t="s">
        <v>2174</v>
      </c>
      <c r="C64" s="1664"/>
      <c r="D64" s="1656"/>
      <c r="E64" s="1656"/>
      <c r="F64" s="1679"/>
      <c r="G64" s="1654"/>
      <c r="H64" s="1655">
        <f>'Supplementary Information'!H64</f>
        <v>0</v>
      </c>
      <c r="I64" s="1387"/>
      <c r="J64" s="323"/>
      <c r="L64" s="1536"/>
    </row>
    <row r="65" spans="1:12" ht="14.25" customHeight="1" x14ac:dyDescent="0.25">
      <c r="A65" s="1650"/>
      <c r="B65" s="1664"/>
      <c r="C65" s="1664"/>
      <c r="D65" s="1656"/>
      <c r="E65" s="1656"/>
      <c r="F65" s="1679"/>
      <c r="G65" s="1654"/>
      <c r="H65" s="1661"/>
      <c r="I65" s="1387"/>
      <c r="J65" s="323"/>
      <c r="L65" s="1536"/>
    </row>
    <row r="66" spans="1:12" ht="0.75" hidden="1" customHeight="1" thickBot="1" x14ac:dyDescent="0.3">
      <c r="A66" s="1650"/>
      <c r="B66" s="1663" t="s">
        <v>2175</v>
      </c>
      <c r="C66" s="1664"/>
      <c r="D66" s="1656"/>
      <c r="E66" s="1656"/>
      <c r="F66" s="1679"/>
      <c r="G66" s="1654"/>
      <c r="H66" s="1655">
        <f>'Supplementary Information'!H66</f>
        <v>0</v>
      </c>
      <c r="I66" s="1387"/>
      <c r="J66" s="323"/>
      <c r="L66" s="1536"/>
    </row>
    <row r="67" spans="1:12" ht="15" customHeight="1" x14ac:dyDescent="0.25">
      <c r="A67" s="1650"/>
      <c r="B67" s="1664"/>
      <c r="C67" s="1664"/>
      <c r="D67" s="1656"/>
      <c r="E67" s="1656"/>
      <c r="F67" s="1686"/>
      <c r="G67" s="1654"/>
      <c r="H67" s="1659"/>
      <c r="I67" s="1387"/>
      <c r="L67" s="1536"/>
    </row>
    <row r="68" spans="1:12" ht="18.75" thickBot="1" x14ac:dyDescent="0.3">
      <c r="A68" s="1650"/>
      <c r="B68" s="1396" t="s">
        <v>588</v>
      </c>
      <c r="C68" s="1380"/>
      <c r="D68" s="1688"/>
      <c r="E68" s="1688"/>
      <c r="F68" s="1679"/>
      <c r="G68" s="1654"/>
      <c r="H68" s="1661"/>
      <c r="I68" s="1387"/>
      <c r="L68" s="1536"/>
    </row>
    <row r="69" spans="1:12" ht="18.75" thickBot="1" x14ac:dyDescent="0.3">
      <c r="A69" s="1650"/>
      <c r="B69" s="2505" t="s">
        <v>2358</v>
      </c>
      <c r="C69" s="2517"/>
      <c r="D69" s="2517"/>
      <c r="E69" s="2517"/>
      <c r="F69" s="1679"/>
      <c r="G69" s="1567"/>
      <c r="H69" s="1655">
        <f>'Supplementary Information'!H69</f>
        <v>0</v>
      </c>
      <c r="I69" s="1689"/>
      <c r="J69" s="323"/>
      <c r="L69" s="1536"/>
    </row>
    <row r="70" spans="1:12" ht="18.75" thickBot="1" x14ac:dyDescent="0.3">
      <c r="A70" s="1650"/>
      <c r="B70" s="2517"/>
      <c r="C70" s="2517"/>
      <c r="D70" s="2517"/>
      <c r="E70" s="2517"/>
      <c r="F70" s="1688"/>
      <c r="G70" s="1688"/>
      <c r="H70" s="1679" t="str">
        <f>IF((AND(H69=0)),"How many hereditaments contributing?","")</f>
        <v>How many hereditaments contributing?</v>
      </c>
      <c r="I70" s="1689"/>
      <c r="L70" s="1536"/>
    </row>
    <row r="71" spans="1:12" ht="18.75" thickBot="1" x14ac:dyDescent="0.3">
      <c r="A71" s="1650"/>
      <c r="B71" s="2505" t="s">
        <v>2359</v>
      </c>
      <c r="C71" s="2528"/>
      <c r="D71" s="2529"/>
      <c r="E71" s="2529"/>
      <c r="F71" s="1688"/>
      <c r="G71" s="1688"/>
      <c r="H71" s="1665">
        <f>+H74+H76</f>
        <v>0</v>
      </c>
      <c r="I71" s="1689"/>
      <c r="L71" s="1536">
        <f>IF(H71='Supplementary Information'!H71,0,1)</f>
        <v>0</v>
      </c>
    </row>
    <row r="72" spans="1:12" ht="18" x14ac:dyDescent="0.25">
      <c r="A72" s="1650"/>
      <c r="B72" s="2528"/>
      <c r="C72" s="2528"/>
      <c r="D72" s="2529"/>
      <c r="E72" s="2529"/>
      <c r="F72" s="1688"/>
      <c r="G72" s="1688"/>
      <c r="H72" s="2587" t="str">
        <f>IF((AND(H71=0)),"How many hereditaments are receiving a discount?","")</f>
        <v>How many hereditaments are receiving a discount?</v>
      </c>
      <c r="I72" s="1640"/>
      <c r="L72" s="1536"/>
    </row>
    <row r="73" spans="1:12" ht="18.75" thickBot="1" x14ac:dyDescent="0.3">
      <c r="A73" s="1650"/>
      <c r="B73" s="1380" t="s">
        <v>821</v>
      </c>
      <c r="C73" s="1685"/>
      <c r="D73" s="1685"/>
      <c r="E73" s="1685"/>
      <c r="F73" s="1688"/>
      <c r="G73" s="1688"/>
      <c r="H73" s="2588"/>
      <c r="I73" s="1689"/>
      <c r="L73" s="1536"/>
    </row>
    <row r="74" spans="1:12" s="116" customFormat="1" ht="16.5" thickBot="1" x14ac:dyDescent="0.25">
      <c r="A74" s="1642"/>
      <c r="B74" s="2580" t="s">
        <v>2334</v>
      </c>
      <c r="C74" s="2580"/>
      <c r="D74" s="2589"/>
      <c r="E74" s="2589"/>
      <c r="F74" s="1561"/>
      <c r="G74" s="1561"/>
      <c r="H74" s="1655">
        <f>'Supplementary Information'!H74</f>
        <v>0</v>
      </c>
      <c r="I74" s="1689"/>
      <c r="J74" s="115"/>
      <c r="L74" s="1536"/>
    </row>
    <row r="75" spans="1:12" ht="15" customHeight="1" thickBot="1" x14ac:dyDescent="0.3">
      <c r="A75" s="1650"/>
      <c r="B75" s="2590"/>
      <c r="C75" s="2590"/>
      <c r="D75" s="2589"/>
      <c r="E75" s="2589"/>
      <c r="F75" s="1688"/>
      <c r="G75" s="1688"/>
      <c r="H75" s="1690"/>
      <c r="I75" s="1689"/>
      <c r="L75" s="1536"/>
    </row>
    <row r="76" spans="1:12" ht="18.75" thickBot="1" x14ac:dyDescent="0.3">
      <c r="A76" s="1650"/>
      <c r="B76" s="2580" t="s">
        <v>2335</v>
      </c>
      <c r="C76" s="2580"/>
      <c r="D76" s="2589"/>
      <c r="E76" s="2589"/>
      <c r="F76" s="1691"/>
      <c r="G76" s="1380"/>
      <c r="H76" s="1655">
        <f>'Supplementary Information'!H76</f>
        <v>0</v>
      </c>
      <c r="I76" s="1689"/>
      <c r="L76" s="1536"/>
    </row>
    <row r="77" spans="1:12" ht="18" customHeight="1" thickBot="1" x14ac:dyDescent="0.3">
      <c r="A77" s="1650"/>
      <c r="B77" s="2580"/>
      <c r="C77" s="2580"/>
      <c r="D77" s="2589"/>
      <c r="E77" s="2589"/>
      <c r="F77" s="2591" t="str">
        <f>IF((AND(H71-H74-H76&lt;&gt;0)),"Qi &amp; Qii do not sum to Q total","")</f>
        <v/>
      </c>
      <c r="G77" s="2591"/>
      <c r="H77" s="2591"/>
      <c r="I77" s="1689"/>
      <c r="L77" s="1536"/>
    </row>
    <row r="78" spans="1:12" ht="18.75" thickBot="1" x14ac:dyDescent="0.3">
      <c r="A78" s="1650"/>
      <c r="B78" s="2505" t="s">
        <v>2360</v>
      </c>
      <c r="C78" s="2506"/>
      <c r="D78" s="2506"/>
      <c r="E78" s="2506"/>
      <c r="F78" s="1692"/>
      <c r="G78" s="1693"/>
      <c r="H78" s="1655">
        <f>'Supplementary Information'!H78</f>
        <v>0</v>
      </c>
      <c r="I78" s="1689"/>
      <c r="L78" s="1536"/>
    </row>
    <row r="79" spans="1:12" ht="18" x14ac:dyDescent="0.25">
      <c r="A79" s="1650"/>
      <c r="B79" s="2506"/>
      <c r="C79" s="2506"/>
      <c r="D79" s="2506"/>
      <c r="E79" s="2506"/>
      <c r="F79" s="2592" t="str">
        <f>IF((AND(H78=0)),"How many hereditaments are paying just the small business rate multiplier?","")</f>
        <v>How many hereditaments are paying just the small business rate multiplier?</v>
      </c>
      <c r="G79" s="2593"/>
      <c r="H79" s="2593"/>
      <c r="I79" s="2594"/>
      <c r="L79" s="1536"/>
    </row>
    <row r="80" spans="1:12" ht="18.75" thickBot="1" x14ac:dyDescent="0.3">
      <c r="A80" s="1694"/>
      <c r="B80" s="2597" t="s">
        <v>2176</v>
      </c>
      <c r="C80" s="2597"/>
      <c r="D80" s="2597"/>
      <c r="E80" s="2597"/>
      <c r="F80" s="2595"/>
      <c r="G80" s="2595"/>
      <c r="H80" s="2595"/>
      <c r="I80" s="2596"/>
      <c r="K80" s="277"/>
      <c r="L80" s="1536"/>
    </row>
    <row r="81" spans="1:12" x14ac:dyDescent="0.2">
      <c r="A81" s="1376"/>
      <c r="B81" s="1377"/>
      <c r="C81" s="1377"/>
      <c r="D81" s="1377"/>
      <c r="E81" s="1377"/>
      <c r="F81" s="1377"/>
      <c r="G81" s="1377"/>
      <c r="H81" s="1377"/>
      <c r="I81" s="1378"/>
      <c r="L81" s="1536"/>
    </row>
    <row r="82" spans="1:12" ht="18" x14ac:dyDescent="0.25">
      <c r="A82" s="1695"/>
      <c r="B82" s="1696" t="s">
        <v>2177</v>
      </c>
      <c r="C82" s="1697"/>
      <c r="D82" s="1697"/>
      <c r="E82" s="1697"/>
      <c r="F82" s="1697"/>
      <c r="G82" s="1697"/>
      <c r="H82" s="1698" t="str">
        <f>+C13</f>
        <v>ZZZZ</v>
      </c>
      <c r="I82" s="1699"/>
      <c r="L82" s="1536"/>
    </row>
    <row r="83" spans="1:12" ht="15.75" thickBot="1" x14ac:dyDescent="0.25">
      <c r="A83" s="1397"/>
      <c r="B83" s="1398"/>
      <c r="C83" s="1398"/>
      <c r="D83" s="1398"/>
      <c r="E83" s="1398"/>
      <c r="F83" s="1398"/>
      <c r="G83" s="1398"/>
      <c r="H83" s="1643" t="s">
        <v>1196</v>
      </c>
      <c r="I83" s="1644">
        <v>1</v>
      </c>
      <c r="L83" s="1536"/>
    </row>
    <row r="84" spans="1:12" ht="13.5" thickBot="1" x14ac:dyDescent="0.25">
      <c r="A84" s="1384"/>
      <c r="D84" s="1385"/>
      <c r="E84" s="1385"/>
      <c r="F84" s="1385"/>
      <c r="G84" s="1385"/>
      <c r="H84" s="1385"/>
      <c r="I84" s="1387"/>
      <c r="L84" s="1536"/>
    </row>
    <row r="85" spans="1:12" ht="45.75" thickBot="1" x14ac:dyDescent="0.3">
      <c r="A85" s="1384"/>
      <c r="B85" s="2598" t="s">
        <v>2179</v>
      </c>
      <c r="C85" s="2599"/>
      <c r="D85" s="2599"/>
      <c r="E85" s="2599"/>
      <c r="F85" s="1385"/>
      <c r="G85" s="1385"/>
      <c r="H85" s="1700" t="s">
        <v>2178</v>
      </c>
      <c r="I85" s="1387"/>
      <c r="L85" s="1536"/>
    </row>
    <row r="86" spans="1:12" ht="18.75" thickBot="1" x14ac:dyDescent="0.3">
      <c r="A86" s="1650"/>
      <c r="B86" s="1396" t="s">
        <v>569</v>
      </c>
      <c r="C86" s="1380"/>
      <c r="D86" s="1380"/>
      <c r="E86" s="1385"/>
      <c r="F86" s="1386"/>
      <c r="G86" s="1386"/>
      <c r="H86" s="1550"/>
      <c r="I86" s="1387"/>
      <c r="L86" s="1536"/>
    </row>
    <row r="87" spans="1:12" ht="18.75" thickBot="1" x14ac:dyDescent="0.3">
      <c r="A87" s="1650"/>
      <c r="B87" s="2505" t="s">
        <v>2180</v>
      </c>
      <c r="C87" s="2506"/>
      <c r="D87" s="2506"/>
      <c r="E87" s="2506"/>
      <c r="F87" s="1701"/>
      <c r="G87" s="1701"/>
      <c r="H87" s="1702">
        <f>+'Part 2'!R96</f>
        <v>0</v>
      </c>
      <c r="I87" s="1387"/>
      <c r="L87" s="1536">
        <f>IF(H87='Supplementary Information'!H87,0,1)</f>
        <v>0</v>
      </c>
    </row>
    <row r="88" spans="1:12" ht="18" x14ac:dyDescent="0.25">
      <c r="A88" s="1650"/>
      <c r="B88" s="1685"/>
      <c r="C88" s="2585" t="str">
        <f>IF((NOT($H$90+$H$92+$H$94+$H$96+$H$98+$H$100=$H$87)),"Rows i to iv must add up to line a above","")</f>
        <v/>
      </c>
      <c r="D88" s="2586"/>
      <c r="E88" s="2586"/>
      <c r="F88" s="2586"/>
      <c r="G88" s="2586"/>
      <c r="H88" s="2586"/>
      <c r="I88" s="1387"/>
      <c r="L88" s="1536"/>
    </row>
    <row r="89" spans="1:12" ht="13.5" customHeight="1" thickBot="1" x14ac:dyDescent="0.3">
      <c r="A89" s="1650"/>
      <c r="B89" s="1664" t="s">
        <v>821</v>
      </c>
      <c r="C89" s="1656"/>
      <c r="D89" s="1656"/>
      <c r="E89" s="1656"/>
      <c r="F89" s="1653"/>
      <c r="G89" s="1653"/>
      <c r="H89" s="1703"/>
      <c r="I89" s="1387"/>
      <c r="L89" s="1536"/>
    </row>
    <row r="90" spans="1:12" ht="18.75" thickBot="1" x14ac:dyDescent="0.3">
      <c r="A90" s="1650"/>
      <c r="B90" s="1668" t="s">
        <v>276</v>
      </c>
      <c r="C90" s="1668"/>
      <c r="D90" s="1664"/>
      <c r="E90" s="1656"/>
      <c r="F90" s="1704"/>
      <c r="G90" s="1704"/>
      <c r="H90" s="1655">
        <f>'Supplementary Information'!H90</f>
        <v>0</v>
      </c>
      <c r="I90" s="1387"/>
      <c r="L90" s="1536"/>
    </row>
    <row r="91" spans="1:12" ht="18.75" thickBot="1" x14ac:dyDescent="0.3">
      <c r="A91" s="1650"/>
      <c r="B91" s="1676"/>
      <c r="C91" s="1668"/>
      <c r="D91" s="1664"/>
      <c r="E91" s="1656"/>
      <c r="F91" s="1705"/>
      <c r="G91" s="1705"/>
      <c r="H91" s="1679" t="str">
        <f>IF((AND(H90=0,F90&gt;0)),"How much relief received?","")</f>
        <v/>
      </c>
      <c r="I91" s="1387"/>
      <c r="L91" s="1536"/>
    </row>
    <row r="92" spans="1:12" ht="18.75" thickBot="1" x14ac:dyDescent="0.3">
      <c r="A92" s="1650"/>
      <c r="B92" s="1668" t="s">
        <v>277</v>
      </c>
      <c r="C92" s="1668"/>
      <c r="D92" s="1664"/>
      <c r="E92" s="1656"/>
      <c r="F92" s="1704"/>
      <c r="G92" s="1704"/>
      <c r="H92" s="1706">
        <f>'Supplementary Information'!H92</f>
        <v>0</v>
      </c>
      <c r="I92" s="1387"/>
      <c r="L92" s="1536"/>
    </row>
    <row r="93" spans="1:12" ht="18.75" thickBot="1" x14ac:dyDescent="0.3">
      <c r="A93" s="1650"/>
      <c r="B93" s="1668"/>
      <c r="C93" s="1668"/>
      <c r="D93" s="1664"/>
      <c r="E93" s="1656"/>
      <c r="F93" s="1705"/>
      <c r="G93" s="1705"/>
      <c r="H93" s="1679" t="str">
        <f>IF((AND(H92=0,F92&gt;0)),"How much relief received?","")</f>
        <v/>
      </c>
      <c r="I93" s="1689"/>
      <c r="L93" s="1536"/>
    </row>
    <row r="94" spans="1:12" ht="18.75" thickBot="1" x14ac:dyDescent="0.3">
      <c r="A94" s="1650"/>
      <c r="B94" s="1668" t="s">
        <v>278</v>
      </c>
      <c r="C94" s="1668"/>
      <c r="D94" s="1664"/>
      <c r="E94" s="1656"/>
      <c r="F94" s="1704"/>
      <c r="G94" s="1704"/>
      <c r="H94" s="1706">
        <f>'Supplementary Information'!H94</f>
        <v>0</v>
      </c>
      <c r="I94" s="1387"/>
      <c r="L94" s="1536"/>
    </row>
    <row r="95" spans="1:12" ht="18.75" thickBot="1" x14ac:dyDescent="0.3">
      <c r="A95" s="1650"/>
      <c r="B95" s="1668"/>
      <c r="C95" s="1668"/>
      <c r="D95" s="1664"/>
      <c r="E95" s="1656"/>
      <c r="F95" s="1705"/>
      <c r="G95" s="1705"/>
      <c r="H95" s="1679" t="str">
        <f>IF((AND(H94=0,F94&gt;0)),"How much relief received?","")</f>
        <v/>
      </c>
      <c r="I95" s="1387"/>
      <c r="L95" s="1536"/>
    </row>
    <row r="96" spans="1:12" ht="18.75" thickBot="1" x14ac:dyDescent="0.3">
      <c r="A96" s="1650"/>
      <c r="B96" s="1668" t="s">
        <v>279</v>
      </c>
      <c r="C96" s="1668"/>
      <c r="D96" s="1664"/>
      <c r="E96" s="1656"/>
      <c r="F96" s="1704"/>
      <c r="G96" s="1704"/>
      <c r="H96" s="1706">
        <f>'Supplementary Information'!H96</f>
        <v>0</v>
      </c>
      <c r="I96" s="1387"/>
      <c r="L96" s="1536"/>
    </row>
    <row r="97" spans="1:12" ht="18.75" thickBot="1" x14ac:dyDescent="0.3">
      <c r="A97" s="1650"/>
      <c r="B97" s="1668"/>
      <c r="C97" s="1668"/>
      <c r="D97" s="1664"/>
      <c r="E97" s="1656"/>
      <c r="F97" s="1705"/>
      <c r="G97" s="1705"/>
      <c r="H97" s="1679" t="str">
        <f>IF((AND(H96=0,F96&gt;0)),"How much relief received?","")</f>
        <v/>
      </c>
      <c r="I97" s="1387"/>
      <c r="L97" s="1536"/>
    </row>
    <row r="98" spans="1:12" ht="18.75" thickBot="1" x14ac:dyDescent="0.3">
      <c r="A98" s="1650"/>
      <c r="B98" s="2580" t="s">
        <v>835</v>
      </c>
      <c r="C98" s="2581"/>
      <c r="D98" s="2581"/>
      <c r="E98" s="2581"/>
      <c r="F98" s="2581"/>
      <c r="G98" s="1707"/>
      <c r="H98" s="1706">
        <f>'Supplementary Information'!H98</f>
        <v>0</v>
      </c>
      <c r="I98" s="1387"/>
      <c r="L98" s="1536"/>
    </row>
    <row r="99" spans="1:12" ht="18.75" thickBot="1" x14ac:dyDescent="0.3">
      <c r="A99" s="1650"/>
      <c r="B99" s="2581"/>
      <c r="C99" s="2581"/>
      <c r="D99" s="2581"/>
      <c r="E99" s="2581"/>
      <c r="F99" s="2581"/>
      <c r="G99" s="1705"/>
      <c r="H99" s="1708"/>
      <c r="I99" s="1387"/>
      <c r="L99" s="1536"/>
    </row>
    <row r="100" spans="1:12" ht="18.75" thickBot="1" x14ac:dyDescent="0.3">
      <c r="A100" s="1650"/>
      <c r="B100" s="2580" t="s">
        <v>280</v>
      </c>
      <c r="C100" s="2581"/>
      <c r="D100" s="2581"/>
      <c r="E100" s="2581"/>
      <c r="F100" s="1679"/>
      <c r="G100" s="1380"/>
      <c r="H100" s="1706">
        <f>'Supplementary Information'!H100</f>
        <v>0</v>
      </c>
      <c r="I100" s="1387"/>
      <c r="L100" s="1536"/>
    </row>
    <row r="101" spans="1:12" ht="18" x14ac:dyDescent="0.25">
      <c r="A101" s="1650"/>
      <c r="B101" s="2581"/>
      <c r="C101" s="2581"/>
      <c r="D101" s="2581"/>
      <c r="E101" s="2581"/>
      <c r="F101" s="2582" t="str">
        <f>IF((AND(H87-H90-H92-H94-H96-H98-H100&lt;&gt;0)),"Ai to Avi do not sum to A total","")</f>
        <v/>
      </c>
      <c r="G101" s="2582"/>
      <c r="H101" s="2582"/>
      <c r="I101" s="1387"/>
      <c r="L101" s="1536"/>
    </row>
    <row r="102" spans="1:12" ht="18.75" thickBot="1" x14ac:dyDescent="0.3">
      <c r="A102" s="1650"/>
      <c r="B102" s="1396" t="s">
        <v>588</v>
      </c>
      <c r="C102" s="1380"/>
      <c r="D102" s="1688"/>
      <c r="E102" s="1688"/>
      <c r="F102" s="1688"/>
      <c r="G102" s="1688"/>
      <c r="H102" s="1688"/>
      <c r="I102" s="1689"/>
      <c r="L102" s="1536"/>
    </row>
    <row r="103" spans="1:12" ht="18.75" thickBot="1" x14ac:dyDescent="0.3">
      <c r="A103" s="1650"/>
      <c r="B103" s="2528" t="s">
        <v>570</v>
      </c>
      <c r="C103" s="2506"/>
      <c r="D103" s="2506"/>
      <c r="E103" s="2506"/>
      <c r="F103" s="1709"/>
      <c r="G103" s="1709"/>
      <c r="H103" s="1702">
        <f>+'Part 2'!R56</f>
        <v>0</v>
      </c>
      <c r="I103" s="1710"/>
      <c r="L103" s="1536">
        <f>IF(H103='Supplementary Information'!H103,0,1)</f>
        <v>0</v>
      </c>
    </row>
    <row r="104" spans="1:12" ht="34.5" customHeight="1" thickBot="1" x14ac:dyDescent="0.3">
      <c r="A104" s="1650"/>
      <c r="B104" s="1380" t="s">
        <v>821</v>
      </c>
      <c r="C104" s="1685"/>
      <c r="D104" s="1685"/>
      <c r="E104" s="1685"/>
      <c r="F104" s="1711"/>
      <c r="G104" s="1711"/>
      <c r="H104" s="1657" t="str">
        <f>IF(H105+H107=H103,"","Sum of bi and bii should be same as the figure above")</f>
        <v/>
      </c>
      <c r="I104" s="1660"/>
      <c r="L104" s="1536"/>
    </row>
    <row r="105" spans="1:12" ht="18.75" thickBot="1" x14ac:dyDescent="0.3">
      <c r="A105" s="1650"/>
      <c r="B105" s="2583" t="s">
        <v>2332</v>
      </c>
      <c r="C105" s="2583"/>
      <c r="D105" s="2584"/>
      <c r="E105" s="2584"/>
      <c r="F105" s="1712"/>
      <c r="G105" s="1712"/>
      <c r="H105" s="1655">
        <f>'Supplementary Information'!H105</f>
        <v>0</v>
      </c>
      <c r="I105" s="1689"/>
      <c r="L105" s="1536"/>
    </row>
    <row r="106" spans="1:12" ht="18.75" thickBot="1" x14ac:dyDescent="0.3">
      <c r="A106" s="1650"/>
      <c r="B106" s="2528"/>
      <c r="C106" s="2528"/>
      <c r="D106" s="2584"/>
      <c r="E106" s="2584"/>
      <c r="F106" s="1701"/>
      <c r="G106" s="1701"/>
      <c r="H106" s="1713" t="str">
        <f>IF((AND(H105=0,F106&gt;0)),"How much relief received?","")</f>
        <v/>
      </c>
      <c r="I106" s="1689"/>
      <c r="L106" s="1536"/>
    </row>
    <row r="107" spans="1:12" ht="18.75" thickBot="1" x14ac:dyDescent="0.3">
      <c r="A107" s="1650"/>
      <c r="B107" s="2583" t="s">
        <v>2333</v>
      </c>
      <c r="C107" s="2583"/>
      <c r="D107" s="2584"/>
      <c r="E107" s="2584"/>
      <c r="F107" s="1714"/>
      <c r="G107" s="1714"/>
      <c r="H107" s="1655">
        <f>'Supplementary Information'!H107</f>
        <v>0</v>
      </c>
      <c r="I107" s="1689"/>
      <c r="L107" s="1536"/>
    </row>
    <row r="108" spans="1:12" ht="18" x14ac:dyDescent="0.25">
      <c r="A108" s="1650"/>
      <c r="B108" s="2583"/>
      <c r="C108" s="2583"/>
      <c r="D108" s="2584"/>
      <c r="E108" s="2584"/>
      <c r="F108" s="2582" t="str">
        <f>IF((AND(H103-H105-H107&lt;&gt;0)),"Bi &amp; Bii do not sum to B total","")</f>
        <v/>
      </c>
      <c r="G108" s="2582"/>
      <c r="H108" s="2582"/>
      <c r="I108" s="1689"/>
      <c r="L108" s="1536"/>
    </row>
    <row r="109" spans="1:12" ht="26.25" customHeight="1" thickBot="1" x14ac:dyDescent="0.3">
      <c r="A109" s="1650"/>
      <c r="B109" s="2571" t="s">
        <v>575</v>
      </c>
      <c r="C109" s="2517"/>
      <c r="D109" s="1656"/>
      <c r="E109" s="1656"/>
      <c r="F109" s="1715"/>
      <c r="G109" s="1715"/>
      <c r="H109" s="1716"/>
      <c r="I109" s="1689"/>
      <c r="L109" s="1536"/>
    </row>
    <row r="110" spans="1:12" ht="21.75" customHeight="1" thickBot="1" x14ac:dyDescent="0.3">
      <c r="A110" s="1650"/>
      <c r="B110" s="1664" t="s">
        <v>576</v>
      </c>
      <c r="C110" s="1664"/>
      <c r="D110" s="1717"/>
      <c r="E110" s="1717"/>
      <c r="F110" s="1712"/>
      <c r="G110" s="1712"/>
      <c r="H110" s="1718">
        <f>'Supplementary Information'!H110</f>
        <v>0</v>
      </c>
      <c r="I110" s="1689"/>
      <c r="L110" s="1536">
        <f>IF(H110='Supplementary Information'!H110,0,1)</f>
        <v>0</v>
      </c>
    </row>
    <row r="111" spans="1:12" ht="21" customHeight="1" thickBot="1" x14ac:dyDescent="0.25">
      <c r="A111" s="1398"/>
      <c r="B111" s="1664"/>
      <c r="C111" s="1664"/>
      <c r="D111" s="1717"/>
      <c r="E111" s="1717"/>
      <c r="F111" s="1701"/>
      <c r="G111" s="1701"/>
      <c r="H111" s="1719" t="str">
        <f>IF((AND(H110=0,F111&gt;0)),"How much relief received?","")</f>
        <v/>
      </c>
      <c r="I111" s="1689"/>
    </row>
    <row r="112" spans="1:12" ht="15" x14ac:dyDescent="0.2">
      <c r="A112" s="1720" t="s">
        <v>595</v>
      </c>
      <c r="B112" s="1721"/>
      <c r="C112" s="1721"/>
      <c r="D112" s="1721"/>
      <c r="E112" s="1721"/>
      <c r="F112" s="1721"/>
      <c r="G112" s="1721"/>
      <c r="H112" s="1721"/>
      <c r="I112" s="1722"/>
    </row>
    <row r="113" spans="1:9" ht="15.75" thickBot="1" x14ac:dyDescent="0.25">
      <c r="A113" s="1723"/>
      <c r="B113" s="1724"/>
      <c r="C113" s="1724"/>
      <c r="D113" s="1724"/>
      <c r="E113" s="1724"/>
      <c r="F113" s="1724"/>
      <c r="G113" s="1724"/>
      <c r="H113" s="1724"/>
      <c r="I113" s="1725"/>
    </row>
    <row r="114" spans="1:9" ht="15" x14ac:dyDescent="0.2">
      <c r="A114" s="1723"/>
      <c r="B114" s="2572"/>
      <c r="C114" s="2573"/>
      <c r="D114" s="2573"/>
      <c r="E114" s="2573"/>
      <c r="F114" s="2573"/>
      <c r="G114" s="2573"/>
      <c r="H114" s="2574"/>
      <c r="I114" s="1725"/>
    </row>
    <row r="115" spans="1:9" ht="15" x14ac:dyDescent="0.2">
      <c r="A115" s="1723"/>
      <c r="B115" s="2575"/>
      <c r="C115" s="2525"/>
      <c r="D115" s="2525"/>
      <c r="E115" s="2525"/>
      <c r="F115" s="2525"/>
      <c r="G115" s="2525"/>
      <c r="H115" s="2576"/>
      <c r="I115" s="1725"/>
    </row>
    <row r="116" spans="1:9" ht="15" x14ac:dyDescent="0.2">
      <c r="A116" s="1723"/>
      <c r="B116" s="2575"/>
      <c r="C116" s="2525"/>
      <c r="D116" s="2525"/>
      <c r="E116" s="2525"/>
      <c r="F116" s="2525"/>
      <c r="G116" s="2525"/>
      <c r="H116" s="2576"/>
      <c r="I116" s="1725"/>
    </row>
    <row r="117" spans="1:9" ht="15" x14ac:dyDescent="0.2">
      <c r="A117" s="1723"/>
      <c r="B117" s="2575"/>
      <c r="C117" s="2525"/>
      <c r="D117" s="2525"/>
      <c r="E117" s="2525"/>
      <c r="F117" s="2525"/>
      <c r="G117" s="2525"/>
      <c r="H117" s="2576"/>
      <c r="I117" s="1725"/>
    </row>
    <row r="118" spans="1:9" ht="15" x14ac:dyDescent="0.2">
      <c r="A118" s="1723"/>
      <c r="B118" s="2575"/>
      <c r="C118" s="2525"/>
      <c r="D118" s="2525"/>
      <c r="E118" s="2525"/>
      <c r="F118" s="2525"/>
      <c r="G118" s="2525"/>
      <c r="H118" s="2576"/>
      <c r="I118" s="1725"/>
    </row>
    <row r="119" spans="1:9" ht="15" x14ac:dyDescent="0.2">
      <c r="A119" s="1723"/>
      <c r="B119" s="2575"/>
      <c r="C119" s="2525"/>
      <c r="D119" s="2525"/>
      <c r="E119" s="2525"/>
      <c r="F119" s="2525"/>
      <c r="G119" s="2525"/>
      <c r="H119" s="2576"/>
      <c r="I119" s="1725"/>
    </row>
    <row r="120" spans="1:9" ht="15" x14ac:dyDescent="0.2">
      <c r="A120" s="1723"/>
      <c r="B120" s="2575"/>
      <c r="C120" s="2525"/>
      <c r="D120" s="2525"/>
      <c r="E120" s="2525"/>
      <c r="F120" s="2525"/>
      <c r="G120" s="2525"/>
      <c r="H120" s="2576"/>
      <c r="I120" s="1725"/>
    </row>
    <row r="121" spans="1:9" ht="15" x14ac:dyDescent="0.2">
      <c r="A121" s="1723"/>
      <c r="B121" s="2575"/>
      <c r="C121" s="2525"/>
      <c r="D121" s="2525"/>
      <c r="E121" s="2525"/>
      <c r="F121" s="2525"/>
      <c r="G121" s="2525"/>
      <c r="H121" s="2576"/>
      <c r="I121" s="1725"/>
    </row>
    <row r="122" spans="1:9" ht="15.75" thickBot="1" x14ac:dyDescent="0.25">
      <c r="A122" s="1723"/>
      <c r="B122" s="2577"/>
      <c r="C122" s="2578"/>
      <c r="D122" s="2578"/>
      <c r="E122" s="2578"/>
      <c r="F122" s="2578"/>
      <c r="G122" s="2578"/>
      <c r="H122" s="2579"/>
      <c r="I122" s="1725"/>
    </row>
    <row r="123" spans="1:9" ht="15.75" thickBot="1" x14ac:dyDescent="0.25">
      <c r="A123" s="1726"/>
      <c r="B123" s="1727"/>
      <c r="C123" s="1727"/>
      <c r="D123" s="1727"/>
      <c r="E123" s="1727"/>
      <c r="F123" s="1727"/>
      <c r="G123" s="1727"/>
      <c r="H123" s="1727"/>
      <c r="I123" s="1728"/>
    </row>
  </sheetData>
  <dataConsolidate/>
  <mergeCells count="45">
    <mergeCell ref="B19:H20"/>
    <mergeCell ref="A2:I3"/>
    <mergeCell ref="B4:H5"/>
    <mergeCell ref="B7:H7"/>
    <mergeCell ref="B8:H8"/>
    <mergeCell ref="A9:I9"/>
    <mergeCell ref="B10:H11"/>
    <mergeCell ref="C13:D13"/>
    <mergeCell ref="C14:D14"/>
    <mergeCell ref="C15:D15"/>
    <mergeCell ref="C16:D16"/>
    <mergeCell ref="C17:D17"/>
    <mergeCell ref="B55:E56"/>
    <mergeCell ref="B22:E22"/>
    <mergeCell ref="B26:E27"/>
    <mergeCell ref="B28:E29"/>
    <mergeCell ref="B30:E31"/>
    <mergeCell ref="B42:E42"/>
    <mergeCell ref="B44:E44"/>
    <mergeCell ref="F45:H45"/>
    <mergeCell ref="B47:E47"/>
    <mergeCell ref="B49:E50"/>
    <mergeCell ref="B51:E52"/>
    <mergeCell ref="B53:E54"/>
    <mergeCell ref="C88:H88"/>
    <mergeCell ref="B69:E70"/>
    <mergeCell ref="B71:E72"/>
    <mergeCell ref="H72:H73"/>
    <mergeCell ref="B74:E75"/>
    <mergeCell ref="B76:E77"/>
    <mergeCell ref="F77:H77"/>
    <mergeCell ref="B78:E79"/>
    <mergeCell ref="F79:I80"/>
    <mergeCell ref="B80:E80"/>
    <mergeCell ref="B85:E85"/>
    <mergeCell ref="B87:E87"/>
    <mergeCell ref="B109:C109"/>
    <mergeCell ref="B114:H122"/>
    <mergeCell ref="B98:F99"/>
    <mergeCell ref="B100:E101"/>
    <mergeCell ref="F101:H101"/>
    <mergeCell ref="B103:E103"/>
    <mergeCell ref="B105:E106"/>
    <mergeCell ref="B107:E108"/>
    <mergeCell ref="F108:H108"/>
  </mergeCells>
  <dataValidations count="8">
    <dataValidation type="custom" allowBlank="1" showInputMessage="1" showErrorMessage="1" error="Do not overwrite" sqref="F79:I80 H72:H73 H70">
      <formula1>"if(K108=""n/a"")"</formula1>
    </dataValidation>
    <dataValidation type="custom" allowBlank="1" showInputMessage="1" showErrorMessage="1" error="Data entry not allowed" sqref="H103 H87 H71 H32">
      <formula1>"if(K108=""n/a"")"</formula1>
    </dataValidation>
    <dataValidation type="custom" allowBlank="1" showInputMessage="1" showErrorMessage="1" error="Data entry not allowed" sqref="I103">
      <formula1>#REF!="n/a"</formula1>
    </dataValidation>
    <dataValidation type="textLength" operator="lessThan" allowBlank="1" showInputMessage="1" showErrorMessage="1" error="Please do not amend or delete this line" sqref="J25">
      <formula1>0</formula1>
    </dataValidation>
    <dataValidation type="decimal" allowBlank="1" showInputMessage="1" showErrorMessage="1" error="Can't be more than row E" sqref="G98">
      <formula1>0</formula1>
      <formula2>G87</formula2>
    </dataValidation>
    <dataValidation type="decimal" allowBlank="1" showInputMessage="1" showErrorMessage="1" error="Can't be more than row E" sqref="F96:G96">
      <formula1>0</formula1>
      <formula2>F87</formula2>
    </dataValidation>
    <dataValidation type="decimal" allowBlank="1" showInputMessage="1" showErrorMessage="1" error="Can't be more than row E" sqref="F94:G94">
      <formula1>0</formula1>
      <formula2>F87</formula2>
    </dataValidation>
    <dataValidation type="decimal" allowBlank="1" showInputMessage="1" showErrorMessage="1" error="Can't be more than Row E" sqref="F90:G90">
      <formula1>0</formula1>
      <formula2>F87</formula2>
    </dataValidation>
  </dataValidations>
  <printOptions horizontalCentered="1" verticalCentered="1"/>
  <pageMargins left="0.39370078740157483" right="0.39370078740157483" top="0.39370078740157483" bottom="0.39370078740157483" header="0" footer="0"/>
  <pageSetup paperSize="9" scale="53" orientation="portrait" r:id="rId1"/>
  <headerFooter alignWithMargins="0">
    <oddFooter>Page &amp;P of &amp;N</oddFooter>
  </headerFooter>
  <rowBreaks count="1" manualBreakCount="1">
    <brk id="80"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sheetPr>
  <dimension ref="A1:H1"/>
  <sheetViews>
    <sheetView workbookViewId="0"/>
  </sheetViews>
  <sheetFormatPr defaultRowHeight="12.75" x14ac:dyDescent="0.2"/>
  <sheetData>
    <row r="1" spans="1:8" x14ac:dyDescent="0.2">
      <c r="A1" s="1852" t="s">
        <v>1113</v>
      </c>
      <c r="B1" s="1853" t="s">
        <v>1114</v>
      </c>
      <c r="C1" s="1853" t="s">
        <v>1115</v>
      </c>
      <c r="D1" s="1853" t="s">
        <v>1116</v>
      </c>
      <c r="E1" s="1852" t="s">
        <v>1202</v>
      </c>
      <c r="F1" s="1854" t="s">
        <v>1117</v>
      </c>
      <c r="G1" s="1855" t="s">
        <v>2313</v>
      </c>
      <c r="H1" s="1855" t="s">
        <v>2314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197"/>
  <sheetViews>
    <sheetView showGridLines="0" workbookViewId="0"/>
  </sheetViews>
  <sheetFormatPr defaultRowHeight="15" x14ac:dyDescent="0.2"/>
  <cols>
    <col min="1" max="2" width="1.7109375" customWidth="1"/>
    <col min="5" max="5" width="9.140625" customWidth="1"/>
    <col min="6" max="6" width="8.5703125" customWidth="1"/>
    <col min="7" max="7" width="14.28515625" customWidth="1"/>
    <col min="8" max="9" width="3.85546875" customWidth="1"/>
    <col min="10" max="11" width="11.42578125" customWidth="1"/>
    <col min="12" max="13" width="2.7109375" customWidth="1"/>
    <col min="14" max="15" width="11.42578125" customWidth="1"/>
    <col min="16" max="17" width="2.7109375" customWidth="1"/>
    <col min="18" max="19" width="11.42578125" customWidth="1"/>
    <col min="20" max="21" width="1.7109375" customWidth="1"/>
    <col min="23" max="23" width="11.28515625" style="9" hidden="1" customWidth="1"/>
    <col min="26" max="26" width="26" bestFit="1" customWidth="1"/>
    <col min="28" max="28" width="16.85546875" customWidth="1"/>
  </cols>
  <sheetData>
    <row r="1" spans="1:28" x14ac:dyDescent="0.2">
      <c r="A1" s="144"/>
      <c r="B1" s="145"/>
      <c r="C1" s="145"/>
      <c r="D1" s="145"/>
      <c r="E1" s="145"/>
      <c r="F1" s="145"/>
      <c r="G1" s="145"/>
      <c r="H1" s="145"/>
      <c r="I1" s="145"/>
      <c r="J1" s="145"/>
      <c r="K1" s="145"/>
      <c r="L1" s="145"/>
      <c r="M1" s="145"/>
      <c r="N1" s="145"/>
      <c r="O1" s="145"/>
      <c r="P1" s="145"/>
      <c r="Q1" s="145"/>
      <c r="R1" s="145"/>
      <c r="S1" s="145"/>
      <c r="T1" s="145"/>
      <c r="U1" s="146"/>
    </row>
    <row r="2" spans="1:28" ht="15.75" x14ac:dyDescent="0.25">
      <c r="A2" s="2181" t="s">
        <v>36</v>
      </c>
      <c r="B2" s="2182"/>
      <c r="C2" s="2182"/>
      <c r="D2" s="2182"/>
      <c r="E2" s="2182"/>
      <c r="F2" s="2182"/>
      <c r="G2" s="2182"/>
      <c r="H2" s="2182"/>
      <c r="I2" s="2182"/>
      <c r="J2" s="2182"/>
      <c r="K2" s="2182"/>
      <c r="L2" s="2182"/>
      <c r="M2" s="2182"/>
      <c r="N2" s="2182"/>
      <c r="O2" s="2182"/>
      <c r="P2" s="2182"/>
      <c r="Q2" s="2182"/>
      <c r="R2" s="2182"/>
      <c r="S2" s="2182"/>
      <c r="T2" s="2182"/>
      <c r="U2" s="2183"/>
    </row>
    <row r="3" spans="1:28" ht="15.75" x14ac:dyDescent="0.25">
      <c r="A3" s="2105" t="s">
        <v>2119</v>
      </c>
      <c r="B3" s="2184"/>
      <c r="C3" s="2184"/>
      <c r="D3" s="2184"/>
      <c r="E3" s="2184"/>
      <c r="F3" s="2184"/>
      <c r="G3" s="2184"/>
      <c r="H3" s="2184"/>
      <c r="I3" s="2184"/>
      <c r="J3" s="2184"/>
      <c r="K3" s="2184"/>
      <c r="L3" s="2184"/>
      <c r="M3" s="2184"/>
      <c r="N3" s="2184"/>
      <c r="O3" s="2184"/>
      <c r="P3" s="2184"/>
      <c r="Q3" s="2184"/>
      <c r="R3" s="2184"/>
      <c r="S3" s="2184"/>
      <c r="T3" s="2184"/>
      <c r="U3" s="2185"/>
    </row>
    <row r="4" spans="1:28" x14ac:dyDescent="0.2">
      <c r="A4" s="2085"/>
      <c r="B4" s="2086"/>
      <c r="C4" s="2086"/>
      <c r="D4" s="2086"/>
      <c r="E4" s="2086"/>
      <c r="F4" s="2086"/>
      <c r="G4" s="2086"/>
      <c r="H4" s="2086"/>
      <c r="I4" s="2086"/>
      <c r="J4" s="2086"/>
      <c r="K4" s="2086"/>
      <c r="L4" s="2086"/>
      <c r="M4" s="2086"/>
      <c r="N4" s="2086"/>
      <c r="O4" s="2086"/>
      <c r="P4" s="2086"/>
      <c r="Q4" s="2086"/>
      <c r="R4" s="2086"/>
      <c r="S4" s="2086"/>
      <c r="T4" s="2086"/>
      <c r="U4" s="2087"/>
    </row>
    <row r="5" spans="1:28" x14ac:dyDescent="0.2">
      <c r="A5" s="2085" t="s">
        <v>1070</v>
      </c>
      <c r="B5" s="2086"/>
      <c r="C5" s="2086"/>
      <c r="D5" s="2086"/>
      <c r="E5" s="2086"/>
      <c r="F5" s="2086"/>
      <c r="G5" s="2086"/>
      <c r="H5" s="2086"/>
      <c r="I5" s="2086"/>
      <c r="J5" s="2086"/>
      <c r="K5" s="2086"/>
      <c r="L5" s="2086"/>
      <c r="M5" s="2086"/>
      <c r="N5" s="2086"/>
      <c r="O5" s="2086"/>
      <c r="P5" s="2086"/>
      <c r="Q5" s="2086"/>
      <c r="R5" s="2086"/>
      <c r="S5" s="2086"/>
      <c r="T5" s="2086"/>
      <c r="U5" s="2087"/>
    </row>
    <row r="6" spans="1:28" x14ac:dyDescent="0.2">
      <c r="A6" s="2085"/>
      <c r="B6" s="2086"/>
      <c r="C6" s="2086"/>
      <c r="D6" s="2086"/>
      <c r="E6" s="2086"/>
      <c r="F6" s="2086"/>
      <c r="G6" s="2086"/>
      <c r="H6" s="2086"/>
      <c r="I6" s="2086"/>
      <c r="J6" s="2086"/>
      <c r="K6" s="2086"/>
      <c r="L6" s="2086"/>
      <c r="M6" s="2086"/>
      <c r="N6" s="2086"/>
      <c r="O6" s="2086"/>
      <c r="P6" s="2086"/>
      <c r="Q6" s="2086"/>
      <c r="R6" s="2086"/>
      <c r="S6" s="2086"/>
      <c r="T6" s="2086"/>
      <c r="U6" s="2087"/>
    </row>
    <row r="7" spans="1:28" x14ac:dyDescent="0.2">
      <c r="A7" s="2085" t="str">
        <f>+IF('Main Validation'!M48=0,"If you are content with your answers please return this form to DCLG as soon as possible","Please check the Validation tab and answer the validation queries that need to be answered")</f>
        <v>Please check the Validation tab and answer the validation queries that need to be answered</v>
      </c>
      <c r="B7" s="2086"/>
      <c r="C7" s="2086"/>
      <c r="D7" s="2086"/>
      <c r="E7" s="2086"/>
      <c r="F7" s="2086"/>
      <c r="G7" s="2086"/>
      <c r="H7" s="2086"/>
      <c r="I7" s="2086"/>
      <c r="J7" s="2086"/>
      <c r="K7" s="2086"/>
      <c r="L7" s="2086"/>
      <c r="M7" s="2086"/>
      <c r="N7" s="2086"/>
      <c r="O7" s="2086"/>
      <c r="P7" s="2086"/>
      <c r="Q7" s="2086"/>
      <c r="R7" s="2086"/>
      <c r="S7" s="2086"/>
      <c r="T7" s="2086"/>
      <c r="U7" s="2087"/>
    </row>
    <row r="8" spans="1:28" ht="15.75" thickBot="1" x14ac:dyDescent="0.25">
      <c r="A8" s="147"/>
      <c r="B8" s="148"/>
      <c r="C8" s="148"/>
      <c r="D8" s="148"/>
      <c r="E8" s="148"/>
      <c r="F8" s="148"/>
      <c r="G8" s="148"/>
      <c r="H8" s="148"/>
      <c r="I8" s="148"/>
      <c r="J8" s="148"/>
      <c r="K8" s="148"/>
      <c r="L8" s="148"/>
      <c r="M8" s="148"/>
      <c r="N8" s="148"/>
      <c r="O8" s="148"/>
      <c r="P8" s="148"/>
      <c r="Q8" s="148"/>
      <c r="R8" s="971" t="s">
        <v>1195</v>
      </c>
      <c r="S8" s="972">
        <f>+'Part 1'!X21</f>
        <v>1</v>
      </c>
      <c r="T8" s="148"/>
      <c r="U8" s="149"/>
    </row>
    <row r="9" spans="1:28" x14ac:dyDescent="0.2">
      <c r="A9" s="122"/>
      <c r="B9" s="123"/>
      <c r="C9" s="2188"/>
      <c r="D9" s="2188"/>
      <c r="E9" s="2188"/>
      <c r="F9" s="2188"/>
      <c r="G9" s="2188"/>
      <c r="H9" s="2188"/>
      <c r="I9" s="123"/>
      <c r="J9" s="123"/>
      <c r="K9" s="123"/>
      <c r="L9" s="123"/>
      <c r="M9" s="123"/>
      <c r="N9" s="123"/>
      <c r="O9" s="123"/>
      <c r="P9" s="123"/>
      <c r="Q9" s="123"/>
      <c r="R9" s="123"/>
      <c r="S9" s="123"/>
      <c r="T9" s="123"/>
      <c r="U9" s="124"/>
    </row>
    <row r="10" spans="1:28" s="37" customFormat="1" ht="18" x14ac:dyDescent="0.25">
      <c r="A10" s="45"/>
      <c r="B10" s="27"/>
      <c r="C10" s="151" t="str">
        <f>+CONCATENATE("Local Authority : ",+'Part 1'!L16)</f>
        <v>Local Authority : ZZZZ</v>
      </c>
      <c r="D10" s="151"/>
      <c r="E10" s="151"/>
      <c r="F10" s="607"/>
      <c r="G10" s="607"/>
      <c r="H10" s="607"/>
      <c r="I10" s="27"/>
      <c r="J10" s="27"/>
      <c r="K10" s="27"/>
      <c r="L10" s="27"/>
      <c r="M10" s="27"/>
      <c r="N10" s="27"/>
      <c r="O10" s="27"/>
      <c r="P10" s="27"/>
      <c r="Q10" s="27"/>
      <c r="R10" s="27"/>
      <c r="S10" s="27"/>
      <c r="T10" s="27"/>
      <c r="U10" s="28"/>
      <c r="V10"/>
      <c r="W10" s="9"/>
    </row>
    <row r="11" spans="1:28" s="37" customFormat="1" ht="18" x14ac:dyDescent="0.25">
      <c r="A11" s="45"/>
      <c r="B11" s="27"/>
      <c r="C11" s="151"/>
      <c r="D11" s="151"/>
      <c r="E11" s="151"/>
      <c r="F11" s="607"/>
      <c r="G11" s="607"/>
      <c r="H11" s="607"/>
      <c r="I11" s="27"/>
      <c r="J11" s="27"/>
      <c r="K11" s="27"/>
      <c r="L11" s="27"/>
      <c r="M11" s="27"/>
      <c r="N11" s="27"/>
      <c r="O11" s="27"/>
      <c r="P11" s="27"/>
      <c r="Q11" s="27"/>
      <c r="R11" s="27"/>
      <c r="S11" s="27"/>
      <c r="T11" s="27"/>
      <c r="U11" s="28"/>
      <c r="V11"/>
      <c r="W11" s="2056" t="s">
        <v>1090</v>
      </c>
    </row>
    <row r="12" spans="1:28" ht="15.75" x14ac:dyDescent="0.25">
      <c r="A12" s="23"/>
      <c r="B12" s="2"/>
      <c r="C12" s="2149" t="s">
        <v>283</v>
      </c>
      <c r="D12" s="2149"/>
      <c r="E12" s="2149"/>
      <c r="F12" s="2149"/>
      <c r="G12" s="2149"/>
      <c r="H12" s="2149"/>
      <c r="I12" s="27"/>
      <c r="J12" s="2148"/>
      <c r="K12" s="2148"/>
      <c r="L12" s="133"/>
      <c r="M12" s="27"/>
      <c r="N12" s="2148"/>
      <c r="O12" s="2148"/>
      <c r="P12" s="27"/>
      <c r="Q12" s="27"/>
      <c r="R12" s="2148"/>
      <c r="S12" s="2148"/>
      <c r="T12" s="1"/>
      <c r="U12" s="125"/>
      <c r="W12" s="2057"/>
    </row>
    <row r="13" spans="1:28" ht="15.75" customHeight="1" x14ac:dyDescent="0.2">
      <c r="A13" s="23"/>
      <c r="B13" s="2"/>
      <c r="C13" s="2145" t="str">
        <f>+IF('Part 1'!Q233="Yes", "You should complete columns 1 &amp; 2 only","You should complete column 1 only")</f>
        <v>You should complete column 1 only</v>
      </c>
      <c r="D13" s="2145"/>
      <c r="E13" s="2145"/>
      <c r="F13" s="2145"/>
      <c r="G13" s="2145"/>
      <c r="H13" s="2145"/>
      <c r="I13" s="27"/>
      <c r="J13" s="2148" t="s">
        <v>794</v>
      </c>
      <c r="K13" s="2148"/>
      <c r="L13" s="133"/>
      <c r="M13" s="27"/>
      <c r="N13" s="2148" t="s">
        <v>795</v>
      </c>
      <c r="O13" s="2148"/>
      <c r="P13" s="27"/>
      <c r="Q13" s="27"/>
      <c r="R13" s="2148" t="s">
        <v>796</v>
      </c>
      <c r="S13" s="2148"/>
      <c r="T13" s="3"/>
      <c r="U13" s="125"/>
      <c r="W13" s="321"/>
    </row>
    <row r="14" spans="1:28" ht="15.75" x14ac:dyDescent="0.25">
      <c r="A14" s="23"/>
      <c r="B14" s="2"/>
      <c r="C14" s="2144"/>
      <c r="D14" s="2144"/>
      <c r="E14" s="27"/>
      <c r="F14" s="27"/>
      <c r="G14" s="27"/>
      <c r="H14" s="27"/>
      <c r="I14" s="27"/>
      <c r="J14" s="2194" t="s">
        <v>964</v>
      </c>
      <c r="K14" s="2195"/>
      <c r="L14" s="608"/>
      <c r="M14" s="27"/>
      <c r="N14" s="2194" t="s">
        <v>966</v>
      </c>
      <c r="O14" s="2195"/>
      <c r="P14" s="27"/>
      <c r="Q14" s="27"/>
      <c r="R14" s="2194" t="s">
        <v>35</v>
      </c>
      <c r="S14" s="2195"/>
      <c r="T14" s="2"/>
      <c r="U14" s="125"/>
      <c r="W14" s="321"/>
      <c r="Z14" s="2189"/>
      <c r="AA14" s="2190"/>
      <c r="AB14" s="2190"/>
    </row>
    <row r="15" spans="1:28" ht="15.75" x14ac:dyDescent="0.25">
      <c r="A15" s="23"/>
      <c r="B15" s="2"/>
      <c r="C15" s="27"/>
      <c r="D15" s="27"/>
      <c r="E15" s="27"/>
      <c r="F15" s="27"/>
      <c r="G15" s="27"/>
      <c r="H15" s="27"/>
      <c r="I15" s="27"/>
      <c r="J15" s="2195"/>
      <c r="K15" s="2195"/>
      <c r="L15" s="608"/>
      <c r="M15" s="27"/>
      <c r="N15" s="2195"/>
      <c r="O15" s="2195"/>
      <c r="P15" s="27"/>
      <c r="Q15" s="27"/>
      <c r="R15" s="2195"/>
      <c r="S15" s="2195"/>
      <c r="T15" s="2"/>
      <c r="U15" s="125"/>
      <c r="W15" s="321"/>
      <c r="Z15" s="2190"/>
      <c r="AA15" s="2190"/>
      <c r="AB15" s="2190"/>
    </row>
    <row r="16" spans="1:28" ht="30" customHeight="1" x14ac:dyDescent="0.25">
      <c r="A16" s="23"/>
      <c r="B16" s="2"/>
      <c r="C16" s="2147" t="s">
        <v>1073</v>
      </c>
      <c r="D16" s="2147"/>
      <c r="E16" s="2147"/>
      <c r="F16" s="2147"/>
      <c r="G16" s="2147"/>
      <c r="H16" s="2147"/>
      <c r="I16" s="27"/>
      <c r="J16" s="2196" t="s">
        <v>970</v>
      </c>
      <c r="K16" s="2196"/>
      <c r="L16" s="608"/>
      <c r="M16" s="27"/>
      <c r="N16" s="2144" t="str">
        <f>+IF('Part 1'!Q233="Yes", "Complete this column","Do not complete this column")</f>
        <v>Do not complete this column</v>
      </c>
      <c r="O16" s="2144"/>
      <c r="P16" s="27"/>
      <c r="Q16" s="27"/>
      <c r="R16" s="2144" t="s">
        <v>971</v>
      </c>
      <c r="S16" s="2144"/>
      <c r="T16" s="2"/>
      <c r="U16" s="125"/>
      <c r="W16" s="2191" t="s">
        <v>1034</v>
      </c>
      <c r="Y16" s="750"/>
    </row>
    <row r="17" spans="1:33" ht="16.5" customHeight="1" thickBot="1" x14ac:dyDescent="0.3">
      <c r="A17" s="23"/>
      <c r="B17" s="2"/>
      <c r="C17" s="2147"/>
      <c r="D17" s="2147"/>
      <c r="E17" s="2147"/>
      <c r="F17" s="2147"/>
      <c r="G17" s="2147"/>
      <c r="H17" s="2147"/>
      <c r="I17" s="27"/>
      <c r="J17" s="2146" t="s">
        <v>786</v>
      </c>
      <c r="K17" s="2146"/>
      <c r="L17" s="27"/>
      <c r="M17" s="27"/>
      <c r="N17" s="2146" t="s">
        <v>786</v>
      </c>
      <c r="O17" s="2146"/>
      <c r="P17" s="27"/>
      <c r="Q17" s="383"/>
      <c r="R17" s="2197" t="s">
        <v>786</v>
      </c>
      <c r="S17" s="2197"/>
      <c r="T17" s="376"/>
      <c r="U17" s="125"/>
      <c r="W17" s="2192"/>
    </row>
    <row r="18" spans="1:33" ht="16.5" thickBot="1" x14ac:dyDescent="0.25">
      <c r="A18" s="23"/>
      <c r="B18" s="2"/>
      <c r="C18" s="27" t="s">
        <v>823</v>
      </c>
      <c r="D18" s="27"/>
      <c r="E18" s="27"/>
      <c r="F18" s="2150"/>
      <c r="G18" s="2151"/>
      <c r="H18" s="27"/>
      <c r="I18" s="27"/>
      <c r="J18" s="2072">
        <v>0</v>
      </c>
      <c r="K18" s="2073"/>
      <c r="L18" s="134"/>
      <c r="M18" s="27"/>
      <c r="N18" s="2072">
        <v>0</v>
      </c>
      <c r="O18" s="2073"/>
      <c r="P18" s="27"/>
      <c r="Q18" s="371"/>
      <c r="R18" s="2136">
        <f>+J18+N18</f>
        <v>0</v>
      </c>
      <c r="S18" s="2137"/>
      <c r="T18" s="376"/>
      <c r="U18" s="125"/>
      <c r="W18" s="488">
        <f>IF(+J18+N18-R18=0,0,1)</f>
        <v>0</v>
      </c>
      <c r="Y18" s="277"/>
      <c r="Z18" s="437"/>
    </row>
    <row r="19" spans="1:33" ht="15.75" thickBot="1" x14ac:dyDescent="0.25">
      <c r="A19" s="23"/>
      <c r="B19" s="2"/>
      <c r="C19" s="27"/>
      <c r="D19" s="27"/>
      <c r="E19" s="27"/>
      <c r="F19" s="133"/>
      <c r="G19" s="27"/>
      <c r="H19" s="27"/>
      <c r="I19" s="133"/>
      <c r="J19" s="134"/>
      <c r="K19" s="134"/>
      <c r="L19" s="134"/>
      <c r="M19" s="27"/>
      <c r="N19" s="134"/>
      <c r="O19" s="134"/>
      <c r="P19" s="27"/>
      <c r="Q19" s="371"/>
      <c r="R19" s="371"/>
      <c r="S19" s="371"/>
      <c r="T19" s="376"/>
      <c r="U19" s="125"/>
      <c r="W19" s="489"/>
    </row>
    <row r="20" spans="1:33" ht="16.5" thickBot="1" x14ac:dyDescent="0.3">
      <c r="A20" s="23"/>
      <c r="B20" s="2"/>
      <c r="C20" s="2067" t="s">
        <v>2120</v>
      </c>
      <c r="D20" s="2138"/>
      <c r="E20" s="2138"/>
      <c r="F20" s="2138"/>
      <c r="G20" s="978">
        <v>46.6</v>
      </c>
      <c r="H20" s="385"/>
      <c r="I20" s="27"/>
      <c r="J20" s="134"/>
      <c r="K20" s="134"/>
      <c r="L20" s="134"/>
      <c r="M20" s="27"/>
      <c r="N20" s="134"/>
      <c r="O20" s="134"/>
      <c r="P20" s="27"/>
      <c r="Q20" s="371"/>
      <c r="R20" s="371"/>
      <c r="S20" s="371"/>
      <c r="T20" s="376"/>
      <c r="U20" s="125"/>
      <c r="W20" s="489"/>
      <c r="X20" s="277"/>
    </row>
    <row r="21" spans="1:33" ht="15.75" thickBot="1" x14ac:dyDescent="0.25">
      <c r="A21" s="23"/>
      <c r="B21" s="2"/>
      <c r="C21" s="2138"/>
      <c r="D21" s="2138"/>
      <c r="E21" s="2138"/>
      <c r="F21" s="2138"/>
      <c r="G21" s="10"/>
      <c r="H21" s="27"/>
      <c r="I21" s="27"/>
      <c r="J21" s="134"/>
      <c r="K21" s="134"/>
      <c r="L21" s="134"/>
      <c r="M21" s="134"/>
      <c r="N21" s="134"/>
      <c r="O21" s="134"/>
      <c r="P21" s="134"/>
      <c r="Q21" s="371"/>
      <c r="R21" s="371"/>
      <c r="S21" s="371"/>
      <c r="T21" s="376"/>
      <c r="U21" s="125"/>
      <c r="W21" s="489"/>
    </row>
    <row r="22" spans="1:33" ht="15.75" thickBot="1" x14ac:dyDescent="0.25">
      <c r="A22" s="23"/>
      <c r="B22" s="2"/>
      <c r="C22" s="10"/>
      <c r="D22" s="10"/>
      <c r="E22" s="10"/>
      <c r="F22" s="10"/>
      <c r="G22" s="10"/>
      <c r="H22" s="27"/>
      <c r="I22" s="401"/>
      <c r="J22" s="402"/>
      <c r="K22" s="402"/>
      <c r="L22" s="403"/>
      <c r="M22" s="402"/>
      <c r="N22" s="402"/>
      <c r="O22" s="402"/>
      <c r="P22" s="403"/>
      <c r="Q22" s="404"/>
      <c r="R22" s="404"/>
      <c r="S22" s="404"/>
      <c r="T22" s="405"/>
      <c r="U22" s="125"/>
      <c r="W22" s="489"/>
    </row>
    <row r="23" spans="1:33" ht="16.5" thickBot="1" x14ac:dyDescent="0.25">
      <c r="A23" s="23"/>
      <c r="B23" s="2"/>
      <c r="C23" s="10" t="s">
        <v>2121</v>
      </c>
      <c r="D23" s="10"/>
      <c r="E23" s="10"/>
      <c r="F23" s="10"/>
      <c r="G23" s="10"/>
      <c r="H23" s="27"/>
      <c r="I23" s="406"/>
      <c r="J23" s="2139">
        <f>ROUND(+J18*($G20/100),0)</f>
        <v>0</v>
      </c>
      <c r="K23" s="2140"/>
      <c r="L23" s="136"/>
      <c r="M23" s="27"/>
      <c r="N23" s="2139">
        <f>ROUND(+N18*($G20/100),0)</f>
        <v>0</v>
      </c>
      <c r="O23" s="2140"/>
      <c r="P23" s="136"/>
      <c r="Q23" s="371"/>
      <c r="R23" s="371"/>
      <c r="S23" s="371"/>
      <c r="T23" s="407"/>
      <c r="U23" s="125"/>
      <c r="W23" s="488">
        <f>IF(+J23+J25-J28=0,0,1)</f>
        <v>0</v>
      </c>
      <c r="Z23" s="437"/>
    </row>
    <row r="24" spans="1:33" ht="16.5" thickBot="1" x14ac:dyDescent="0.25">
      <c r="A24" s="23"/>
      <c r="B24" s="2"/>
      <c r="C24" s="10"/>
      <c r="D24" s="10"/>
      <c r="E24" s="10"/>
      <c r="F24" s="10"/>
      <c r="G24" s="10"/>
      <c r="H24" s="27"/>
      <c r="I24" s="406"/>
      <c r="J24" s="135"/>
      <c r="K24" s="134"/>
      <c r="L24" s="136"/>
      <c r="M24" s="27"/>
      <c r="N24" s="135"/>
      <c r="O24" s="134"/>
      <c r="P24" s="136"/>
      <c r="Q24" s="371"/>
      <c r="R24" s="371"/>
      <c r="S24" s="371"/>
      <c r="T24" s="407"/>
      <c r="U24" s="125"/>
      <c r="W24" s="488"/>
    </row>
    <row r="25" spans="1:33" ht="16.5" thickBot="1" x14ac:dyDescent="0.25">
      <c r="A25" s="23"/>
      <c r="B25" s="2"/>
      <c r="C25" s="10" t="s">
        <v>815</v>
      </c>
      <c r="D25" s="10"/>
      <c r="E25" s="10"/>
      <c r="F25" s="10"/>
      <c r="G25" s="10"/>
      <c r="H25" s="27"/>
      <c r="I25" s="406"/>
      <c r="J25" s="2072">
        <v>0</v>
      </c>
      <c r="K25" s="2073"/>
      <c r="L25" s="136"/>
      <c r="M25" s="27"/>
      <c r="N25" s="2072">
        <v>0</v>
      </c>
      <c r="O25" s="2073"/>
      <c r="P25" s="136"/>
      <c r="Q25" s="371"/>
      <c r="R25" s="371"/>
      <c r="S25" s="371"/>
      <c r="T25" s="407"/>
      <c r="U25" s="125"/>
      <c r="W25" s="488">
        <f>IF(+N23+N25-N28=0,0,1)</f>
        <v>0</v>
      </c>
      <c r="Z25" s="437"/>
    </row>
    <row r="26" spans="1:33" ht="15.75" x14ac:dyDescent="0.2">
      <c r="A26" s="23"/>
      <c r="B26" s="2"/>
      <c r="C26" s="10" t="s">
        <v>1024</v>
      </c>
      <c r="D26" s="10"/>
      <c r="E26" s="10"/>
      <c r="F26" s="10"/>
      <c r="G26" s="10"/>
      <c r="H26" s="27"/>
      <c r="I26" s="406"/>
      <c r="J26" s="135"/>
      <c r="K26" s="134"/>
      <c r="L26" s="136"/>
      <c r="M26" s="27"/>
      <c r="N26" s="135"/>
      <c r="O26" s="134"/>
      <c r="P26" s="136"/>
      <c r="Q26" s="371"/>
      <c r="R26" s="606"/>
      <c r="S26" s="371"/>
      <c r="T26" s="407"/>
      <c r="U26" s="125"/>
      <c r="W26" s="489"/>
    </row>
    <row r="27" spans="1:33" ht="16.5" thickBot="1" x14ac:dyDescent="0.25">
      <c r="A27" s="23"/>
      <c r="B27" s="2"/>
      <c r="C27" s="10"/>
      <c r="D27" s="10"/>
      <c r="E27" s="10"/>
      <c r="F27" s="10"/>
      <c r="G27" s="10"/>
      <c r="H27" s="27"/>
      <c r="I27" s="406"/>
      <c r="J27" s="135"/>
      <c r="K27" s="134"/>
      <c r="L27" s="136"/>
      <c r="M27" s="27"/>
      <c r="N27" s="135"/>
      <c r="O27" s="134"/>
      <c r="P27" s="136"/>
      <c r="Q27" s="371"/>
      <c r="R27" s="606"/>
      <c r="S27" s="371"/>
      <c r="T27" s="407"/>
      <c r="U27" s="125"/>
      <c r="W27" s="489"/>
    </row>
    <row r="28" spans="1:33" ht="16.5" thickBot="1" x14ac:dyDescent="0.25">
      <c r="A28" s="23"/>
      <c r="B28" s="2"/>
      <c r="C28" s="10" t="s">
        <v>2122</v>
      </c>
      <c r="D28" s="10"/>
      <c r="E28" s="10"/>
      <c r="F28" s="10"/>
      <c r="G28" s="10"/>
      <c r="H28" s="27"/>
      <c r="I28" s="406"/>
      <c r="J28" s="2139">
        <f>+J23+J25</f>
        <v>0</v>
      </c>
      <c r="K28" s="2140"/>
      <c r="L28" s="136"/>
      <c r="M28" s="27"/>
      <c r="N28" s="2139">
        <f>+N23+N25</f>
        <v>0</v>
      </c>
      <c r="O28" s="2140"/>
      <c r="P28" s="136"/>
      <c r="Q28" s="371"/>
      <c r="R28" s="2136">
        <f>+J28+N28</f>
        <v>0</v>
      </c>
      <c r="S28" s="2137"/>
      <c r="T28" s="407"/>
      <c r="U28" s="125"/>
      <c r="W28" s="488">
        <f>IF(+J28+N28-R28=0,0,1)</f>
        <v>0</v>
      </c>
      <c r="Y28" s="277"/>
      <c r="Z28" s="437"/>
    </row>
    <row r="29" spans="1:33" ht="16.5" thickBot="1" x14ac:dyDescent="0.25">
      <c r="A29" s="23"/>
      <c r="B29" s="6"/>
      <c r="C29" s="27"/>
      <c r="D29" s="27"/>
      <c r="E29" s="27"/>
      <c r="F29" s="27"/>
      <c r="G29" s="27"/>
      <c r="H29" s="27"/>
      <c r="I29" s="408"/>
      <c r="J29" s="409"/>
      <c r="K29" s="410"/>
      <c r="L29" s="411"/>
      <c r="M29" s="409"/>
      <c r="N29" s="409"/>
      <c r="O29" s="410"/>
      <c r="P29" s="411"/>
      <c r="Q29" s="412"/>
      <c r="R29" s="413"/>
      <c r="S29" s="412"/>
      <c r="T29" s="414"/>
      <c r="U29" s="125"/>
      <c r="W29" s="489"/>
    </row>
    <row r="30" spans="1:33" ht="15.75" x14ac:dyDescent="0.2">
      <c r="A30" s="23"/>
      <c r="B30" s="1068"/>
      <c r="C30" s="1068"/>
      <c r="D30" s="1068"/>
      <c r="E30" s="1068"/>
      <c r="F30" s="1068"/>
      <c r="G30" s="1068"/>
      <c r="H30" s="1068"/>
      <c r="I30" s="1068"/>
      <c r="J30" s="1068"/>
      <c r="K30" s="1068"/>
      <c r="L30" s="1068"/>
      <c r="M30" s="1068"/>
      <c r="N30" s="1068"/>
      <c r="O30" s="1068"/>
      <c r="P30" s="1068"/>
      <c r="Q30" s="979"/>
      <c r="R30" s="980"/>
      <c r="S30" s="979"/>
      <c r="T30" s="376"/>
      <c r="U30" s="125"/>
      <c r="W30" s="489"/>
      <c r="Z30" s="116"/>
      <c r="AA30" s="116"/>
      <c r="AB30" s="116"/>
      <c r="AC30" s="116"/>
      <c r="AD30" s="116"/>
      <c r="AE30" s="116"/>
      <c r="AF30" s="116"/>
      <c r="AG30" s="116"/>
    </row>
    <row r="31" spans="1:33" ht="16.5" customHeight="1" thickBot="1" x14ac:dyDescent="0.3">
      <c r="A31" s="23"/>
      <c r="B31" s="1068"/>
      <c r="C31" s="1069" t="s">
        <v>2123</v>
      </c>
      <c r="D31" s="1070"/>
      <c r="E31" s="1070"/>
      <c r="F31" s="1070"/>
      <c r="G31" s="1070"/>
      <c r="H31" s="1070"/>
      <c r="I31" s="1070"/>
      <c r="J31" s="1070"/>
      <c r="K31" s="1070"/>
      <c r="L31" s="1070"/>
      <c r="M31" s="1070"/>
      <c r="N31" s="1071"/>
      <c r="O31" s="1072"/>
      <c r="P31" s="1070"/>
      <c r="Q31" s="979"/>
      <c r="R31" s="980"/>
      <c r="S31" s="979"/>
      <c r="T31" s="376"/>
      <c r="U31" s="125"/>
      <c r="W31" s="489"/>
      <c r="Z31" s="657"/>
      <c r="AA31" s="116"/>
      <c r="AB31" s="116"/>
      <c r="AC31" s="116"/>
      <c r="AD31" s="116"/>
      <c r="AE31" s="116"/>
      <c r="AF31" s="116"/>
      <c r="AG31" s="116"/>
    </row>
    <row r="32" spans="1:33" ht="16.5" thickBot="1" x14ac:dyDescent="0.25">
      <c r="A32" s="23"/>
      <c r="B32" s="1068"/>
      <c r="C32" s="2153" t="s">
        <v>1025</v>
      </c>
      <c r="D32" s="2153"/>
      <c r="E32" s="2153"/>
      <c r="F32" s="2153"/>
      <c r="G32" s="2153"/>
      <c r="H32" s="1070"/>
      <c r="I32" s="1070"/>
      <c r="J32" s="2141">
        <v>0</v>
      </c>
      <c r="K32" s="2142"/>
      <c r="L32" s="1072"/>
      <c r="M32" s="1070"/>
      <c r="N32" s="2141">
        <v>0</v>
      </c>
      <c r="O32" s="2142"/>
      <c r="P32" s="1070"/>
      <c r="Q32" s="979"/>
      <c r="R32" s="2186">
        <f>+J32+N32</f>
        <v>0</v>
      </c>
      <c r="S32" s="2187"/>
      <c r="T32" s="376"/>
      <c r="U32" s="125"/>
      <c r="W32" s="488">
        <f>IF(+J32+N32-R32=0,0,1)</f>
        <v>0</v>
      </c>
      <c r="Y32" s="277"/>
      <c r="Z32" s="657"/>
      <c r="AA32" s="116"/>
      <c r="AB32" s="116"/>
      <c r="AC32" s="116"/>
      <c r="AD32" s="116"/>
      <c r="AE32" s="116"/>
      <c r="AF32" s="116"/>
      <c r="AG32" s="116"/>
    </row>
    <row r="33" spans="1:33" ht="15.75" customHeight="1" x14ac:dyDescent="0.2">
      <c r="A33" s="23"/>
      <c r="B33" s="1068"/>
      <c r="C33" s="2154"/>
      <c r="D33" s="2154"/>
      <c r="E33" s="2154"/>
      <c r="F33" s="2154"/>
      <c r="G33" s="2154"/>
      <c r="H33" s="1070"/>
      <c r="I33" s="1070"/>
      <c r="J33" s="1070"/>
      <c r="K33" s="1070"/>
      <c r="L33" s="1070"/>
      <c r="M33" s="1070"/>
      <c r="N33" s="1070"/>
      <c r="O33" s="1070"/>
      <c r="P33" s="1070"/>
      <c r="Q33" s="979"/>
      <c r="R33" s="980"/>
      <c r="S33" s="979"/>
      <c r="T33" s="376"/>
      <c r="U33" s="125"/>
      <c r="W33" s="489"/>
      <c r="Z33" s="657"/>
      <c r="AA33" s="116"/>
      <c r="AB33" s="116"/>
      <c r="AC33" s="116"/>
      <c r="AD33" s="116"/>
      <c r="AE33" s="116"/>
      <c r="AF33" s="116"/>
      <c r="AG33" s="116"/>
    </row>
    <row r="34" spans="1:33" ht="16.5" customHeight="1" thickBot="1" x14ac:dyDescent="0.25">
      <c r="A34" s="23"/>
      <c r="B34" s="1068"/>
      <c r="C34" s="1070"/>
      <c r="D34" s="1070"/>
      <c r="E34" s="1070"/>
      <c r="F34" s="1070"/>
      <c r="G34" s="1070"/>
      <c r="H34" s="1070"/>
      <c r="I34" s="1070"/>
      <c r="J34" s="1070"/>
      <c r="K34" s="1070"/>
      <c r="L34" s="1070"/>
      <c r="M34" s="1070"/>
      <c r="N34" s="1070"/>
      <c r="O34" s="1070"/>
      <c r="P34" s="1070"/>
      <c r="Q34" s="979"/>
      <c r="R34" s="980"/>
      <c r="S34" s="979"/>
      <c r="T34" s="376"/>
      <c r="U34" s="125"/>
      <c r="W34" s="489"/>
      <c r="Z34" s="657"/>
      <c r="AA34" s="116"/>
      <c r="AB34" s="116"/>
      <c r="AC34" s="116"/>
      <c r="AD34" s="116"/>
      <c r="AE34" s="116"/>
      <c r="AF34" s="116"/>
      <c r="AG34" s="116"/>
    </row>
    <row r="35" spans="1:33" ht="16.5" customHeight="1" thickBot="1" x14ac:dyDescent="0.25">
      <c r="A35" s="23"/>
      <c r="B35" s="1068"/>
      <c r="C35" s="2158" t="s">
        <v>1039</v>
      </c>
      <c r="D35" s="2159"/>
      <c r="E35" s="2159"/>
      <c r="F35" s="2159"/>
      <c r="G35" s="2159"/>
      <c r="H35" s="1070"/>
      <c r="I35" s="1070"/>
      <c r="J35" s="2141">
        <v>0</v>
      </c>
      <c r="K35" s="2142"/>
      <c r="L35" s="1072"/>
      <c r="M35" s="1070"/>
      <c r="N35" s="2141">
        <v>0</v>
      </c>
      <c r="O35" s="2142"/>
      <c r="P35" s="1070"/>
      <c r="Q35" s="979"/>
      <c r="R35" s="2186">
        <f>+J35+N35</f>
        <v>0</v>
      </c>
      <c r="S35" s="2187"/>
      <c r="T35" s="376"/>
      <c r="U35" s="125"/>
      <c r="W35" s="488">
        <f>IF(+J35+N35-R35=0,0,1)</f>
        <v>0</v>
      </c>
      <c r="Y35" s="277"/>
      <c r="Z35" s="657"/>
      <c r="AA35" s="116"/>
      <c r="AB35" s="116"/>
      <c r="AC35" s="116"/>
      <c r="AD35" s="116"/>
      <c r="AE35" s="116"/>
      <c r="AF35" s="116"/>
      <c r="AG35" s="116"/>
    </row>
    <row r="36" spans="1:33" ht="15.75" customHeight="1" x14ac:dyDescent="0.2">
      <c r="A36" s="23"/>
      <c r="B36" s="1068"/>
      <c r="C36" s="2159"/>
      <c r="D36" s="2159"/>
      <c r="E36" s="2159"/>
      <c r="F36" s="2159"/>
      <c r="G36" s="2159"/>
      <c r="H36" s="1070"/>
      <c r="I36" s="1070"/>
      <c r="J36" s="1072"/>
      <c r="K36" s="1072"/>
      <c r="L36" s="1072"/>
      <c r="M36" s="1072"/>
      <c r="N36" s="1072"/>
      <c r="O36" s="1072"/>
      <c r="P36" s="1072"/>
      <c r="Q36" s="979"/>
      <c r="R36" s="979"/>
      <c r="S36" s="979"/>
      <c r="T36" s="376"/>
      <c r="U36" s="125"/>
      <c r="W36" s="489"/>
      <c r="Z36" s="657"/>
      <c r="AA36" s="116"/>
      <c r="AB36" s="116"/>
      <c r="AC36" s="116"/>
      <c r="AD36" s="116"/>
      <c r="AE36" s="116"/>
      <c r="AF36" s="116"/>
      <c r="AG36" s="116"/>
    </row>
    <row r="37" spans="1:33" ht="15.75" customHeight="1" thickBot="1" x14ac:dyDescent="0.25">
      <c r="A37" s="23"/>
      <c r="B37" s="1068"/>
      <c r="C37" s="2159"/>
      <c r="D37" s="2159"/>
      <c r="E37" s="2159"/>
      <c r="F37" s="2159"/>
      <c r="G37" s="2159"/>
      <c r="H37" s="1070"/>
      <c r="I37" s="1073"/>
      <c r="J37" s="1074"/>
      <c r="K37" s="1074"/>
      <c r="L37" s="1074"/>
      <c r="M37" s="1074"/>
      <c r="N37" s="1074"/>
      <c r="O37" s="1074"/>
      <c r="P37" s="1074"/>
      <c r="Q37" s="981"/>
      <c r="R37" s="981"/>
      <c r="S37" s="981"/>
      <c r="T37" s="536"/>
      <c r="U37" s="125"/>
      <c r="W37" s="489"/>
      <c r="Z37" s="116"/>
      <c r="AA37" s="2193"/>
      <c r="AB37" s="2193"/>
      <c r="AC37" s="2193"/>
      <c r="AD37" s="2193"/>
      <c r="AE37" s="2193"/>
      <c r="AF37" s="2193"/>
      <c r="AG37" s="2193"/>
    </row>
    <row r="38" spans="1:33" ht="15.75" customHeight="1" thickBot="1" x14ac:dyDescent="0.25">
      <c r="A38" s="23"/>
      <c r="B38" s="1068"/>
      <c r="C38" s="1075"/>
      <c r="D38" s="1075"/>
      <c r="E38" s="1075"/>
      <c r="F38" s="1075"/>
      <c r="G38" s="1075"/>
      <c r="H38" s="1070"/>
      <c r="I38" s="1076"/>
      <c r="J38" s="1072"/>
      <c r="K38" s="1072"/>
      <c r="L38" s="1077"/>
      <c r="M38" s="1072"/>
      <c r="N38" s="1072"/>
      <c r="O38" s="1072"/>
      <c r="P38" s="1077"/>
      <c r="Q38" s="979"/>
      <c r="R38" s="979"/>
      <c r="S38" s="979"/>
      <c r="T38" s="421"/>
      <c r="U38" s="125"/>
      <c r="W38" s="489"/>
      <c r="Z38" s="116"/>
      <c r="AA38" s="2193"/>
      <c r="AB38" s="2193"/>
      <c r="AC38" s="2193"/>
      <c r="AD38" s="2193"/>
      <c r="AE38" s="2193"/>
      <c r="AF38" s="2193"/>
      <c r="AG38" s="2193"/>
    </row>
    <row r="39" spans="1:33" ht="16.5" thickBot="1" x14ac:dyDescent="0.25">
      <c r="A39" s="23"/>
      <c r="B39" s="1068"/>
      <c r="C39" s="1075" t="s">
        <v>831</v>
      </c>
      <c r="D39" s="1075"/>
      <c r="E39" s="1075"/>
      <c r="F39" s="1075"/>
      <c r="G39" s="1075"/>
      <c r="H39" s="1070"/>
      <c r="I39" s="1076"/>
      <c r="J39" s="2160">
        <f>+J32+J35</f>
        <v>0</v>
      </c>
      <c r="K39" s="2161"/>
      <c r="L39" s="1077"/>
      <c r="M39" s="1070"/>
      <c r="N39" s="2160">
        <f>+N32+N35</f>
        <v>0</v>
      </c>
      <c r="O39" s="2161"/>
      <c r="P39" s="1077"/>
      <c r="Q39" s="979"/>
      <c r="R39" s="979"/>
      <c r="S39" s="979"/>
      <c r="T39" s="421"/>
      <c r="U39" s="125"/>
      <c r="W39" s="488">
        <f>IF(+J39+J41-J45=0,0,1)</f>
        <v>0</v>
      </c>
      <c r="Z39" s="657"/>
      <c r="AA39" s="116"/>
      <c r="AB39" s="116"/>
      <c r="AC39" s="116"/>
      <c r="AD39" s="116"/>
      <c r="AE39" s="116"/>
      <c r="AF39" s="116"/>
      <c r="AG39" s="116"/>
    </row>
    <row r="40" spans="1:33" ht="16.5" customHeight="1" thickBot="1" x14ac:dyDescent="0.25">
      <c r="A40" s="23"/>
      <c r="B40" s="1068"/>
      <c r="C40" s="1075"/>
      <c r="D40" s="1075"/>
      <c r="E40" s="1075"/>
      <c r="F40" s="1075"/>
      <c r="G40" s="1075"/>
      <c r="H40" s="1070"/>
      <c r="I40" s="1076"/>
      <c r="J40" s="1071"/>
      <c r="K40" s="1072"/>
      <c r="L40" s="1077"/>
      <c r="M40" s="1070"/>
      <c r="N40" s="1071"/>
      <c r="O40" s="1072"/>
      <c r="P40" s="1077"/>
      <c r="Q40" s="979"/>
      <c r="R40" s="979"/>
      <c r="S40" s="979"/>
      <c r="T40" s="421"/>
      <c r="U40" s="125"/>
      <c r="W40" s="488"/>
      <c r="Z40" s="116"/>
      <c r="AA40" s="116"/>
      <c r="AB40" s="116"/>
      <c r="AC40" s="116"/>
      <c r="AD40" s="116"/>
      <c r="AE40" s="116"/>
      <c r="AF40" s="116"/>
      <c r="AG40" s="116"/>
    </row>
    <row r="41" spans="1:33" ht="16.5" thickBot="1" x14ac:dyDescent="0.25">
      <c r="A41" s="23"/>
      <c r="B41" s="1068"/>
      <c r="C41" s="2162" t="s">
        <v>1071</v>
      </c>
      <c r="D41" s="2153"/>
      <c r="E41" s="2153"/>
      <c r="F41" s="2153"/>
      <c r="G41" s="2153"/>
      <c r="H41" s="1070"/>
      <c r="I41" s="1076"/>
      <c r="J41" s="2141">
        <v>0</v>
      </c>
      <c r="K41" s="2142"/>
      <c r="L41" s="1077"/>
      <c r="M41" s="1070"/>
      <c r="N41" s="2141">
        <v>0</v>
      </c>
      <c r="O41" s="2142"/>
      <c r="P41" s="1077"/>
      <c r="Q41" s="979"/>
      <c r="R41" s="979"/>
      <c r="S41" s="979"/>
      <c r="T41" s="421"/>
      <c r="U41" s="125"/>
      <c r="W41" s="488">
        <f>IF(+N39+N41-N45=0,0,1)</f>
        <v>0</v>
      </c>
      <c r="Z41" s="657"/>
      <c r="AA41" s="116"/>
      <c r="AB41" s="116"/>
      <c r="AC41" s="116"/>
      <c r="AD41" s="116"/>
      <c r="AE41" s="116"/>
      <c r="AF41" s="116"/>
      <c r="AG41" s="116"/>
    </row>
    <row r="42" spans="1:33" ht="15.75" customHeight="1" x14ac:dyDescent="0.2">
      <c r="A42" s="23"/>
      <c r="B42" s="1068"/>
      <c r="C42" s="2153"/>
      <c r="D42" s="2153"/>
      <c r="E42" s="2153"/>
      <c r="F42" s="2153"/>
      <c r="G42" s="2153"/>
      <c r="H42" s="1070"/>
      <c r="I42" s="1076"/>
      <c r="J42" s="1071"/>
      <c r="K42" s="1072"/>
      <c r="L42" s="1077"/>
      <c r="M42" s="1070"/>
      <c r="N42" s="1071"/>
      <c r="O42" s="1072"/>
      <c r="P42" s="1077"/>
      <c r="Q42" s="979"/>
      <c r="R42" s="980"/>
      <c r="S42" s="979"/>
      <c r="T42" s="421"/>
      <c r="U42" s="125"/>
      <c r="W42" s="489"/>
      <c r="Z42" s="116"/>
      <c r="AA42" s="116"/>
      <c r="AB42" s="116"/>
      <c r="AC42" s="116"/>
      <c r="AD42" s="116"/>
      <c r="AE42" s="116"/>
      <c r="AF42" s="116"/>
      <c r="AG42" s="116"/>
    </row>
    <row r="43" spans="1:33" ht="15.75" customHeight="1" x14ac:dyDescent="0.2">
      <c r="A43" s="23"/>
      <c r="B43" s="1068"/>
      <c r="C43" s="2154"/>
      <c r="D43" s="2154"/>
      <c r="E43" s="2154"/>
      <c r="F43" s="2154"/>
      <c r="G43" s="2154"/>
      <c r="H43" s="1070"/>
      <c r="I43" s="1076"/>
      <c r="J43" s="1071"/>
      <c r="K43" s="1072"/>
      <c r="L43" s="1077"/>
      <c r="M43" s="1070"/>
      <c r="N43" s="1071"/>
      <c r="O43" s="1072"/>
      <c r="P43" s="1077"/>
      <c r="Q43" s="979"/>
      <c r="R43" s="980"/>
      <c r="S43" s="979"/>
      <c r="T43" s="421"/>
      <c r="U43" s="125"/>
      <c r="W43" s="489"/>
      <c r="Z43" s="116"/>
      <c r="AA43" s="116"/>
      <c r="AB43" s="116"/>
      <c r="AC43" s="116"/>
      <c r="AD43" s="116"/>
      <c r="AE43" s="116"/>
      <c r="AF43" s="116"/>
      <c r="AG43" s="116"/>
    </row>
    <row r="44" spans="1:33" ht="16.5" thickBot="1" x14ac:dyDescent="0.25">
      <c r="A44" s="23"/>
      <c r="B44" s="1068"/>
      <c r="C44" s="1078"/>
      <c r="D44" s="1078"/>
      <c r="E44" s="1078"/>
      <c r="F44" s="1078"/>
      <c r="G44" s="1078"/>
      <c r="H44" s="1070"/>
      <c r="I44" s="1076"/>
      <c r="J44" s="1071"/>
      <c r="K44" s="1072"/>
      <c r="L44" s="1077"/>
      <c r="M44" s="1070"/>
      <c r="N44" s="1071"/>
      <c r="O44" s="1072"/>
      <c r="P44" s="1077"/>
      <c r="Q44" s="979"/>
      <c r="R44" s="980"/>
      <c r="S44" s="979"/>
      <c r="T44" s="421"/>
      <c r="U44" s="125"/>
      <c r="W44" s="489"/>
      <c r="Z44" s="116"/>
      <c r="AA44" s="116"/>
      <c r="AB44" s="116"/>
      <c r="AC44" s="116"/>
      <c r="AD44" s="116"/>
      <c r="AE44" s="116"/>
      <c r="AF44" s="116"/>
      <c r="AG44" s="116"/>
    </row>
    <row r="45" spans="1:33" ht="16.5" thickBot="1" x14ac:dyDescent="0.25">
      <c r="A45" s="23"/>
      <c r="B45" s="1068"/>
      <c r="C45" s="1075" t="s">
        <v>832</v>
      </c>
      <c r="D45" s="1075"/>
      <c r="E45" s="1075"/>
      <c r="F45" s="1075"/>
      <c r="G45" s="1075"/>
      <c r="H45" s="1070"/>
      <c r="I45" s="1076"/>
      <c r="J45" s="2160">
        <f>+J39+J41</f>
        <v>0</v>
      </c>
      <c r="K45" s="2161"/>
      <c r="L45" s="1077"/>
      <c r="M45" s="1070"/>
      <c r="N45" s="2160">
        <f>+N39+N41</f>
        <v>0</v>
      </c>
      <c r="O45" s="2161"/>
      <c r="P45" s="1077"/>
      <c r="Q45" s="979"/>
      <c r="R45" s="2186">
        <f>+J45+N45</f>
        <v>0</v>
      </c>
      <c r="S45" s="2187"/>
      <c r="T45" s="421"/>
      <c r="U45" s="125"/>
      <c r="W45" s="488">
        <f>IF(+J45+N45-R45=0,0,1)</f>
        <v>0</v>
      </c>
      <c r="Y45" s="277"/>
      <c r="Z45" s="657"/>
      <c r="AA45" s="116"/>
      <c r="AB45" s="116"/>
      <c r="AC45" s="116"/>
      <c r="AD45" s="116"/>
      <c r="AE45" s="116"/>
      <c r="AF45" s="116"/>
      <c r="AG45" s="116"/>
    </row>
    <row r="46" spans="1:33" ht="16.5" thickBot="1" x14ac:dyDescent="0.25">
      <c r="A46" s="23"/>
      <c r="B46" s="1068"/>
      <c r="C46" s="1068"/>
      <c r="D46" s="1068"/>
      <c r="E46" s="1068"/>
      <c r="F46" s="1068"/>
      <c r="G46" s="1068"/>
      <c r="H46" s="1070"/>
      <c r="I46" s="1079"/>
      <c r="J46" s="1080"/>
      <c r="K46" s="1074"/>
      <c r="L46" s="1081"/>
      <c r="M46" s="1080"/>
      <c r="N46" s="1080"/>
      <c r="O46" s="1074"/>
      <c r="P46" s="1082"/>
      <c r="Q46" s="981"/>
      <c r="R46" s="982"/>
      <c r="S46" s="981"/>
      <c r="T46" s="428"/>
      <c r="U46" s="125"/>
      <c r="W46" s="489"/>
      <c r="Z46" s="116"/>
      <c r="AA46" s="116"/>
      <c r="AB46" s="116"/>
      <c r="AC46" s="116"/>
      <c r="AD46" s="116"/>
      <c r="AE46" s="116"/>
      <c r="AF46" s="116"/>
      <c r="AG46" s="116"/>
    </row>
    <row r="47" spans="1:33" ht="16.5" thickBot="1" x14ac:dyDescent="0.25">
      <c r="A47" s="23"/>
      <c r="B47" s="1068"/>
      <c r="C47" s="1070"/>
      <c r="D47" s="1070"/>
      <c r="E47" s="1070"/>
      <c r="F47" s="1070"/>
      <c r="G47" s="1070"/>
      <c r="H47" s="1070"/>
      <c r="I47" s="1070"/>
      <c r="J47" s="1071"/>
      <c r="K47" s="1072"/>
      <c r="L47" s="1072"/>
      <c r="M47" s="1072"/>
      <c r="N47" s="1072"/>
      <c r="O47" s="1072"/>
      <c r="P47" s="1072"/>
      <c r="Q47" s="979"/>
      <c r="R47" s="980"/>
      <c r="S47" s="979"/>
      <c r="T47" s="376"/>
      <c r="U47" s="125"/>
      <c r="W47" s="489"/>
      <c r="Z47" s="116"/>
      <c r="AA47" s="116"/>
      <c r="AB47" s="116"/>
      <c r="AC47" s="116"/>
      <c r="AD47" s="116"/>
      <c r="AE47" s="116"/>
      <c r="AF47" s="116"/>
      <c r="AG47" s="116"/>
    </row>
    <row r="48" spans="1:33" ht="15.75" x14ac:dyDescent="0.2">
      <c r="A48" s="23"/>
      <c r="B48" s="1083"/>
      <c r="C48" s="1084"/>
      <c r="D48" s="1084"/>
      <c r="E48" s="1084"/>
      <c r="F48" s="1084"/>
      <c r="G48" s="1084"/>
      <c r="H48" s="1084"/>
      <c r="I48" s="1084"/>
      <c r="J48" s="1085"/>
      <c r="K48" s="1086"/>
      <c r="L48" s="1086"/>
      <c r="M48" s="1086"/>
      <c r="N48" s="1086"/>
      <c r="O48" s="1086"/>
      <c r="P48" s="1086"/>
      <c r="Q48" s="983"/>
      <c r="R48" s="984"/>
      <c r="S48" s="983"/>
      <c r="T48" s="391"/>
      <c r="U48" s="125"/>
      <c r="W48" s="489"/>
      <c r="Z48" s="116"/>
      <c r="AA48" s="116"/>
      <c r="AB48" s="116"/>
      <c r="AC48" s="116"/>
      <c r="AD48" s="116"/>
      <c r="AE48" s="116"/>
      <c r="AF48" s="116"/>
      <c r="AG48" s="116"/>
    </row>
    <row r="49" spans="1:26" ht="16.5" thickBot="1" x14ac:dyDescent="0.3">
      <c r="A49" s="23"/>
      <c r="B49" s="1087"/>
      <c r="C49" s="1069" t="s">
        <v>2124</v>
      </c>
      <c r="D49" s="1088"/>
      <c r="E49" s="1088"/>
      <c r="F49" s="1088"/>
      <c r="G49" s="1088"/>
      <c r="H49" s="1070"/>
      <c r="I49" s="1070"/>
      <c r="J49" s="1071"/>
      <c r="K49" s="1072"/>
      <c r="L49" s="1072"/>
      <c r="M49" s="1072"/>
      <c r="N49" s="1072"/>
      <c r="O49" s="1072"/>
      <c r="P49" s="1072"/>
      <c r="Q49" s="979"/>
      <c r="R49" s="980"/>
      <c r="S49" s="979"/>
      <c r="T49" s="392"/>
      <c r="U49" s="125"/>
      <c r="W49" s="489"/>
    </row>
    <row r="50" spans="1:26" ht="16.5" thickBot="1" x14ac:dyDescent="0.25">
      <c r="A50" s="23"/>
      <c r="B50" s="1087"/>
      <c r="C50" s="1089" t="s">
        <v>833</v>
      </c>
      <c r="D50" s="1088"/>
      <c r="E50" s="1088"/>
      <c r="F50" s="1088"/>
      <c r="G50" s="1088"/>
      <c r="H50" s="1070"/>
      <c r="I50" s="1070"/>
      <c r="J50" s="2160">
        <f>+J45*-1</f>
        <v>0</v>
      </c>
      <c r="K50" s="2161"/>
      <c r="L50" s="1072"/>
      <c r="M50" s="1072"/>
      <c r="N50" s="2160">
        <f>+N45*-1</f>
        <v>0</v>
      </c>
      <c r="O50" s="2161"/>
      <c r="P50" s="1072"/>
      <c r="Q50" s="979"/>
      <c r="R50" s="2186">
        <f>+J50+N50</f>
        <v>0</v>
      </c>
      <c r="S50" s="2187"/>
      <c r="T50" s="392"/>
      <c r="U50" s="125"/>
      <c r="W50" s="488">
        <f>IF(+J50+N50-R50=0,0,1)</f>
        <v>0</v>
      </c>
      <c r="Y50" s="277"/>
      <c r="Z50" s="437"/>
    </row>
    <row r="51" spans="1:26" ht="16.5" thickBot="1" x14ac:dyDescent="0.3">
      <c r="A51" s="23"/>
      <c r="B51" s="1090"/>
      <c r="C51" s="1091"/>
      <c r="D51" s="1092"/>
      <c r="E51" s="1092"/>
      <c r="F51" s="1092"/>
      <c r="G51" s="1092"/>
      <c r="H51" s="1092"/>
      <c r="I51" s="1092"/>
      <c r="J51" s="1093"/>
      <c r="K51" s="1094"/>
      <c r="L51" s="1094"/>
      <c r="M51" s="1094"/>
      <c r="N51" s="1094"/>
      <c r="O51" s="1094"/>
      <c r="P51" s="1094"/>
      <c r="Q51" s="985"/>
      <c r="R51" s="986"/>
      <c r="S51" s="985"/>
      <c r="T51" s="393"/>
      <c r="U51" s="125"/>
      <c r="W51" s="489"/>
    </row>
    <row r="52" spans="1:26" x14ac:dyDescent="0.2">
      <c r="A52" s="23"/>
      <c r="B52" s="2"/>
      <c r="C52" s="2"/>
      <c r="D52" s="2"/>
      <c r="E52" s="2"/>
      <c r="F52" s="2"/>
      <c r="G52" s="2"/>
      <c r="H52" s="2"/>
      <c r="I52" s="2"/>
      <c r="J52" s="2"/>
      <c r="K52" s="2"/>
      <c r="L52" s="2"/>
      <c r="M52" s="27"/>
      <c r="N52" s="2"/>
      <c r="O52" s="2"/>
      <c r="P52" s="2"/>
      <c r="Q52" s="376"/>
      <c r="R52" s="376"/>
      <c r="S52" s="376"/>
      <c r="T52" s="376"/>
      <c r="U52" s="125"/>
      <c r="W52" s="489"/>
    </row>
    <row r="53" spans="1:26" ht="15.75" customHeight="1" x14ac:dyDescent="0.25">
      <c r="A53" s="152"/>
      <c r="B53" s="134"/>
      <c r="C53" s="16" t="s">
        <v>1072</v>
      </c>
      <c r="D53" s="16"/>
      <c r="E53" s="16"/>
      <c r="F53" s="16"/>
      <c r="G53" s="16"/>
      <c r="H53" s="16"/>
      <c r="I53" s="134"/>
      <c r="J53" s="134"/>
      <c r="K53" s="134"/>
      <c r="L53" s="134"/>
      <c r="M53" s="27"/>
      <c r="N53" s="134"/>
      <c r="O53" s="134"/>
      <c r="P53" s="134"/>
      <c r="Q53" s="371"/>
      <c r="R53" s="371"/>
      <c r="S53" s="371"/>
      <c r="T53" s="376"/>
      <c r="U53" s="125"/>
      <c r="W53" s="489"/>
    </row>
    <row r="54" spans="1:26" x14ac:dyDescent="0.2">
      <c r="A54" s="23"/>
      <c r="B54" s="2"/>
      <c r="C54" s="10"/>
      <c r="D54" s="27"/>
      <c r="E54" s="27"/>
      <c r="F54" s="27"/>
      <c r="G54" s="27"/>
      <c r="H54" s="27"/>
      <c r="I54" s="27"/>
      <c r="J54" s="134"/>
      <c r="K54" s="134"/>
      <c r="L54" s="134"/>
      <c r="M54" s="27"/>
      <c r="N54" s="134"/>
      <c r="O54" s="134"/>
      <c r="P54" s="134"/>
      <c r="Q54" s="371"/>
      <c r="R54" s="371"/>
      <c r="S54" s="371"/>
      <c r="T54" s="376"/>
      <c r="U54" s="125"/>
      <c r="W54" s="489"/>
    </row>
    <row r="55" spans="1:26" ht="16.5" thickBot="1" x14ac:dyDescent="0.3">
      <c r="A55" s="23"/>
      <c r="B55" s="2"/>
      <c r="C55" s="13" t="s">
        <v>798</v>
      </c>
      <c r="D55" s="10"/>
      <c r="E55" s="10"/>
      <c r="F55" s="10"/>
      <c r="G55" s="10"/>
      <c r="H55" s="27"/>
      <c r="I55" s="27"/>
      <c r="J55" s="134"/>
      <c r="K55" s="134"/>
      <c r="L55" s="134"/>
      <c r="M55" s="27"/>
      <c r="N55" s="134"/>
      <c r="O55" s="134"/>
      <c r="P55" s="134"/>
      <c r="Q55" s="371"/>
      <c r="R55" s="371"/>
      <c r="S55" s="371"/>
      <c r="T55" s="376"/>
      <c r="U55" s="125"/>
      <c r="W55" s="489"/>
    </row>
    <row r="56" spans="1:26" ht="16.5" thickBot="1" x14ac:dyDescent="0.25">
      <c r="A56" s="23"/>
      <c r="B56" s="2"/>
      <c r="C56" s="10" t="s">
        <v>2125</v>
      </c>
      <c r="D56" s="10"/>
      <c r="E56" s="10"/>
      <c r="F56" s="10"/>
      <c r="G56" s="10"/>
      <c r="H56" s="27"/>
      <c r="I56" s="27"/>
      <c r="J56" s="2072">
        <v>0</v>
      </c>
      <c r="K56" s="2073"/>
      <c r="L56" s="134"/>
      <c r="M56" s="27"/>
      <c r="N56" s="2072">
        <v>0</v>
      </c>
      <c r="O56" s="2073"/>
      <c r="P56" s="134"/>
      <c r="Q56" s="371"/>
      <c r="R56" s="2136">
        <f>+J56+N56</f>
        <v>0</v>
      </c>
      <c r="S56" s="2137"/>
      <c r="T56" s="376"/>
      <c r="U56" s="125"/>
      <c r="W56" s="488">
        <f>IF(+J56+N56-R56=0,0,1)</f>
        <v>0</v>
      </c>
      <c r="Y56" s="277"/>
      <c r="Z56" s="437"/>
    </row>
    <row r="57" spans="1:26" ht="16.5" thickBot="1" x14ac:dyDescent="0.3">
      <c r="A57" s="23"/>
      <c r="B57" s="2"/>
      <c r="C57" s="10"/>
      <c r="D57" s="10"/>
      <c r="E57" s="10"/>
      <c r="F57" s="10"/>
      <c r="G57" s="10"/>
      <c r="H57" s="27"/>
      <c r="I57" s="27"/>
      <c r="J57" s="753">
        <f>+IF(OR(J58&lt;J56,N58&lt;N56),1,0)</f>
        <v>0</v>
      </c>
      <c r="K57" s="686"/>
      <c r="L57" s="686"/>
      <c r="M57" s="385"/>
      <c r="N57" s="753">
        <f>+IF(OR(N58&lt;N56,R58&lt;R56),1,0)</f>
        <v>0</v>
      </c>
      <c r="O57" s="686"/>
      <c r="P57" s="686" t="s">
        <v>1089</v>
      </c>
      <c r="Q57" s="687"/>
      <c r="R57" s="687"/>
      <c r="S57" s="687"/>
      <c r="T57" s="376"/>
      <c r="U57" s="125"/>
      <c r="W57" s="489"/>
    </row>
    <row r="58" spans="1:26" ht="16.5" thickBot="1" x14ac:dyDescent="0.25">
      <c r="A58" s="23"/>
      <c r="B58" s="2"/>
      <c r="C58" s="2067" t="s">
        <v>822</v>
      </c>
      <c r="D58" s="2067"/>
      <c r="E58" s="2067"/>
      <c r="F58" s="2067"/>
      <c r="G58" s="2067"/>
      <c r="H58" s="27"/>
      <c r="I58" s="27"/>
      <c r="J58" s="2072">
        <v>0</v>
      </c>
      <c r="K58" s="2073"/>
      <c r="L58" s="134"/>
      <c r="M58" s="27"/>
      <c r="N58" s="2072">
        <v>0</v>
      </c>
      <c r="O58" s="2073"/>
      <c r="P58" s="134"/>
      <c r="Q58" s="371"/>
      <c r="R58" s="2136">
        <f>+J58+N58</f>
        <v>0</v>
      </c>
      <c r="S58" s="2137"/>
      <c r="T58" s="376"/>
      <c r="U58" s="125"/>
      <c r="W58" s="488">
        <f>IF(+J58+N58-R58=0,0,1)</f>
        <v>0</v>
      </c>
      <c r="Y58" s="277"/>
      <c r="Z58" s="437"/>
    </row>
    <row r="59" spans="1:26" ht="15.75" x14ac:dyDescent="0.2">
      <c r="A59" s="23"/>
      <c r="B59" s="2"/>
      <c r="C59" s="2067"/>
      <c r="D59" s="2067"/>
      <c r="E59" s="2067"/>
      <c r="F59" s="2067"/>
      <c r="G59" s="2067"/>
      <c r="H59" s="27"/>
      <c r="I59" s="27"/>
      <c r="J59" s="752" t="str">
        <f>+IF(J57+N57&gt;0,"Line 13 must be less than Line 12. Check your data","")</f>
        <v/>
      </c>
      <c r="K59" s="751"/>
      <c r="L59" s="751"/>
      <c r="M59" s="751"/>
      <c r="N59" s="752"/>
      <c r="O59" s="751"/>
      <c r="P59" s="134"/>
      <c r="Q59" s="371"/>
      <c r="R59" s="749"/>
      <c r="S59" s="371"/>
      <c r="T59" s="376"/>
      <c r="U59" s="125"/>
      <c r="W59" s="489"/>
    </row>
    <row r="60" spans="1:26" ht="16.5" thickBot="1" x14ac:dyDescent="0.25">
      <c r="A60" s="23"/>
      <c r="B60" s="2"/>
      <c r="C60" s="10"/>
      <c r="D60" s="10"/>
      <c r="E60" s="10"/>
      <c r="F60" s="10"/>
      <c r="G60" s="10"/>
      <c r="H60" s="27"/>
      <c r="I60" s="27"/>
      <c r="J60" s="135"/>
      <c r="K60" s="134"/>
      <c r="L60" s="134"/>
      <c r="M60" s="27"/>
      <c r="N60" s="135"/>
      <c r="O60" s="134"/>
      <c r="P60" s="134"/>
      <c r="Q60" s="371"/>
      <c r="R60" s="606"/>
      <c r="S60" s="371"/>
      <c r="T60" s="376"/>
      <c r="U60" s="125"/>
      <c r="W60" s="489"/>
    </row>
    <row r="61" spans="1:26" ht="16.5" thickBot="1" x14ac:dyDescent="0.25">
      <c r="A61" s="23"/>
      <c r="B61" s="2"/>
      <c r="C61" s="2067" t="s">
        <v>1027</v>
      </c>
      <c r="D61" s="2067"/>
      <c r="E61" s="2067"/>
      <c r="F61" s="2067"/>
      <c r="G61" s="2067"/>
      <c r="H61" s="27"/>
      <c r="I61" s="27"/>
      <c r="J61" s="2072">
        <v>0</v>
      </c>
      <c r="K61" s="2073"/>
      <c r="L61" s="134"/>
      <c r="M61" s="27"/>
      <c r="N61" s="2072">
        <v>0</v>
      </c>
      <c r="O61" s="2073"/>
      <c r="P61" s="134"/>
      <c r="Q61" s="371"/>
      <c r="R61" s="2136">
        <f>+J61+N61</f>
        <v>0</v>
      </c>
      <c r="S61" s="2137"/>
      <c r="T61" s="376"/>
      <c r="U61" s="125"/>
      <c r="W61" s="488">
        <f>IF(+J61+N61-R61=0,0,1)</f>
        <v>0</v>
      </c>
      <c r="Y61" s="277"/>
      <c r="Z61" s="437"/>
    </row>
    <row r="62" spans="1:26" ht="15.75" customHeight="1" x14ac:dyDescent="0.2">
      <c r="A62" s="23"/>
      <c r="B62" s="2"/>
      <c r="C62" s="2138"/>
      <c r="D62" s="2138"/>
      <c r="E62" s="2138"/>
      <c r="F62" s="2138"/>
      <c r="G62" s="2138"/>
      <c r="H62" s="27"/>
      <c r="I62" s="27"/>
      <c r="J62" s="135"/>
      <c r="K62" s="134"/>
      <c r="L62" s="134"/>
      <c r="M62" s="27"/>
      <c r="N62" s="135"/>
      <c r="O62" s="134"/>
      <c r="P62" s="134"/>
      <c r="Q62" s="371"/>
      <c r="R62" s="606"/>
      <c r="S62" s="371"/>
      <c r="T62" s="376"/>
      <c r="U62" s="125"/>
      <c r="W62" s="489"/>
    </row>
    <row r="63" spans="1:26" ht="16.5" thickBot="1" x14ac:dyDescent="0.25">
      <c r="A63" s="23"/>
      <c r="B63" s="2"/>
      <c r="C63" s="678"/>
      <c r="D63" s="678"/>
      <c r="E63" s="678"/>
      <c r="F63" s="678"/>
      <c r="G63" s="678"/>
      <c r="H63" s="27"/>
      <c r="I63" s="27"/>
      <c r="J63" s="135"/>
      <c r="K63" s="134"/>
      <c r="L63" s="134"/>
      <c r="M63" s="27"/>
      <c r="N63" s="135"/>
      <c r="O63" s="134"/>
      <c r="P63" s="134"/>
      <c r="Q63" s="371"/>
      <c r="R63" s="606"/>
      <c r="S63" s="371"/>
      <c r="T63" s="376"/>
      <c r="U63" s="125"/>
      <c r="W63" s="493">
        <f>+IF(J56+J61-J64=0,0,1)</f>
        <v>0</v>
      </c>
    </row>
    <row r="64" spans="1:26" ht="16.5" thickBot="1" x14ac:dyDescent="0.25">
      <c r="A64" s="23"/>
      <c r="B64" s="2"/>
      <c r="C64" s="10" t="s">
        <v>1138</v>
      </c>
      <c r="D64" s="10"/>
      <c r="E64" s="10"/>
      <c r="F64" s="10"/>
      <c r="G64" s="10"/>
      <c r="H64" s="27"/>
      <c r="I64" s="27"/>
      <c r="J64" s="2139">
        <f>+J56+J61</f>
        <v>0</v>
      </c>
      <c r="K64" s="2140"/>
      <c r="L64" s="134"/>
      <c r="M64" s="27"/>
      <c r="N64" s="2139">
        <f>+N56+N61</f>
        <v>0</v>
      </c>
      <c r="O64" s="2140"/>
      <c r="P64" s="134"/>
      <c r="Q64" s="371"/>
      <c r="R64" s="2136">
        <f>+J64+N64</f>
        <v>0</v>
      </c>
      <c r="S64" s="2137"/>
      <c r="T64" s="376"/>
      <c r="U64" s="125"/>
      <c r="W64" s="488">
        <f>IF(+J64+N64-R64=0,0,1)</f>
        <v>0</v>
      </c>
      <c r="Y64" s="277"/>
      <c r="Z64" s="437"/>
    </row>
    <row r="65" spans="1:26" x14ac:dyDescent="0.2">
      <c r="A65" s="23"/>
      <c r="B65" s="2"/>
      <c r="C65" s="10"/>
      <c r="D65" s="10"/>
      <c r="E65" s="10"/>
      <c r="F65" s="10"/>
      <c r="G65" s="10"/>
      <c r="H65" s="27"/>
      <c r="I65" s="27"/>
      <c r="J65" s="134"/>
      <c r="K65" s="134"/>
      <c r="L65" s="134"/>
      <c r="M65" s="27"/>
      <c r="N65" s="134"/>
      <c r="O65" s="134"/>
      <c r="P65" s="134"/>
      <c r="Q65" s="371"/>
      <c r="R65" s="371"/>
      <c r="S65" s="371"/>
      <c r="T65" s="376"/>
      <c r="U65" s="125"/>
      <c r="W65" s="493">
        <f>+IF(N56+N61-N64=0,0,1)</f>
        <v>0</v>
      </c>
    </row>
    <row r="66" spans="1:26" ht="16.5" thickBot="1" x14ac:dyDescent="0.3">
      <c r="A66" s="23"/>
      <c r="B66" s="2"/>
      <c r="C66" s="13" t="s">
        <v>816</v>
      </c>
      <c r="D66" s="10"/>
      <c r="E66" s="10"/>
      <c r="F66" s="10"/>
      <c r="G66" s="10"/>
      <c r="H66" s="27"/>
      <c r="I66" s="27"/>
      <c r="J66" s="134"/>
      <c r="K66" s="134"/>
      <c r="L66" s="134"/>
      <c r="M66" s="27"/>
      <c r="N66" s="134"/>
      <c r="O66" s="134"/>
      <c r="P66" s="134"/>
      <c r="Q66" s="371"/>
      <c r="R66" s="371"/>
      <c r="S66" s="371"/>
      <c r="T66" s="376"/>
      <c r="U66" s="125"/>
      <c r="W66" s="489"/>
    </row>
    <row r="67" spans="1:26" ht="16.5" thickBot="1" x14ac:dyDescent="0.25">
      <c r="A67" s="23"/>
      <c r="B67" s="2"/>
      <c r="C67" s="10" t="s">
        <v>2126</v>
      </c>
      <c r="D67" s="10"/>
      <c r="E67" s="10"/>
      <c r="F67" s="10"/>
      <c r="G67" s="10"/>
      <c r="H67" s="27"/>
      <c r="I67" s="27"/>
      <c r="J67" s="2072">
        <v>0</v>
      </c>
      <c r="K67" s="2073"/>
      <c r="L67" s="134"/>
      <c r="M67" s="27"/>
      <c r="N67" s="2072">
        <v>0</v>
      </c>
      <c r="O67" s="2073"/>
      <c r="P67" s="134"/>
      <c r="Q67" s="371"/>
      <c r="R67" s="2136">
        <f>+J67+N67</f>
        <v>0</v>
      </c>
      <c r="S67" s="2137"/>
      <c r="T67" s="376"/>
      <c r="U67" s="125"/>
      <c r="W67" s="488">
        <f>IF(+J67+N67-R67=0,0,1)</f>
        <v>0</v>
      </c>
      <c r="Y67" s="277"/>
      <c r="Z67" s="437"/>
    </row>
    <row r="68" spans="1:26" x14ac:dyDescent="0.2">
      <c r="A68" s="23"/>
      <c r="B68" s="2"/>
      <c r="C68" s="10"/>
      <c r="D68" s="10"/>
      <c r="E68" s="10"/>
      <c r="F68" s="10"/>
      <c r="G68" s="10"/>
      <c r="H68" s="27"/>
      <c r="I68" s="27"/>
      <c r="J68" s="134"/>
      <c r="K68" s="134"/>
      <c r="L68" s="134"/>
      <c r="M68" s="27"/>
      <c r="N68" s="134"/>
      <c r="O68" s="134"/>
      <c r="P68" s="134"/>
      <c r="Q68" s="371"/>
      <c r="R68" s="371"/>
      <c r="S68" s="371"/>
      <c r="T68" s="376"/>
      <c r="U68" s="125"/>
      <c r="W68" s="489"/>
    </row>
    <row r="69" spans="1:26" ht="16.5" thickBot="1" x14ac:dyDescent="0.3">
      <c r="A69" s="23"/>
      <c r="B69" s="2"/>
      <c r="C69" s="13" t="s">
        <v>799</v>
      </c>
      <c r="D69" s="10"/>
      <c r="E69" s="10"/>
      <c r="F69" s="10"/>
      <c r="G69" s="10"/>
      <c r="H69" s="27"/>
      <c r="I69" s="27"/>
      <c r="J69" s="134"/>
      <c r="K69" s="134"/>
      <c r="L69" s="134"/>
      <c r="M69" s="27"/>
      <c r="N69" s="134"/>
      <c r="O69" s="134"/>
      <c r="P69" s="134"/>
      <c r="Q69" s="371"/>
      <c r="R69" s="371"/>
      <c r="S69" s="371"/>
      <c r="T69" s="376"/>
      <c r="U69" s="125"/>
      <c r="W69" s="489"/>
    </row>
    <row r="70" spans="1:26" ht="16.5" thickBot="1" x14ac:dyDescent="0.25">
      <c r="A70" s="23"/>
      <c r="B70" s="2"/>
      <c r="C70" s="10" t="s">
        <v>2127</v>
      </c>
      <c r="D70" s="10"/>
      <c r="E70" s="10"/>
      <c r="F70" s="10"/>
      <c r="G70" s="10"/>
      <c r="H70" s="27"/>
      <c r="I70" s="27"/>
      <c r="J70" s="2072">
        <v>0</v>
      </c>
      <c r="K70" s="2073"/>
      <c r="L70" s="134"/>
      <c r="M70" s="27"/>
      <c r="N70" s="2072">
        <v>0</v>
      </c>
      <c r="O70" s="2073"/>
      <c r="P70" s="134"/>
      <c r="Q70" s="371"/>
      <c r="R70" s="2136">
        <f>+J70+N70</f>
        <v>0</v>
      </c>
      <c r="S70" s="2137"/>
      <c r="T70" s="376"/>
      <c r="U70" s="125"/>
      <c r="W70" s="488">
        <f>IF(+J70+N70-R70=0,0,1)</f>
        <v>0</v>
      </c>
      <c r="Y70" s="277"/>
      <c r="Z70" s="437"/>
    </row>
    <row r="71" spans="1:26" ht="15.75" x14ac:dyDescent="0.2">
      <c r="A71" s="23"/>
      <c r="B71" s="2"/>
      <c r="C71" s="27"/>
      <c r="D71" s="27"/>
      <c r="E71" s="27"/>
      <c r="F71" s="27"/>
      <c r="G71" s="27"/>
      <c r="H71" s="27"/>
      <c r="I71" s="27"/>
      <c r="J71" s="135"/>
      <c r="K71" s="134"/>
      <c r="L71" s="134"/>
      <c r="M71" s="27"/>
      <c r="N71" s="135"/>
      <c r="O71" s="134"/>
      <c r="P71" s="134"/>
      <c r="Q71" s="371"/>
      <c r="R71" s="606"/>
      <c r="S71" s="371"/>
      <c r="T71" s="376"/>
      <c r="U71" s="125"/>
      <c r="W71" s="489"/>
    </row>
    <row r="72" spans="1:26" ht="16.5" thickBot="1" x14ac:dyDescent="0.3">
      <c r="A72" s="23"/>
      <c r="B72" s="2"/>
      <c r="C72" s="26" t="s">
        <v>818</v>
      </c>
      <c r="D72" s="27"/>
      <c r="E72" s="27"/>
      <c r="F72" s="27"/>
      <c r="G72" s="27"/>
      <c r="H72" s="27"/>
      <c r="I72" s="27"/>
      <c r="J72" s="134"/>
      <c r="K72" s="134"/>
      <c r="L72" s="134"/>
      <c r="M72" s="27"/>
      <c r="N72" s="134"/>
      <c r="O72" s="134"/>
      <c r="P72" s="134"/>
      <c r="Q72" s="371"/>
      <c r="R72" s="371"/>
      <c r="S72" s="371"/>
      <c r="T72" s="376"/>
      <c r="U72" s="125"/>
      <c r="W72" s="489"/>
    </row>
    <row r="73" spans="1:26" ht="16.5" thickBot="1" x14ac:dyDescent="0.25">
      <c r="A73" s="23"/>
      <c r="B73" s="2"/>
      <c r="C73" s="10" t="s">
        <v>2128</v>
      </c>
      <c r="D73" s="27"/>
      <c r="E73" s="27"/>
      <c r="F73" s="27"/>
      <c r="G73" s="27"/>
      <c r="H73" s="27"/>
      <c r="I73" s="27"/>
      <c r="J73" s="2072">
        <v>0</v>
      </c>
      <c r="K73" s="2073"/>
      <c r="L73" s="134"/>
      <c r="M73" s="27"/>
      <c r="N73" s="2072">
        <v>0</v>
      </c>
      <c r="O73" s="2073"/>
      <c r="P73" s="134"/>
      <c r="Q73" s="371"/>
      <c r="R73" s="2136">
        <f>+J73+N73</f>
        <v>0</v>
      </c>
      <c r="S73" s="2137"/>
      <c r="T73" s="376"/>
      <c r="U73" s="125"/>
      <c r="W73" s="488">
        <f>IF(+J73+N73-R73=0,0,1)</f>
        <v>0</v>
      </c>
      <c r="Y73" s="277"/>
      <c r="Z73" s="437"/>
    </row>
    <row r="74" spans="1:26" ht="16.5" thickBot="1" x14ac:dyDescent="0.25">
      <c r="A74" s="24"/>
      <c r="B74" s="25"/>
      <c r="C74" s="163"/>
      <c r="D74" s="163"/>
      <c r="E74" s="163"/>
      <c r="F74" s="163"/>
      <c r="G74" s="163"/>
      <c r="H74" s="163"/>
      <c r="I74" s="163"/>
      <c r="J74" s="164"/>
      <c r="K74" s="165"/>
      <c r="L74" s="165"/>
      <c r="M74" s="165"/>
      <c r="N74" s="164"/>
      <c r="O74" s="165"/>
      <c r="P74" s="165"/>
      <c r="Q74" s="382"/>
      <c r="R74" s="381"/>
      <c r="S74" s="382"/>
      <c r="T74" s="397"/>
      <c r="U74" s="126"/>
      <c r="W74" s="489"/>
    </row>
    <row r="75" spans="1:26" ht="16.5" thickBot="1" x14ac:dyDescent="0.25">
      <c r="A75" s="23"/>
      <c r="B75" s="2"/>
      <c r="C75" s="27"/>
      <c r="D75" s="27"/>
      <c r="E75" s="27"/>
      <c r="F75" s="27"/>
      <c r="G75" s="27"/>
      <c r="H75" s="27"/>
      <c r="I75" s="27"/>
      <c r="J75" s="135"/>
      <c r="K75" s="134"/>
      <c r="L75" s="134"/>
      <c r="M75" s="134"/>
      <c r="N75" s="135"/>
      <c r="O75" s="134"/>
      <c r="P75" s="134"/>
      <c r="Q75" s="371"/>
      <c r="R75" s="654"/>
      <c r="S75" s="371"/>
      <c r="T75" s="376"/>
      <c r="U75" s="125"/>
      <c r="W75" s="489"/>
    </row>
    <row r="76" spans="1:26" ht="16.5" thickBot="1" x14ac:dyDescent="0.25">
      <c r="A76" s="23"/>
      <c r="B76" s="4"/>
      <c r="C76" s="127"/>
      <c r="D76" s="127"/>
      <c r="E76" s="127"/>
      <c r="F76" s="127"/>
      <c r="G76" s="127"/>
      <c r="H76" s="127"/>
      <c r="I76" s="127"/>
      <c r="J76" s="137"/>
      <c r="K76" s="138"/>
      <c r="L76" s="138"/>
      <c r="M76" s="138"/>
      <c r="N76" s="137"/>
      <c r="O76" s="138"/>
      <c r="P76" s="138"/>
      <c r="Q76" s="378"/>
      <c r="R76" s="377"/>
      <c r="S76" s="378"/>
      <c r="T76" s="394"/>
      <c r="U76" s="125"/>
      <c r="W76" s="489"/>
    </row>
    <row r="77" spans="1:26" ht="16.5" thickBot="1" x14ac:dyDescent="0.25">
      <c r="A77" s="23"/>
      <c r="B77" s="5"/>
      <c r="C77" s="27"/>
      <c r="D77" s="27"/>
      <c r="E77" s="27"/>
      <c r="F77" s="27"/>
      <c r="G77" s="27"/>
      <c r="H77" s="27"/>
      <c r="I77" s="415"/>
      <c r="J77" s="429"/>
      <c r="K77" s="416"/>
      <c r="L77" s="417"/>
      <c r="M77" s="416"/>
      <c r="N77" s="429"/>
      <c r="O77" s="416"/>
      <c r="P77" s="417"/>
      <c r="Q77" s="418"/>
      <c r="R77" s="430"/>
      <c r="S77" s="418"/>
      <c r="T77" s="419"/>
      <c r="U77" s="125"/>
      <c r="W77" s="489"/>
    </row>
    <row r="78" spans="1:26" ht="16.5" thickBot="1" x14ac:dyDescent="0.25">
      <c r="A78" s="23"/>
      <c r="B78" s="5"/>
      <c r="C78" s="2067" t="s">
        <v>2129</v>
      </c>
      <c r="D78" s="2067"/>
      <c r="E78" s="2067"/>
      <c r="F78" s="2067"/>
      <c r="G78" s="2067"/>
      <c r="H78" s="27"/>
      <c r="I78" s="420"/>
      <c r="J78" s="2139">
        <f>+J64+J67+J70+J73</f>
        <v>0</v>
      </c>
      <c r="K78" s="2143"/>
      <c r="L78" s="136"/>
      <c r="M78" s="27"/>
      <c r="N78" s="2139">
        <f>+N64+N67+N70+N73</f>
        <v>0</v>
      </c>
      <c r="O78" s="2143"/>
      <c r="P78" s="136"/>
      <c r="Q78" s="371"/>
      <c r="R78" s="371"/>
      <c r="S78" s="371"/>
      <c r="T78" s="421"/>
      <c r="U78" s="125"/>
      <c r="W78" s="488">
        <f>IF(+J78+J81-J85=0,0,1)</f>
        <v>0</v>
      </c>
      <c r="Z78" s="437"/>
    </row>
    <row r="79" spans="1:26" ht="15.75" x14ac:dyDescent="0.2">
      <c r="A79" s="23"/>
      <c r="B79" s="5"/>
      <c r="C79" s="2067"/>
      <c r="D79" s="2067"/>
      <c r="E79" s="2067"/>
      <c r="F79" s="2067"/>
      <c r="G79" s="2067"/>
      <c r="H79" s="27"/>
      <c r="I79" s="420"/>
      <c r="J79" s="135"/>
      <c r="K79" s="134"/>
      <c r="L79" s="136"/>
      <c r="M79" s="27"/>
      <c r="N79" s="135"/>
      <c r="O79" s="134"/>
      <c r="P79" s="136"/>
      <c r="Q79" s="371"/>
      <c r="R79" s="371"/>
      <c r="S79" s="371"/>
      <c r="T79" s="421"/>
      <c r="U79" s="125"/>
      <c r="W79" s="488"/>
    </row>
    <row r="80" spans="1:26" ht="16.5" thickBot="1" x14ac:dyDescent="0.25">
      <c r="A80" s="23"/>
      <c r="B80" s="5"/>
      <c r="C80" s="27"/>
      <c r="D80" s="27"/>
      <c r="E80" s="27"/>
      <c r="F80" s="27"/>
      <c r="G80" s="27"/>
      <c r="H80" s="27"/>
      <c r="I80" s="420"/>
      <c r="J80" s="135"/>
      <c r="K80" s="134"/>
      <c r="L80" s="136"/>
      <c r="M80" s="27"/>
      <c r="N80" s="135"/>
      <c r="O80" s="134"/>
      <c r="P80" s="136"/>
      <c r="Q80" s="371"/>
      <c r="R80" s="371"/>
      <c r="S80" s="371"/>
      <c r="T80" s="421"/>
      <c r="U80" s="125"/>
      <c r="W80" s="488"/>
    </row>
    <row r="81" spans="1:26" ht="16.5" customHeight="1" thickBot="1" x14ac:dyDescent="0.25">
      <c r="A81" s="23"/>
      <c r="B81" s="5"/>
      <c r="C81" s="2064" t="s">
        <v>1040</v>
      </c>
      <c r="D81" s="2152"/>
      <c r="E81" s="2152"/>
      <c r="F81" s="2152"/>
      <c r="G81" s="2152"/>
      <c r="H81" s="27"/>
      <c r="I81" s="420"/>
      <c r="J81" s="2072">
        <v>0</v>
      </c>
      <c r="K81" s="2073"/>
      <c r="L81" s="136"/>
      <c r="M81" s="27"/>
      <c r="N81" s="2072">
        <v>0</v>
      </c>
      <c r="O81" s="2073"/>
      <c r="P81" s="136"/>
      <c r="Q81" s="371"/>
      <c r="R81" s="371"/>
      <c r="S81" s="371"/>
      <c r="T81" s="421"/>
      <c r="U81" s="125"/>
      <c r="W81" s="488">
        <f>IF(+N78+N81-N85=0,0,1)</f>
        <v>0</v>
      </c>
      <c r="Z81" s="437"/>
    </row>
    <row r="82" spans="1:26" ht="15.75" customHeight="1" x14ac:dyDescent="0.2">
      <c r="A82" s="23"/>
      <c r="B82" s="5"/>
      <c r="C82" s="2152"/>
      <c r="D82" s="2152"/>
      <c r="E82" s="2152"/>
      <c r="F82" s="2152"/>
      <c r="G82" s="2152"/>
      <c r="H82" s="27"/>
      <c r="I82" s="420"/>
      <c r="J82" s="135"/>
      <c r="K82" s="134"/>
      <c r="L82" s="136"/>
      <c r="M82" s="27"/>
      <c r="N82" s="135"/>
      <c r="O82" s="134"/>
      <c r="P82" s="136"/>
      <c r="Q82" s="371"/>
      <c r="R82" s="384"/>
      <c r="S82" s="371"/>
      <c r="T82" s="421"/>
      <c r="U82" s="125"/>
      <c r="W82" s="489"/>
    </row>
    <row r="83" spans="1:26" ht="15.75" customHeight="1" x14ac:dyDescent="0.2">
      <c r="A83" s="23"/>
      <c r="B83" s="5"/>
      <c r="C83" s="2152"/>
      <c r="D83" s="2152"/>
      <c r="E83" s="2152"/>
      <c r="F83" s="2152"/>
      <c r="G83" s="2152"/>
      <c r="H83" s="27"/>
      <c r="I83" s="420"/>
      <c r="J83" s="135"/>
      <c r="K83" s="134"/>
      <c r="L83" s="136"/>
      <c r="M83" s="27"/>
      <c r="N83" s="135"/>
      <c r="O83" s="134"/>
      <c r="P83" s="136"/>
      <c r="Q83" s="371"/>
      <c r="R83" s="433"/>
      <c r="S83" s="371"/>
      <c r="T83" s="421"/>
      <c r="U83" s="125"/>
      <c r="W83" s="489"/>
    </row>
    <row r="84" spans="1:26" ht="16.5" thickBot="1" x14ac:dyDescent="0.25">
      <c r="A84" s="23"/>
      <c r="B84" s="5"/>
      <c r="C84" s="132"/>
      <c r="D84" s="132"/>
      <c r="E84" s="132"/>
      <c r="F84" s="132"/>
      <c r="G84" s="132"/>
      <c r="H84" s="27"/>
      <c r="I84" s="420"/>
      <c r="J84" s="135"/>
      <c r="K84" s="134"/>
      <c r="L84" s="136"/>
      <c r="M84" s="27"/>
      <c r="N84" s="135"/>
      <c r="O84" s="134"/>
      <c r="P84" s="136"/>
      <c r="Q84" s="371"/>
      <c r="R84" s="384"/>
      <c r="S84" s="371"/>
      <c r="T84" s="421"/>
      <c r="U84" s="125"/>
      <c r="W84" s="489"/>
    </row>
    <row r="85" spans="1:26" ht="16.5" thickBot="1" x14ac:dyDescent="0.25">
      <c r="A85" s="23"/>
      <c r="B85" s="5"/>
      <c r="C85" s="2156" t="s">
        <v>2130</v>
      </c>
      <c r="D85" s="2088"/>
      <c r="E85" s="2088"/>
      <c r="F85" s="2088"/>
      <c r="G85" s="2088"/>
      <c r="H85" s="27"/>
      <c r="I85" s="420"/>
      <c r="J85" s="2139">
        <f>+J78+J81</f>
        <v>0</v>
      </c>
      <c r="K85" s="2143"/>
      <c r="L85" s="136"/>
      <c r="M85" s="27"/>
      <c r="N85" s="2139">
        <f>+N78+N81</f>
        <v>0</v>
      </c>
      <c r="O85" s="2143"/>
      <c r="P85" s="136"/>
      <c r="Q85" s="371"/>
      <c r="R85" s="2136">
        <f>+J85+N85</f>
        <v>0</v>
      </c>
      <c r="S85" s="2137"/>
      <c r="T85" s="421"/>
      <c r="U85" s="125"/>
      <c r="W85" s="488">
        <f>IF(+J85+N85-R85=0,0,1)</f>
        <v>0</v>
      </c>
      <c r="Y85" s="277"/>
      <c r="Z85" s="437"/>
    </row>
    <row r="86" spans="1:26" ht="16.5" thickBot="1" x14ac:dyDescent="0.25">
      <c r="A86" s="23"/>
      <c r="B86" s="5"/>
      <c r="C86" s="2138"/>
      <c r="D86" s="2138"/>
      <c r="E86" s="2138"/>
      <c r="F86" s="2138"/>
      <c r="G86" s="2138"/>
      <c r="H86" s="27"/>
      <c r="I86" s="422"/>
      <c r="J86" s="423"/>
      <c r="K86" s="424"/>
      <c r="L86" s="425"/>
      <c r="M86" s="423"/>
      <c r="N86" s="423"/>
      <c r="O86" s="424"/>
      <c r="P86" s="425"/>
      <c r="Q86" s="426"/>
      <c r="R86" s="427"/>
      <c r="S86" s="426"/>
      <c r="T86" s="428"/>
      <c r="U86" s="125"/>
      <c r="W86" s="489"/>
    </row>
    <row r="87" spans="1:26" ht="16.5" thickBot="1" x14ac:dyDescent="0.25">
      <c r="A87" s="23"/>
      <c r="B87" s="7"/>
      <c r="C87" s="128"/>
      <c r="D87" s="128"/>
      <c r="E87" s="128"/>
      <c r="F87" s="128"/>
      <c r="G87" s="128"/>
      <c r="H87" s="128"/>
      <c r="I87" s="128"/>
      <c r="J87" s="139"/>
      <c r="K87" s="140"/>
      <c r="L87" s="140"/>
      <c r="M87" s="140"/>
      <c r="N87" s="139"/>
      <c r="O87" s="140"/>
      <c r="P87" s="140"/>
      <c r="Q87" s="380"/>
      <c r="R87" s="379"/>
      <c r="S87" s="379"/>
      <c r="T87" s="396"/>
      <c r="U87" s="125"/>
      <c r="W87" s="489"/>
    </row>
    <row r="88" spans="1:26" ht="16.5" thickBot="1" x14ac:dyDescent="0.25">
      <c r="A88" s="24"/>
      <c r="B88" s="25"/>
      <c r="C88" s="163"/>
      <c r="D88" s="163"/>
      <c r="E88" s="163"/>
      <c r="F88" s="163"/>
      <c r="G88" s="163"/>
      <c r="H88" s="163"/>
      <c r="I88" s="163"/>
      <c r="J88" s="164"/>
      <c r="K88" s="165"/>
      <c r="L88" s="165"/>
      <c r="M88" s="165"/>
      <c r="N88" s="164"/>
      <c r="O88" s="165"/>
      <c r="P88" s="165"/>
      <c r="Q88" s="382"/>
      <c r="R88" s="381"/>
      <c r="S88" s="382"/>
      <c r="T88" s="397"/>
      <c r="U88" s="126"/>
      <c r="W88" s="489"/>
    </row>
    <row r="89" spans="1:26" ht="15.75" hidden="1" customHeight="1" x14ac:dyDescent="0.2">
      <c r="A89" s="23"/>
      <c r="B89" s="2"/>
      <c r="C89" s="27"/>
      <c r="D89" s="27"/>
      <c r="E89" s="27"/>
      <c r="F89" s="27"/>
      <c r="G89" s="27"/>
      <c r="H89" s="27"/>
      <c r="I89" s="27"/>
      <c r="J89" s="135"/>
      <c r="K89" s="134"/>
      <c r="L89" s="134"/>
      <c r="M89" s="27"/>
      <c r="N89" s="135"/>
      <c r="O89" s="134"/>
      <c r="P89" s="134"/>
      <c r="Q89" s="371"/>
      <c r="R89" s="372"/>
      <c r="S89" s="371"/>
      <c r="T89" s="376"/>
      <c r="U89" s="125"/>
      <c r="W89" s="489"/>
    </row>
    <row r="90" spans="1:26" ht="15.75" x14ac:dyDescent="0.25">
      <c r="A90" s="23"/>
      <c r="B90" s="2"/>
      <c r="C90" s="13" t="s">
        <v>1074</v>
      </c>
      <c r="D90" s="27"/>
      <c r="E90" s="27"/>
      <c r="F90" s="27"/>
      <c r="G90" s="27"/>
      <c r="H90" s="27"/>
      <c r="I90" s="27"/>
      <c r="J90" s="134"/>
      <c r="K90" s="134"/>
      <c r="L90" s="134"/>
      <c r="M90" s="27"/>
      <c r="N90" s="134"/>
      <c r="O90" s="134"/>
      <c r="P90" s="134"/>
      <c r="Q90" s="371"/>
      <c r="R90" s="371"/>
      <c r="S90" s="371"/>
      <c r="T90" s="376"/>
      <c r="U90" s="125"/>
      <c r="W90" s="489"/>
    </row>
    <row r="91" spans="1:26" x14ac:dyDescent="0.2">
      <c r="A91" s="23"/>
      <c r="B91" s="2"/>
      <c r="C91" s="27"/>
      <c r="D91" s="27"/>
      <c r="E91" s="27"/>
      <c r="F91" s="27"/>
      <c r="G91" s="27"/>
      <c r="H91" s="27"/>
      <c r="I91" s="27"/>
      <c r="J91" s="134"/>
      <c r="K91" s="134"/>
      <c r="L91" s="134"/>
      <c r="M91" s="27"/>
      <c r="N91" s="134"/>
      <c r="O91" s="134"/>
      <c r="P91" s="134"/>
      <c r="Q91" s="371"/>
      <c r="R91" s="371"/>
      <c r="S91" s="371"/>
      <c r="T91" s="376"/>
      <c r="U91" s="125"/>
      <c r="W91" s="489"/>
    </row>
    <row r="92" spans="1:26" ht="16.5" thickBot="1" x14ac:dyDescent="0.3">
      <c r="A92" s="23"/>
      <c r="B92" s="2"/>
      <c r="C92" s="13" t="s">
        <v>589</v>
      </c>
      <c r="D92" s="10"/>
      <c r="E92" s="10"/>
      <c r="F92" s="10"/>
      <c r="G92" s="10"/>
      <c r="H92" s="27"/>
      <c r="I92" s="27"/>
      <c r="J92" s="134"/>
      <c r="K92" s="134"/>
      <c r="L92" s="134"/>
      <c r="M92" s="27"/>
      <c r="N92" s="134"/>
      <c r="O92" s="134"/>
      <c r="P92" s="134"/>
      <c r="Q92" s="371"/>
      <c r="R92" s="371"/>
      <c r="S92" s="371"/>
      <c r="T92" s="376"/>
      <c r="U92" s="125"/>
      <c r="W92" s="489"/>
    </row>
    <row r="93" spans="1:26" ht="16.5" thickBot="1" x14ac:dyDescent="0.25">
      <c r="A93" s="23"/>
      <c r="B93" s="2"/>
      <c r="C93" s="10" t="s">
        <v>2131</v>
      </c>
      <c r="D93" s="10"/>
      <c r="E93" s="10"/>
      <c r="F93" s="10"/>
      <c r="G93" s="10"/>
      <c r="H93" s="27"/>
      <c r="I93" s="27"/>
      <c r="J93" s="2072">
        <v>0</v>
      </c>
      <c r="K93" s="2073"/>
      <c r="L93" s="134"/>
      <c r="M93" s="27"/>
      <c r="N93" s="2072">
        <v>0</v>
      </c>
      <c r="O93" s="2073"/>
      <c r="P93" s="134"/>
      <c r="Q93" s="371"/>
      <c r="R93" s="2136">
        <f>+J93+N93</f>
        <v>0</v>
      </c>
      <c r="S93" s="2155"/>
      <c r="T93" s="376"/>
      <c r="U93" s="125"/>
      <c r="W93" s="488">
        <f>IF(+J93+N93-R93=0,0,1)</f>
        <v>0</v>
      </c>
      <c r="Y93" s="277"/>
      <c r="Z93" s="437"/>
    </row>
    <row r="94" spans="1:26" ht="15" customHeight="1" x14ac:dyDescent="0.2">
      <c r="A94" s="23"/>
      <c r="B94" s="2"/>
      <c r="C94" s="10"/>
      <c r="D94" s="10"/>
      <c r="E94" s="10"/>
      <c r="F94" s="10"/>
      <c r="G94" s="10"/>
      <c r="H94" s="27"/>
      <c r="I94" s="27"/>
      <c r="J94" s="134"/>
      <c r="K94" s="134"/>
      <c r="L94" s="134"/>
      <c r="M94" s="134"/>
      <c r="N94" s="134"/>
      <c r="O94" s="134"/>
      <c r="P94" s="134"/>
      <c r="Q94" s="371"/>
      <c r="R94" s="371"/>
      <c r="S94" s="371"/>
      <c r="T94" s="376"/>
      <c r="U94" s="125"/>
      <c r="W94" s="489"/>
    </row>
    <row r="95" spans="1:26" ht="16.5" thickBot="1" x14ac:dyDescent="0.3">
      <c r="A95" s="23"/>
      <c r="B95" s="2"/>
      <c r="C95" s="13" t="s">
        <v>590</v>
      </c>
      <c r="D95" s="10"/>
      <c r="E95" s="10"/>
      <c r="F95" s="10"/>
      <c r="G95" s="10"/>
      <c r="H95" s="27"/>
      <c r="I95" s="27"/>
      <c r="J95" s="134"/>
      <c r="K95" s="134"/>
      <c r="L95" s="134"/>
      <c r="M95" s="134"/>
      <c r="N95" s="134"/>
      <c r="O95" s="134"/>
      <c r="P95" s="134"/>
      <c r="Q95" s="371"/>
      <c r="R95" s="371"/>
      <c r="S95" s="371"/>
      <c r="T95" s="376"/>
      <c r="U95" s="125"/>
      <c r="W95" s="489"/>
    </row>
    <row r="96" spans="1:26" ht="16.5" customHeight="1" thickBot="1" x14ac:dyDescent="0.25">
      <c r="A96" s="23"/>
      <c r="B96" s="2"/>
      <c r="C96" s="10" t="s">
        <v>2132</v>
      </c>
      <c r="D96" s="10"/>
      <c r="E96" s="10"/>
      <c r="F96" s="10"/>
      <c r="G96" s="10"/>
      <c r="H96" s="27"/>
      <c r="I96" s="27"/>
      <c r="J96" s="2072">
        <v>0</v>
      </c>
      <c r="K96" s="2073"/>
      <c r="L96" s="134"/>
      <c r="M96" s="27"/>
      <c r="N96" s="2072">
        <v>0</v>
      </c>
      <c r="O96" s="2073"/>
      <c r="P96" s="134"/>
      <c r="Q96" s="371"/>
      <c r="R96" s="2136">
        <f>+J96+N96</f>
        <v>0</v>
      </c>
      <c r="S96" s="2137"/>
      <c r="T96" s="376"/>
      <c r="U96" s="125"/>
      <c r="W96" s="488">
        <f>IF(+J96+N96-R96=0,0,1)</f>
        <v>0</v>
      </c>
      <c r="Y96" s="277"/>
      <c r="Z96" s="437"/>
    </row>
    <row r="97" spans="1:26" ht="15" customHeight="1" x14ac:dyDescent="0.2">
      <c r="A97" s="23"/>
      <c r="B97" s="2"/>
      <c r="C97" s="10"/>
      <c r="D97" s="10"/>
      <c r="E97" s="10"/>
      <c r="F97" s="10"/>
      <c r="G97" s="10"/>
      <c r="H97" s="27"/>
      <c r="I97" s="133"/>
      <c r="J97" s="134"/>
      <c r="K97" s="134"/>
      <c r="L97" s="134"/>
      <c r="M97" s="134"/>
      <c r="N97" s="134"/>
      <c r="O97" s="134"/>
      <c r="P97" s="134"/>
      <c r="Q97" s="371"/>
      <c r="R97" s="371"/>
      <c r="S97" s="371"/>
      <c r="T97" s="376"/>
      <c r="U97" s="125"/>
      <c r="W97" s="489"/>
    </row>
    <row r="98" spans="1:26" ht="16.5" thickBot="1" x14ac:dyDescent="0.25">
      <c r="A98" s="23"/>
      <c r="B98" s="2"/>
      <c r="C98" s="10"/>
      <c r="D98" s="10"/>
      <c r="E98" s="10"/>
      <c r="F98" s="10"/>
      <c r="G98" s="10"/>
      <c r="H98" s="27"/>
      <c r="I98" s="27"/>
      <c r="J98" s="135"/>
      <c r="K98" s="135"/>
      <c r="L98" s="135"/>
      <c r="M98" s="135"/>
      <c r="N98" s="135"/>
      <c r="O98" s="135"/>
      <c r="P98" s="135"/>
      <c r="Q98" s="371"/>
      <c r="R98" s="372"/>
      <c r="S98" s="371"/>
      <c r="T98" s="376"/>
      <c r="U98" s="125"/>
      <c r="W98" s="489"/>
    </row>
    <row r="99" spans="1:26" ht="16.5" thickBot="1" x14ac:dyDescent="0.25">
      <c r="A99" s="23"/>
      <c r="B99" s="4"/>
      <c r="C99" s="682"/>
      <c r="D99" s="682"/>
      <c r="E99" s="682"/>
      <c r="F99" s="682"/>
      <c r="G99" s="682"/>
      <c r="H99" s="127"/>
      <c r="I99" s="127"/>
      <c r="J99" s="137"/>
      <c r="K99" s="137"/>
      <c r="L99" s="137"/>
      <c r="M99" s="137"/>
      <c r="N99" s="137"/>
      <c r="O99" s="137"/>
      <c r="P99" s="137"/>
      <c r="Q99" s="378"/>
      <c r="R99" s="377"/>
      <c r="S99" s="378"/>
      <c r="T99" s="394"/>
      <c r="U99" s="125"/>
      <c r="W99" s="489"/>
    </row>
    <row r="100" spans="1:26" ht="16.5" thickBot="1" x14ac:dyDescent="0.25">
      <c r="A100" s="23"/>
      <c r="B100" s="5"/>
      <c r="C100" s="2067" t="s">
        <v>2133</v>
      </c>
      <c r="D100" s="2067"/>
      <c r="E100" s="2067"/>
      <c r="F100" s="2067"/>
      <c r="G100" s="2067"/>
      <c r="H100" s="27"/>
      <c r="I100" s="27"/>
      <c r="J100" s="2139">
        <f>+J93+J96</f>
        <v>0</v>
      </c>
      <c r="K100" s="2140"/>
      <c r="L100" s="134"/>
      <c r="M100" s="27"/>
      <c r="N100" s="2139">
        <f>+N93+N96</f>
        <v>0</v>
      </c>
      <c r="O100" s="2140"/>
      <c r="P100" s="134"/>
      <c r="Q100" s="371"/>
      <c r="R100" s="371"/>
      <c r="S100" s="371"/>
      <c r="T100" s="395"/>
      <c r="U100" s="125"/>
      <c r="W100" s="488">
        <f>IF(+J100+J103-J107=0,0,1)</f>
        <v>0</v>
      </c>
    </row>
    <row r="101" spans="1:26" ht="15.75" x14ac:dyDescent="0.2">
      <c r="A101" s="23"/>
      <c r="B101" s="5"/>
      <c r="C101" s="2067"/>
      <c r="D101" s="2067"/>
      <c r="E101" s="2067"/>
      <c r="F101" s="2067"/>
      <c r="G101" s="2067"/>
      <c r="H101" s="27"/>
      <c r="I101" s="27"/>
      <c r="J101" s="135"/>
      <c r="K101" s="134"/>
      <c r="L101" s="134"/>
      <c r="M101" s="134"/>
      <c r="N101" s="135"/>
      <c r="O101" s="134"/>
      <c r="P101" s="134"/>
      <c r="Q101" s="371"/>
      <c r="R101" s="371"/>
      <c r="S101" s="371"/>
      <c r="T101" s="395"/>
      <c r="U101" s="125"/>
      <c r="W101" s="488"/>
    </row>
    <row r="102" spans="1:26" ht="16.5" thickBot="1" x14ac:dyDescent="0.25">
      <c r="A102" s="23"/>
      <c r="B102" s="5"/>
      <c r="C102" s="678"/>
      <c r="D102" s="678"/>
      <c r="E102" s="678"/>
      <c r="F102" s="678"/>
      <c r="G102" s="678"/>
      <c r="H102" s="27"/>
      <c r="I102" s="27"/>
      <c r="J102" s="135"/>
      <c r="K102" s="134"/>
      <c r="L102" s="134"/>
      <c r="M102" s="134"/>
      <c r="N102" s="135"/>
      <c r="O102" s="134"/>
      <c r="P102" s="134"/>
      <c r="Q102" s="371"/>
      <c r="R102" s="371"/>
      <c r="S102" s="371"/>
      <c r="T102" s="395"/>
      <c r="U102" s="125"/>
      <c r="W102" s="488"/>
      <c r="Z102" s="437"/>
    </row>
    <row r="103" spans="1:26" ht="15.75" customHeight="1" thickBot="1" x14ac:dyDescent="0.25">
      <c r="A103" s="23"/>
      <c r="B103" s="5"/>
      <c r="C103" s="2157" t="s">
        <v>1026</v>
      </c>
      <c r="D103" s="2157"/>
      <c r="E103" s="2157"/>
      <c r="F103" s="2157"/>
      <c r="G103" s="2157"/>
      <c r="H103" s="27"/>
      <c r="I103" s="27"/>
      <c r="J103" s="2072">
        <v>0</v>
      </c>
      <c r="K103" s="2073"/>
      <c r="L103" s="134"/>
      <c r="M103" s="27"/>
      <c r="N103" s="2072">
        <v>0</v>
      </c>
      <c r="O103" s="2073"/>
      <c r="P103" s="134"/>
      <c r="Q103" s="371"/>
      <c r="R103" s="371"/>
      <c r="S103" s="371"/>
      <c r="T103" s="395"/>
      <c r="U103" s="125"/>
      <c r="W103" s="488">
        <f>IF(+N100+N103-N107=0,0,1)</f>
        <v>0</v>
      </c>
      <c r="Z103" s="437"/>
    </row>
    <row r="104" spans="1:26" ht="15.75" customHeight="1" x14ac:dyDescent="0.2">
      <c r="A104" s="23"/>
      <c r="B104" s="5"/>
      <c r="C104" s="2157"/>
      <c r="D104" s="2157"/>
      <c r="E104" s="2157"/>
      <c r="F104" s="2157"/>
      <c r="G104" s="2157"/>
      <c r="H104" s="27"/>
      <c r="I104" s="27"/>
      <c r="J104" s="135"/>
      <c r="K104" s="134"/>
      <c r="L104" s="134"/>
      <c r="M104" s="27"/>
      <c r="N104" s="135"/>
      <c r="O104" s="134"/>
      <c r="P104" s="134"/>
      <c r="Q104" s="371"/>
      <c r="R104" s="372"/>
      <c r="S104" s="371"/>
      <c r="T104" s="395"/>
      <c r="U104" s="125"/>
      <c r="W104" s="489"/>
    </row>
    <row r="105" spans="1:26" ht="15.75" customHeight="1" x14ac:dyDescent="0.2">
      <c r="A105" s="23"/>
      <c r="B105" s="5"/>
      <c r="C105" s="2157"/>
      <c r="D105" s="2157"/>
      <c r="E105" s="2157"/>
      <c r="F105" s="2157"/>
      <c r="G105" s="2157"/>
      <c r="H105" s="27"/>
      <c r="I105" s="27"/>
      <c r="J105" s="135"/>
      <c r="K105" s="134"/>
      <c r="L105" s="134"/>
      <c r="M105" s="27"/>
      <c r="N105" s="135"/>
      <c r="O105" s="134"/>
      <c r="P105" s="134"/>
      <c r="Q105" s="371"/>
      <c r="R105" s="433"/>
      <c r="S105" s="371"/>
      <c r="T105" s="395"/>
      <c r="U105" s="125"/>
      <c r="W105" s="489"/>
    </row>
    <row r="106" spans="1:26" ht="16.5" thickBot="1" x14ac:dyDescent="0.25">
      <c r="A106" s="23"/>
      <c r="B106" s="5"/>
      <c r="C106" s="678"/>
      <c r="D106" s="678"/>
      <c r="E106" s="678"/>
      <c r="F106" s="678"/>
      <c r="G106" s="678"/>
      <c r="H106" s="27"/>
      <c r="I106" s="27"/>
      <c r="J106" s="135"/>
      <c r="K106" s="134"/>
      <c r="L106" s="134"/>
      <c r="M106" s="27"/>
      <c r="N106" s="135"/>
      <c r="O106" s="134"/>
      <c r="P106" s="134"/>
      <c r="Q106" s="371"/>
      <c r="R106" s="372"/>
      <c r="S106" s="371"/>
      <c r="T106" s="395"/>
      <c r="U106" s="125"/>
      <c r="W106" s="489"/>
    </row>
    <row r="107" spans="1:26" ht="16.5" thickBot="1" x14ac:dyDescent="0.25">
      <c r="A107" s="23"/>
      <c r="B107" s="5"/>
      <c r="C107" s="2156" t="s">
        <v>2134</v>
      </c>
      <c r="D107" s="2088"/>
      <c r="E107" s="2088"/>
      <c r="F107" s="2088"/>
      <c r="G107" s="2088"/>
      <c r="H107" s="27"/>
      <c r="I107" s="27"/>
      <c r="J107" s="2139">
        <f>+J100+J103</f>
        <v>0</v>
      </c>
      <c r="K107" s="2140"/>
      <c r="L107" s="134"/>
      <c r="M107" s="27"/>
      <c r="N107" s="2139">
        <f>+N100+N103</f>
        <v>0</v>
      </c>
      <c r="O107" s="2140"/>
      <c r="P107" s="134"/>
      <c r="Q107" s="371"/>
      <c r="R107" s="2136">
        <f>+J107+N107</f>
        <v>0</v>
      </c>
      <c r="S107" s="2137"/>
      <c r="T107" s="395"/>
      <c r="U107" s="125"/>
      <c r="W107" s="488">
        <f>IF(+J107+N107-R107=0,0,1)</f>
        <v>0</v>
      </c>
      <c r="Y107" s="277"/>
      <c r="Z107" s="437"/>
    </row>
    <row r="108" spans="1:26" x14ac:dyDescent="0.2">
      <c r="A108" s="23"/>
      <c r="B108" s="5"/>
      <c r="C108" s="2138"/>
      <c r="D108" s="2138"/>
      <c r="E108" s="2138"/>
      <c r="F108" s="2138"/>
      <c r="G108" s="2138"/>
      <c r="H108" s="27"/>
      <c r="I108" s="27"/>
      <c r="J108" s="27"/>
      <c r="K108" s="27"/>
      <c r="L108" s="27"/>
      <c r="M108" s="27"/>
      <c r="N108" s="27"/>
      <c r="O108" s="27"/>
      <c r="P108" s="134"/>
      <c r="Q108" s="383"/>
      <c r="R108" s="383"/>
      <c r="S108" s="383"/>
      <c r="T108" s="395"/>
      <c r="U108" s="125"/>
      <c r="W108" s="490"/>
    </row>
    <row r="109" spans="1:26" ht="16.5" thickBot="1" x14ac:dyDescent="0.25">
      <c r="A109" s="23"/>
      <c r="B109" s="7"/>
      <c r="C109" s="128"/>
      <c r="D109" s="128"/>
      <c r="E109" s="128"/>
      <c r="F109" s="128"/>
      <c r="G109" s="128"/>
      <c r="H109" s="128"/>
      <c r="I109" s="128"/>
      <c r="J109" s="139"/>
      <c r="K109" s="140"/>
      <c r="L109" s="140"/>
      <c r="M109" s="140"/>
      <c r="N109" s="140"/>
      <c r="O109" s="140"/>
      <c r="P109" s="140"/>
      <c r="Q109" s="380"/>
      <c r="R109" s="379"/>
      <c r="S109" s="380"/>
      <c r="T109" s="396"/>
      <c r="U109" s="125"/>
      <c r="W109" s="489"/>
    </row>
    <row r="110" spans="1:26" x14ac:dyDescent="0.2">
      <c r="A110" s="23"/>
      <c r="B110" s="2"/>
      <c r="C110" s="27"/>
      <c r="D110" s="27"/>
      <c r="E110" s="27"/>
      <c r="F110" s="27"/>
      <c r="G110" s="27"/>
      <c r="H110" s="27"/>
      <c r="I110" s="27"/>
      <c r="J110" s="134"/>
      <c r="K110" s="134"/>
      <c r="L110" s="134"/>
      <c r="M110" s="134"/>
      <c r="N110" s="134"/>
      <c r="O110" s="134"/>
      <c r="P110" s="134"/>
      <c r="Q110" s="371"/>
      <c r="R110" s="371"/>
      <c r="S110" s="371"/>
      <c r="T110" s="376"/>
      <c r="U110" s="125"/>
      <c r="W110" s="489"/>
    </row>
    <row r="111" spans="1:26" ht="15.75" x14ac:dyDescent="0.25">
      <c r="A111" s="23"/>
      <c r="B111" s="2"/>
      <c r="C111" s="13" t="s">
        <v>1075</v>
      </c>
      <c r="D111" s="27"/>
      <c r="E111" s="27"/>
      <c r="F111" s="27"/>
      <c r="G111" s="27"/>
      <c r="H111" s="27"/>
      <c r="I111" s="27"/>
      <c r="J111" s="134"/>
      <c r="K111" s="134"/>
      <c r="L111" s="134"/>
      <c r="M111" s="27"/>
      <c r="N111" s="134"/>
      <c r="O111" s="134"/>
      <c r="P111" s="134"/>
      <c r="Q111" s="371"/>
      <c r="R111" s="371"/>
      <c r="S111" s="371"/>
      <c r="T111" s="376"/>
      <c r="U111" s="125"/>
      <c r="W111" s="489"/>
    </row>
    <row r="112" spans="1:26" ht="16.5" thickBot="1" x14ac:dyDescent="0.3">
      <c r="A112" s="23"/>
      <c r="B112" s="2"/>
      <c r="C112" s="13" t="s">
        <v>816</v>
      </c>
      <c r="D112" s="27"/>
      <c r="E112" s="27"/>
      <c r="F112" s="27"/>
      <c r="G112" s="27"/>
      <c r="H112" s="27"/>
      <c r="I112" s="27"/>
      <c r="J112" s="134"/>
      <c r="K112" s="134"/>
      <c r="L112" s="134"/>
      <c r="M112" s="27"/>
      <c r="N112" s="134"/>
      <c r="O112" s="134"/>
      <c r="P112" s="134"/>
      <c r="Q112" s="371"/>
      <c r="R112" s="371"/>
      <c r="S112" s="371"/>
      <c r="T112" s="376"/>
      <c r="U112" s="125"/>
      <c r="W112" s="489"/>
    </row>
    <row r="113" spans="1:26" ht="16.5" thickBot="1" x14ac:dyDescent="0.25">
      <c r="A113" s="23"/>
      <c r="B113" s="2"/>
      <c r="C113" s="10" t="s">
        <v>2135</v>
      </c>
      <c r="D113" s="27"/>
      <c r="E113" s="27"/>
      <c r="F113" s="27"/>
      <c r="G113" s="27"/>
      <c r="H113" s="27"/>
      <c r="I113" s="27"/>
      <c r="J113" s="2072">
        <v>0</v>
      </c>
      <c r="K113" s="2073"/>
      <c r="L113" s="134"/>
      <c r="M113" s="27"/>
      <c r="N113" s="2072">
        <v>0</v>
      </c>
      <c r="O113" s="2073"/>
      <c r="P113" s="134"/>
      <c r="Q113" s="371"/>
      <c r="R113" s="2136">
        <f>+J113+N113</f>
        <v>0</v>
      </c>
      <c r="S113" s="2137"/>
      <c r="T113" s="376"/>
      <c r="U113" s="125"/>
      <c r="W113" s="488">
        <f>IF(+J113+N113-R113=0,0,1)</f>
        <v>0</v>
      </c>
      <c r="Y113" s="277"/>
      <c r="Z113" s="437"/>
    </row>
    <row r="114" spans="1:26" ht="15.75" x14ac:dyDescent="0.25">
      <c r="A114" s="23"/>
      <c r="B114" s="2"/>
      <c r="C114" s="13"/>
      <c r="D114" s="27"/>
      <c r="E114" s="27"/>
      <c r="F114" s="27"/>
      <c r="G114" s="27"/>
      <c r="H114" s="27"/>
      <c r="I114" s="27"/>
      <c r="J114" s="134"/>
      <c r="K114" s="134"/>
      <c r="L114" s="134"/>
      <c r="M114" s="134"/>
      <c r="N114" s="134"/>
      <c r="O114" s="134"/>
      <c r="P114" s="134"/>
      <c r="Q114" s="371"/>
      <c r="R114" s="371"/>
      <c r="S114" s="371"/>
      <c r="T114" s="376"/>
      <c r="U114" s="125"/>
      <c r="W114" s="489"/>
    </row>
    <row r="115" spans="1:26" ht="16.5" thickBot="1" x14ac:dyDescent="0.3">
      <c r="A115" s="23"/>
      <c r="B115" s="2"/>
      <c r="C115" s="13" t="s">
        <v>800</v>
      </c>
      <c r="D115" s="27"/>
      <c r="E115" s="27"/>
      <c r="F115" s="27"/>
      <c r="G115" s="27"/>
      <c r="H115" s="27"/>
      <c r="I115" s="27"/>
      <c r="J115" s="134"/>
      <c r="K115" s="134"/>
      <c r="L115" s="134"/>
      <c r="M115" s="134"/>
      <c r="N115" s="134"/>
      <c r="O115" s="134"/>
      <c r="P115" s="134"/>
      <c r="Q115" s="371"/>
      <c r="R115" s="371"/>
      <c r="S115" s="371"/>
      <c r="T115" s="376"/>
      <c r="U115" s="125"/>
      <c r="W115" s="489"/>
    </row>
    <row r="116" spans="1:26" ht="16.5" thickBot="1" x14ac:dyDescent="0.25">
      <c r="A116" s="23"/>
      <c r="B116" s="2"/>
      <c r="C116" s="10" t="s">
        <v>2136</v>
      </c>
      <c r="D116" s="27"/>
      <c r="E116" s="27"/>
      <c r="F116" s="27"/>
      <c r="G116" s="27"/>
      <c r="H116" s="27"/>
      <c r="I116" s="27"/>
      <c r="J116" s="2072">
        <v>0</v>
      </c>
      <c r="K116" s="2073"/>
      <c r="L116" s="134"/>
      <c r="M116" s="27"/>
      <c r="N116" s="2072">
        <v>0</v>
      </c>
      <c r="O116" s="2073"/>
      <c r="P116" s="134"/>
      <c r="Q116" s="371"/>
      <c r="R116" s="2136">
        <f>+J116+N116</f>
        <v>0</v>
      </c>
      <c r="S116" s="2137"/>
      <c r="T116" s="376"/>
      <c r="U116" s="125"/>
      <c r="W116" s="488">
        <f>IF(+J116+N116-R116=0,0,1)</f>
        <v>0</v>
      </c>
      <c r="Y116" s="277"/>
      <c r="Z116" s="437"/>
    </row>
    <row r="117" spans="1:26" x14ac:dyDescent="0.2">
      <c r="A117" s="23"/>
      <c r="B117" s="2"/>
      <c r="C117" s="10"/>
      <c r="D117" s="27"/>
      <c r="E117" s="27"/>
      <c r="F117" s="27"/>
      <c r="G117" s="27"/>
      <c r="H117" s="27"/>
      <c r="I117" s="27"/>
      <c r="J117" s="134"/>
      <c r="K117" s="134"/>
      <c r="L117" s="134"/>
      <c r="M117" s="27"/>
      <c r="N117" s="134"/>
      <c r="O117" s="134"/>
      <c r="P117" s="134"/>
      <c r="Q117" s="371"/>
      <c r="R117" s="371"/>
      <c r="S117" s="371"/>
      <c r="T117" s="376"/>
      <c r="U117" s="125"/>
      <c r="W117" s="489"/>
    </row>
    <row r="118" spans="1:26" ht="16.5" thickBot="1" x14ac:dyDescent="0.3">
      <c r="A118" s="23"/>
      <c r="B118" s="2"/>
      <c r="C118" s="13" t="s">
        <v>799</v>
      </c>
      <c r="D118" s="27"/>
      <c r="E118" s="27"/>
      <c r="F118" s="27"/>
      <c r="G118" s="27"/>
      <c r="H118" s="27"/>
      <c r="I118" s="27"/>
      <c r="J118" s="134"/>
      <c r="K118" s="134"/>
      <c r="L118" s="134"/>
      <c r="M118" s="27"/>
      <c r="N118" s="134"/>
      <c r="O118" s="134"/>
      <c r="P118" s="134"/>
      <c r="Q118" s="371"/>
      <c r="R118" s="371"/>
      <c r="S118" s="371"/>
      <c r="T118" s="376"/>
      <c r="U118" s="125"/>
      <c r="W118" s="489"/>
    </row>
    <row r="119" spans="1:26" ht="16.5" thickBot="1" x14ac:dyDescent="0.25">
      <c r="A119" s="23"/>
      <c r="B119" s="2"/>
      <c r="C119" s="10" t="s">
        <v>2137</v>
      </c>
      <c r="D119" s="27"/>
      <c r="E119" s="27"/>
      <c r="F119" s="27"/>
      <c r="G119" s="27"/>
      <c r="H119" s="27"/>
      <c r="I119" s="27"/>
      <c r="J119" s="2072">
        <v>0</v>
      </c>
      <c r="K119" s="2073"/>
      <c r="L119" s="134"/>
      <c r="M119" s="27"/>
      <c r="N119" s="2072">
        <v>0</v>
      </c>
      <c r="O119" s="2073"/>
      <c r="P119" s="134"/>
      <c r="Q119" s="371"/>
      <c r="R119" s="2136">
        <f>+J119+N119</f>
        <v>0</v>
      </c>
      <c r="S119" s="2137"/>
      <c r="T119" s="376"/>
      <c r="U119" s="125"/>
      <c r="W119" s="488">
        <f>IF(+J119+N119-R119=0,0,1)</f>
        <v>0</v>
      </c>
      <c r="Y119" s="277"/>
      <c r="Z119" s="437"/>
    </row>
    <row r="120" spans="1:26" x14ac:dyDescent="0.2">
      <c r="A120" s="23"/>
      <c r="B120" s="2"/>
      <c r="C120" s="10"/>
      <c r="D120" s="27"/>
      <c r="E120" s="27"/>
      <c r="F120" s="27"/>
      <c r="G120" s="27"/>
      <c r="H120" s="27"/>
      <c r="I120" s="27"/>
      <c r="J120" s="134"/>
      <c r="K120" s="134"/>
      <c r="L120" s="134"/>
      <c r="M120" s="134"/>
      <c r="N120" s="134"/>
      <c r="O120" s="134"/>
      <c r="P120" s="134"/>
      <c r="Q120" s="371"/>
      <c r="R120" s="371"/>
      <c r="S120" s="371"/>
      <c r="T120" s="376"/>
      <c r="U120" s="125"/>
      <c r="W120" s="489"/>
    </row>
    <row r="121" spans="1:26" ht="16.5" thickBot="1" x14ac:dyDescent="0.3">
      <c r="A121" s="23"/>
      <c r="B121" s="2"/>
      <c r="C121" s="13" t="s">
        <v>817</v>
      </c>
      <c r="D121" s="27"/>
      <c r="E121" s="27"/>
      <c r="F121" s="27"/>
      <c r="G121" s="27"/>
      <c r="H121" s="27"/>
      <c r="I121" s="27"/>
      <c r="J121" s="134"/>
      <c r="K121" s="134"/>
      <c r="L121" s="134"/>
      <c r="M121" s="134"/>
      <c r="N121" s="134"/>
      <c r="O121" s="134"/>
      <c r="P121" s="134"/>
      <c r="Q121" s="371"/>
      <c r="R121" s="371"/>
      <c r="S121" s="371"/>
      <c r="T121" s="376"/>
      <c r="U121" s="125"/>
      <c r="W121" s="488"/>
    </row>
    <row r="122" spans="1:26" ht="16.5" thickBot="1" x14ac:dyDescent="0.25">
      <c r="A122" s="23"/>
      <c r="B122" s="2"/>
      <c r="C122" s="10" t="s">
        <v>2138</v>
      </c>
      <c r="D122" s="27"/>
      <c r="E122" s="27"/>
      <c r="F122" s="27"/>
      <c r="G122" s="27"/>
      <c r="H122" s="27"/>
      <c r="I122" s="27"/>
      <c r="J122" s="2072">
        <v>0</v>
      </c>
      <c r="K122" s="2073"/>
      <c r="L122" s="134"/>
      <c r="M122" s="27"/>
      <c r="N122" s="2072">
        <v>0</v>
      </c>
      <c r="O122" s="2073"/>
      <c r="P122" s="134"/>
      <c r="Q122" s="371"/>
      <c r="R122" s="2136">
        <f>+J122+N122</f>
        <v>0</v>
      </c>
      <c r="S122" s="2137"/>
      <c r="T122" s="376"/>
      <c r="U122" s="125"/>
      <c r="W122" s="488">
        <f>IF(+J122+N122-R122=0,0,1)</f>
        <v>0</v>
      </c>
      <c r="Y122" s="277"/>
      <c r="Z122" s="437"/>
    </row>
    <row r="123" spans="1:26" x14ac:dyDescent="0.2">
      <c r="A123" s="23"/>
      <c r="B123" s="2"/>
      <c r="C123" s="10"/>
      <c r="D123" s="27"/>
      <c r="E123" s="27"/>
      <c r="F123" s="27"/>
      <c r="G123" s="27"/>
      <c r="H123" s="27"/>
      <c r="I123" s="27"/>
      <c r="J123" s="178"/>
      <c r="K123" s="178"/>
      <c r="L123" s="178"/>
      <c r="M123" s="27"/>
      <c r="N123" s="178"/>
      <c r="O123" s="178"/>
      <c r="P123" s="134"/>
      <c r="Q123" s="371"/>
      <c r="R123" s="371"/>
      <c r="S123" s="371"/>
      <c r="T123" s="376"/>
      <c r="U123" s="125"/>
      <c r="W123" s="489"/>
    </row>
    <row r="124" spans="1:26" ht="16.5" thickBot="1" x14ac:dyDescent="0.3">
      <c r="A124" s="23"/>
      <c r="B124" s="2"/>
      <c r="C124" s="13" t="s">
        <v>801</v>
      </c>
      <c r="D124" s="27"/>
      <c r="E124" s="27"/>
      <c r="F124" s="27"/>
      <c r="G124" s="27"/>
      <c r="H124" s="27"/>
      <c r="I124" s="27"/>
      <c r="J124" s="178"/>
      <c r="K124" s="178"/>
      <c r="L124" s="178"/>
      <c r="M124" s="27"/>
      <c r="N124" s="178"/>
      <c r="O124" s="178"/>
      <c r="P124" s="134"/>
      <c r="Q124" s="371"/>
      <c r="R124" s="371"/>
      <c r="S124" s="371"/>
      <c r="T124" s="376"/>
      <c r="U124" s="125"/>
      <c r="W124" s="489"/>
    </row>
    <row r="125" spans="1:26" ht="16.5" thickBot="1" x14ac:dyDescent="0.25">
      <c r="A125" s="23"/>
      <c r="B125" s="2"/>
      <c r="C125" s="10" t="s">
        <v>2139</v>
      </c>
      <c r="D125" s="27"/>
      <c r="E125" s="27"/>
      <c r="F125" s="27"/>
      <c r="G125" s="27"/>
      <c r="H125" s="27"/>
      <c r="I125" s="27"/>
      <c r="J125" s="2072">
        <v>0</v>
      </c>
      <c r="K125" s="2073"/>
      <c r="L125" s="134"/>
      <c r="M125" s="27"/>
      <c r="N125" s="2072">
        <v>0</v>
      </c>
      <c r="O125" s="2073"/>
      <c r="P125" s="134"/>
      <c r="Q125" s="371"/>
      <c r="R125" s="2136">
        <f>+J125+N125</f>
        <v>0</v>
      </c>
      <c r="S125" s="2137"/>
      <c r="T125" s="376"/>
      <c r="U125" s="125"/>
      <c r="W125" s="488">
        <f>IF(+J125+N125-R125=0,0,1)</f>
        <v>0</v>
      </c>
      <c r="Y125" s="277"/>
      <c r="Z125" s="437"/>
    </row>
    <row r="126" spans="1:26" x14ac:dyDescent="0.2">
      <c r="A126" s="23"/>
      <c r="B126" s="2"/>
      <c r="C126" s="10"/>
      <c r="D126" s="27"/>
      <c r="E126" s="27"/>
      <c r="F126" s="27"/>
      <c r="G126" s="27"/>
      <c r="H126" s="27"/>
      <c r="I126" s="27"/>
      <c r="J126" s="134"/>
      <c r="K126" s="134"/>
      <c r="L126" s="134"/>
      <c r="M126" s="134"/>
      <c r="N126" s="134"/>
      <c r="O126" s="134"/>
      <c r="P126" s="134"/>
      <c r="Q126" s="371"/>
      <c r="R126" s="371"/>
      <c r="S126" s="371"/>
      <c r="T126" s="376"/>
      <c r="U126" s="125"/>
      <c r="W126" s="489"/>
    </row>
    <row r="127" spans="1:26" ht="16.5" thickBot="1" x14ac:dyDescent="0.3">
      <c r="A127" s="23"/>
      <c r="B127" s="2"/>
      <c r="C127" s="13" t="s">
        <v>819</v>
      </c>
      <c r="D127" s="27"/>
      <c r="E127" s="27"/>
      <c r="F127" s="27"/>
      <c r="G127" s="27"/>
      <c r="H127" s="27"/>
      <c r="I127" s="27"/>
      <c r="J127" s="134"/>
      <c r="K127" s="134"/>
      <c r="L127" s="134"/>
      <c r="M127" s="134"/>
      <c r="N127" s="134"/>
      <c r="O127" s="134"/>
      <c r="P127" s="134"/>
      <c r="Q127" s="371"/>
      <c r="R127" s="371"/>
      <c r="S127" s="371"/>
      <c r="T127" s="376"/>
      <c r="U127" s="125"/>
      <c r="W127" s="489"/>
    </row>
    <row r="128" spans="1:26" ht="16.5" thickBot="1" x14ac:dyDescent="0.25">
      <c r="A128" s="23"/>
      <c r="B128" s="2"/>
      <c r="C128" s="10" t="s">
        <v>2140</v>
      </c>
      <c r="D128" s="27"/>
      <c r="E128" s="27"/>
      <c r="F128" s="27"/>
      <c r="G128" s="27"/>
      <c r="H128" s="27"/>
      <c r="I128" s="27"/>
      <c r="J128" s="2072">
        <v>0</v>
      </c>
      <c r="K128" s="2073"/>
      <c r="L128" s="134"/>
      <c r="M128" s="27"/>
      <c r="N128" s="2072">
        <v>0</v>
      </c>
      <c r="O128" s="2073"/>
      <c r="P128" s="134"/>
      <c r="Q128" s="371"/>
      <c r="R128" s="2136">
        <f>+J128+N128</f>
        <v>0</v>
      </c>
      <c r="S128" s="2137"/>
      <c r="T128" s="376"/>
      <c r="U128" s="125"/>
      <c r="W128" s="488">
        <f>IF(+J128+N128-R128=0,0,1)</f>
        <v>0</v>
      </c>
      <c r="Y128" s="277"/>
      <c r="Z128" s="437"/>
    </row>
    <row r="129" spans="1:26" ht="15.75" x14ac:dyDescent="0.25">
      <c r="A129" s="23"/>
      <c r="B129" s="2"/>
      <c r="C129" s="385" t="str">
        <f>+IF($N$128&gt;$N$131,"Relief given to Case A hereditaments cannot be greater than line 32. Please check","")</f>
        <v/>
      </c>
      <c r="D129" s="27"/>
      <c r="E129" s="27"/>
      <c r="F129" s="27"/>
      <c r="G129" s="27"/>
      <c r="H129" s="27"/>
      <c r="I129" s="27"/>
      <c r="J129" s="27"/>
      <c r="K129" s="27"/>
      <c r="L129" s="27"/>
      <c r="M129" s="27"/>
      <c r="N129" s="27"/>
      <c r="O129" s="27"/>
      <c r="P129" s="134"/>
      <c r="Q129" s="371"/>
      <c r="R129" s="474"/>
      <c r="S129" s="371"/>
      <c r="T129" s="376"/>
      <c r="U129" s="125"/>
      <c r="W129" s="488"/>
      <c r="Z129" s="437"/>
    </row>
    <row r="130" spans="1:26" ht="16.5" thickBot="1" x14ac:dyDescent="0.3">
      <c r="A130" s="23"/>
      <c r="B130" s="2"/>
      <c r="C130" s="26"/>
      <c r="D130" s="27"/>
      <c r="E130" s="27"/>
      <c r="F130" s="27"/>
      <c r="G130" s="27"/>
      <c r="H130" s="27"/>
      <c r="I130" s="27"/>
      <c r="J130" s="469" t="s">
        <v>821</v>
      </c>
      <c r="K130" s="134"/>
      <c r="L130" s="134"/>
      <c r="M130" s="27"/>
      <c r="N130" s="469" t="s">
        <v>821</v>
      </c>
      <c r="O130" s="134"/>
      <c r="P130" s="134"/>
      <c r="Q130" s="371"/>
      <c r="R130" s="471"/>
      <c r="S130" s="371"/>
      <c r="T130" s="376"/>
      <c r="U130" s="125"/>
      <c r="W130" s="489"/>
    </row>
    <row r="131" spans="1:26" ht="16.5" thickBot="1" x14ac:dyDescent="0.25">
      <c r="A131" s="23"/>
      <c r="B131" s="2"/>
      <c r="C131" s="129" t="s">
        <v>1028</v>
      </c>
      <c r="D131" s="27"/>
      <c r="E131" s="27"/>
      <c r="F131" s="27"/>
      <c r="G131" s="27"/>
      <c r="H131" s="27"/>
      <c r="I131" s="27"/>
      <c r="J131" s="178"/>
      <c r="K131" s="178"/>
      <c r="L131" s="178"/>
      <c r="M131" s="27"/>
      <c r="N131" s="2072">
        <v>0</v>
      </c>
      <c r="O131" s="2073"/>
      <c r="P131" s="134"/>
      <c r="Q131" s="371"/>
      <c r="R131" s="371"/>
      <c r="S131" s="371"/>
      <c r="T131" s="376"/>
      <c r="U131" s="125"/>
      <c r="W131" s="489"/>
      <c r="Z131" s="437"/>
    </row>
    <row r="132" spans="1:26" ht="16.5" thickBot="1" x14ac:dyDescent="0.25">
      <c r="A132" s="23"/>
      <c r="B132" s="2"/>
      <c r="C132" s="129" t="s">
        <v>1029</v>
      </c>
      <c r="D132" s="27"/>
      <c r="E132" s="27"/>
      <c r="F132" s="27"/>
      <c r="G132" s="27"/>
      <c r="H132" s="27"/>
      <c r="I132" s="27"/>
      <c r="J132" s="2072">
        <v>0</v>
      </c>
      <c r="K132" s="2073"/>
      <c r="L132" s="178"/>
      <c r="M132" s="27"/>
      <c r="N132" s="134"/>
      <c r="O132" s="134"/>
      <c r="P132" s="134"/>
      <c r="Q132" s="371"/>
      <c r="R132" s="371"/>
      <c r="S132" s="371"/>
      <c r="T132" s="376"/>
      <c r="U132" s="125"/>
      <c r="W132" s="489"/>
      <c r="Z132" s="437"/>
    </row>
    <row r="133" spans="1:26" ht="16.5" thickBot="1" x14ac:dyDescent="0.3">
      <c r="A133" s="24"/>
      <c r="B133" s="25"/>
      <c r="C133" s="385" t="str">
        <f>+IF($J$128&gt;$J$132,"Relief given to Case B hereditaments cannot be greater than line 32. Please check","")</f>
        <v/>
      </c>
      <c r="D133" s="163"/>
      <c r="E133" s="163"/>
      <c r="F133" s="163"/>
      <c r="G133" s="163"/>
      <c r="H133" s="163"/>
      <c r="I133" s="163"/>
      <c r="J133" s="165"/>
      <c r="K133" s="165"/>
      <c r="L133" s="165"/>
      <c r="M133" s="165"/>
      <c r="N133" s="165"/>
      <c r="O133" s="165"/>
      <c r="P133" s="165"/>
      <c r="Q133" s="382"/>
      <c r="R133" s="382"/>
      <c r="S133" s="382"/>
      <c r="T133" s="397"/>
      <c r="U133" s="126"/>
      <c r="W133" s="489"/>
    </row>
    <row r="134" spans="1:26" ht="15.75" thickBot="1" x14ac:dyDescent="0.25">
      <c r="A134" s="609"/>
      <c r="B134" s="610"/>
      <c r="C134" s="611"/>
      <c r="D134" s="611"/>
      <c r="E134" s="611"/>
      <c r="F134" s="611"/>
      <c r="G134" s="611"/>
      <c r="H134" s="611"/>
      <c r="I134" s="611"/>
      <c r="J134" s="612"/>
      <c r="K134" s="612"/>
      <c r="L134" s="612"/>
      <c r="M134" s="612"/>
      <c r="N134" s="612"/>
      <c r="O134" s="612"/>
      <c r="P134" s="612"/>
      <c r="Q134" s="613"/>
      <c r="R134" s="613"/>
      <c r="S134" s="613"/>
      <c r="T134" s="614"/>
      <c r="U134" s="615"/>
      <c r="W134" s="489"/>
    </row>
    <row r="135" spans="1:26" ht="15.75" thickBot="1" x14ac:dyDescent="0.25">
      <c r="A135" s="23"/>
      <c r="B135" s="2"/>
      <c r="C135" s="27"/>
      <c r="D135" s="27"/>
      <c r="E135" s="27"/>
      <c r="F135" s="27"/>
      <c r="G135" s="27"/>
      <c r="H135" s="27"/>
      <c r="I135" s="27"/>
      <c r="J135" s="134"/>
      <c r="K135" s="134"/>
      <c r="L135" s="134"/>
      <c r="M135" s="134"/>
      <c r="N135" s="134"/>
      <c r="O135" s="134"/>
      <c r="P135" s="134"/>
      <c r="Q135" s="371"/>
      <c r="R135" s="371"/>
      <c r="S135" s="371"/>
      <c r="T135" s="376"/>
      <c r="U135" s="125"/>
      <c r="W135" s="489"/>
    </row>
    <row r="136" spans="1:26" ht="15.75" thickBot="1" x14ac:dyDescent="0.25">
      <c r="A136" s="23"/>
      <c r="B136" s="4"/>
      <c r="C136" s="127"/>
      <c r="D136" s="127"/>
      <c r="E136" s="127"/>
      <c r="F136" s="127"/>
      <c r="G136" s="127"/>
      <c r="H136" s="127"/>
      <c r="I136" s="127"/>
      <c r="J136" s="138"/>
      <c r="K136" s="138"/>
      <c r="L136" s="138"/>
      <c r="M136" s="138"/>
      <c r="N136" s="138"/>
      <c r="O136" s="138"/>
      <c r="P136" s="138"/>
      <c r="Q136" s="378"/>
      <c r="R136" s="378"/>
      <c r="S136" s="378"/>
      <c r="T136" s="394"/>
      <c r="U136" s="125"/>
      <c r="W136" s="489"/>
    </row>
    <row r="137" spans="1:26" ht="15.75" thickBot="1" x14ac:dyDescent="0.25">
      <c r="A137" s="23"/>
      <c r="B137" s="5"/>
      <c r="C137" s="27"/>
      <c r="D137" s="27"/>
      <c r="E137" s="27"/>
      <c r="F137" s="27"/>
      <c r="G137" s="27"/>
      <c r="H137" s="27"/>
      <c r="I137" s="415"/>
      <c r="J137" s="416"/>
      <c r="K137" s="416"/>
      <c r="L137" s="417"/>
      <c r="M137" s="416"/>
      <c r="N137" s="416"/>
      <c r="O137" s="416"/>
      <c r="P137" s="417"/>
      <c r="Q137" s="418"/>
      <c r="R137" s="418"/>
      <c r="S137" s="418"/>
      <c r="T137" s="419"/>
      <c r="U137" s="125"/>
      <c r="W137" s="489"/>
    </row>
    <row r="138" spans="1:26" ht="16.5" thickBot="1" x14ac:dyDescent="0.25">
      <c r="A138" s="23"/>
      <c r="B138" s="5"/>
      <c r="C138" s="2067" t="s">
        <v>2141</v>
      </c>
      <c r="D138" s="2067"/>
      <c r="E138" s="2067"/>
      <c r="F138" s="2067"/>
      <c r="G138" s="2067"/>
      <c r="H138" s="27"/>
      <c r="I138" s="420"/>
      <c r="J138" s="2139">
        <f>+J113+J116+J119+J122+J125+J128</f>
        <v>0</v>
      </c>
      <c r="K138" s="2140"/>
      <c r="L138" s="136"/>
      <c r="M138" s="27"/>
      <c r="N138" s="2139">
        <f>+N113+N116+N119+N122+N125+N128</f>
        <v>0</v>
      </c>
      <c r="O138" s="2140"/>
      <c r="P138" s="136"/>
      <c r="Q138" s="371"/>
      <c r="R138" s="371"/>
      <c r="S138" s="371"/>
      <c r="T138" s="421"/>
      <c r="U138" s="125"/>
      <c r="W138" s="488">
        <f>IF(+J138+J141-J145=0,0,1)</f>
        <v>0</v>
      </c>
    </row>
    <row r="139" spans="1:26" ht="15.75" x14ac:dyDescent="0.2">
      <c r="A139" s="23"/>
      <c r="B139" s="5"/>
      <c r="C139" s="2067"/>
      <c r="D139" s="2067"/>
      <c r="E139" s="2067"/>
      <c r="F139" s="2067"/>
      <c r="G139" s="2067"/>
      <c r="H139" s="27"/>
      <c r="I139" s="420"/>
      <c r="J139" s="135"/>
      <c r="K139" s="134"/>
      <c r="L139" s="136"/>
      <c r="M139" s="27"/>
      <c r="N139" s="135"/>
      <c r="O139" s="134"/>
      <c r="P139" s="136"/>
      <c r="Q139" s="371"/>
      <c r="R139" s="371"/>
      <c r="S139" s="371"/>
      <c r="T139" s="421"/>
      <c r="U139" s="125"/>
      <c r="W139" s="488"/>
    </row>
    <row r="140" spans="1:26" ht="16.5" customHeight="1" thickBot="1" x14ac:dyDescent="0.25">
      <c r="A140" s="23"/>
      <c r="B140" s="5"/>
      <c r="C140" s="678"/>
      <c r="D140" s="678"/>
      <c r="E140" s="678"/>
      <c r="F140" s="678"/>
      <c r="G140" s="678"/>
      <c r="H140" s="27"/>
      <c r="I140" s="420"/>
      <c r="J140" s="135"/>
      <c r="K140" s="134"/>
      <c r="L140" s="136"/>
      <c r="M140" s="27"/>
      <c r="N140" s="135"/>
      <c r="O140" s="134"/>
      <c r="P140" s="136"/>
      <c r="Q140" s="371"/>
      <c r="R140" s="371"/>
      <c r="S140" s="371"/>
      <c r="T140" s="421"/>
      <c r="U140" s="125"/>
      <c r="W140" s="488"/>
    </row>
    <row r="141" spans="1:26" ht="16.5" customHeight="1" thickBot="1" x14ac:dyDescent="0.25">
      <c r="A141" s="23"/>
      <c r="B141" s="5"/>
      <c r="C141" s="2157" t="s">
        <v>1030</v>
      </c>
      <c r="D141" s="2157"/>
      <c r="E141" s="2157"/>
      <c r="F141" s="2157"/>
      <c r="G141" s="2157"/>
      <c r="H141" s="27"/>
      <c r="I141" s="420"/>
      <c r="J141" s="2072">
        <v>0</v>
      </c>
      <c r="K141" s="2073"/>
      <c r="L141" s="134"/>
      <c r="M141" s="27"/>
      <c r="N141" s="2072">
        <v>0</v>
      </c>
      <c r="O141" s="2073"/>
      <c r="P141" s="179"/>
      <c r="Q141" s="371"/>
      <c r="R141" s="371"/>
      <c r="S141" s="371"/>
      <c r="T141" s="421"/>
      <c r="U141" s="125"/>
      <c r="W141" s="488">
        <f>IF(+N138+N141-N145=0,0,1)</f>
        <v>0</v>
      </c>
      <c r="Z141" s="437"/>
    </row>
    <row r="142" spans="1:26" ht="15.75" customHeight="1" x14ac:dyDescent="0.2">
      <c r="A142" s="23"/>
      <c r="B142" s="5"/>
      <c r="C142" s="2157"/>
      <c r="D142" s="2157"/>
      <c r="E142" s="2157"/>
      <c r="F142" s="2157"/>
      <c r="G142" s="2157"/>
      <c r="H142" s="27"/>
      <c r="I142" s="420"/>
      <c r="J142" s="135"/>
      <c r="K142" s="134"/>
      <c r="L142" s="136"/>
      <c r="M142" s="27"/>
      <c r="N142" s="135"/>
      <c r="O142" s="134"/>
      <c r="P142" s="136"/>
      <c r="Q142" s="371"/>
      <c r="R142" s="384"/>
      <c r="S142" s="371"/>
      <c r="T142" s="421"/>
      <c r="U142" s="125"/>
      <c r="W142" s="489"/>
    </row>
    <row r="143" spans="1:26" ht="15.75" customHeight="1" x14ac:dyDescent="0.2">
      <c r="A143" s="23"/>
      <c r="B143" s="5"/>
      <c r="C143" s="2157"/>
      <c r="D143" s="2157"/>
      <c r="E143" s="2157"/>
      <c r="F143" s="2157"/>
      <c r="G143" s="2157"/>
      <c r="H143" s="27"/>
      <c r="I143" s="420"/>
      <c r="J143" s="135"/>
      <c r="K143" s="134"/>
      <c r="L143" s="136"/>
      <c r="M143" s="27"/>
      <c r="N143" s="135"/>
      <c r="O143" s="134"/>
      <c r="P143" s="136"/>
      <c r="Q143" s="371"/>
      <c r="R143" s="471"/>
      <c r="S143" s="371"/>
      <c r="T143" s="421"/>
      <c r="U143" s="125"/>
      <c r="W143" s="489"/>
    </row>
    <row r="144" spans="1:26" ht="16.5" thickBot="1" x14ac:dyDescent="0.25">
      <c r="A144" s="23"/>
      <c r="B144" s="5"/>
      <c r="C144" s="678"/>
      <c r="D144" s="678"/>
      <c r="E144" s="678"/>
      <c r="F144" s="678"/>
      <c r="G144" s="678"/>
      <c r="H144" s="27"/>
      <c r="I144" s="420"/>
      <c r="J144" s="135"/>
      <c r="K144" s="134"/>
      <c r="L144" s="136"/>
      <c r="M144" s="27"/>
      <c r="N144" s="135"/>
      <c r="O144" s="134"/>
      <c r="P144" s="136"/>
      <c r="Q144" s="371"/>
      <c r="R144" s="384"/>
      <c r="S144" s="371"/>
      <c r="T144" s="421"/>
      <c r="U144" s="125"/>
      <c r="W144" s="489"/>
    </row>
    <row r="145" spans="1:26" ht="16.5" thickBot="1" x14ac:dyDescent="0.25">
      <c r="A145" s="23"/>
      <c r="B145" s="5"/>
      <c r="C145" s="2156" t="s">
        <v>2142</v>
      </c>
      <c r="D145" s="2088"/>
      <c r="E145" s="2088"/>
      <c r="F145" s="2088"/>
      <c r="G145" s="2088"/>
      <c r="H145" s="27"/>
      <c r="I145" s="420"/>
      <c r="J145" s="2139">
        <f>+J138+J141</f>
        <v>0</v>
      </c>
      <c r="K145" s="2140"/>
      <c r="L145" s="136"/>
      <c r="M145" s="27"/>
      <c r="N145" s="2139">
        <f>+N138+N141</f>
        <v>0</v>
      </c>
      <c r="O145" s="2140"/>
      <c r="P145" s="136"/>
      <c r="Q145" s="371"/>
      <c r="R145" s="2136">
        <f>+J145+N145</f>
        <v>0</v>
      </c>
      <c r="S145" s="2137"/>
      <c r="T145" s="421"/>
      <c r="U145" s="125"/>
      <c r="W145" s="488">
        <f>IF(+J145+N145-R145=0,0,1)</f>
        <v>0</v>
      </c>
      <c r="Y145" s="277"/>
    </row>
    <row r="146" spans="1:26" ht="15.75" x14ac:dyDescent="0.2">
      <c r="A146" s="23"/>
      <c r="B146" s="5"/>
      <c r="C146" s="2138"/>
      <c r="D146" s="2138"/>
      <c r="E146" s="2138"/>
      <c r="F146" s="2138"/>
      <c r="G146" s="2138"/>
      <c r="H146" s="27"/>
      <c r="I146" s="420"/>
      <c r="J146" s="135"/>
      <c r="K146" s="134"/>
      <c r="L146" s="136"/>
      <c r="M146" s="27"/>
      <c r="N146" s="135"/>
      <c r="O146" s="134"/>
      <c r="P146" s="136"/>
      <c r="Q146" s="371"/>
      <c r="R146" s="384"/>
      <c r="S146" s="371"/>
      <c r="T146" s="421"/>
      <c r="U146" s="125"/>
      <c r="W146" s="490"/>
    </row>
    <row r="147" spans="1:26" ht="16.5" thickBot="1" x14ac:dyDescent="0.3">
      <c r="A147" s="23"/>
      <c r="B147" s="5"/>
      <c r="C147" s="26"/>
      <c r="D147" s="27"/>
      <c r="E147" s="27"/>
      <c r="F147" s="27"/>
      <c r="G147" s="27"/>
      <c r="H147" s="27"/>
      <c r="I147" s="422"/>
      <c r="J147" s="423"/>
      <c r="K147" s="424"/>
      <c r="L147" s="425"/>
      <c r="M147" s="423"/>
      <c r="N147" s="423"/>
      <c r="O147" s="423"/>
      <c r="P147" s="425"/>
      <c r="Q147" s="426"/>
      <c r="R147" s="427"/>
      <c r="S147" s="426"/>
      <c r="T147" s="428"/>
      <c r="U147" s="125"/>
      <c r="W147" s="489"/>
    </row>
    <row r="148" spans="1:26" ht="15.75" thickBot="1" x14ac:dyDescent="0.25">
      <c r="A148" s="23"/>
      <c r="B148" s="7"/>
      <c r="C148" s="128"/>
      <c r="D148" s="128"/>
      <c r="E148" s="128"/>
      <c r="F148" s="128"/>
      <c r="G148" s="128"/>
      <c r="H148" s="128"/>
      <c r="I148" s="128"/>
      <c r="J148" s="140"/>
      <c r="K148" s="140"/>
      <c r="L148" s="140"/>
      <c r="M148" s="140"/>
      <c r="N148" s="140"/>
      <c r="O148" s="140"/>
      <c r="P148" s="140"/>
      <c r="Q148" s="380"/>
      <c r="R148" s="380"/>
      <c r="S148" s="380"/>
      <c r="T148" s="396"/>
      <c r="U148" s="125"/>
      <c r="W148" s="489"/>
    </row>
    <row r="149" spans="1:26" ht="15.75" thickBot="1" x14ac:dyDescent="0.25">
      <c r="A149" s="24"/>
      <c r="B149" s="25"/>
      <c r="C149" s="163"/>
      <c r="D149" s="163"/>
      <c r="E149" s="163"/>
      <c r="F149" s="163"/>
      <c r="G149" s="163"/>
      <c r="H149" s="163"/>
      <c r="I149" s="163"/>
      <c r="J149" s="165"/>
      <c r="K149" s="165"/>
      <c r="L149" s="165"/>
      <c r="M149" s="165"/>
      <c r="N149" s="165"/>
      <c r="O149" s="165"/>
      <c r="P149" s="165"/>
      <c r="Q149" s="382"/>
      <c r="R149" s="382"/>
      <c r="S149" s="382"/>
      <c r="T149" s="397"/>
      <c r="U149" s="126"/>
      <c r="W149" s="489"/>
    </row>
    <row r="150" spans="1:26" ht="15.75" customHeight="1" x14ac:dyDescent="0.25">
      <c r="A150" s="122"/>
      <c r="B150" s="123"/>
      <c r="C150" s="2165" t="s">
        <v>1076</v>
      </c>
      <c r="D150" s="2165"/>
      <c r="E150" s="2165"/>
      <c r="F150" s="2165"/>
      <c r="G150" s="2165"/>
      <c r="H150" s="2165"/>
      <c r="I150" s="2165"/>
      <c r="J150" s="2165"/>
      <c r="K150" s="2165"/>
      <c r="L150" s="2165"/>
      <c r="M150" s="644"/>
      <c r="N150" s="644"/>
      <c r="O150" s="644"/>
      <c r="P150" s="644"/>
      <c r="Q150" s="645"/>
      <c r="R150" s="645"/>
      <c r="S150" s="645"/>
      <c r="T150" s="398"/>
      <c r="U150" s="124"/>
      <c r="W150" s="489"/>
    </row>
    <row r="151" spans="1:26" ht="15.75" customHeight="1" x14ac:dyDescent="0.25">
      <c r="A151" s="23"/>
      <c r="B151" s="2"/>
      <c r="C151" s="2147"/>
      <c r="D151" s="2147"/>
      <c r="E151" s="2147"/>
      <c r="F151" s="2147"/>
      <c r="G151" s="2147"/>
      <c r="H151" s="2147"/>
      <c r="I151" s="2147"/>
      <c r="J151" s="2147"/>
      <c r="K151" s="2147"/>
      <c r="L151" s="2147"/>
      <c r="M151" s="643"/>
      <c r="N151" s="643"/>
      <c r="O151" s="643"/>
      <c r="P151" s="643"/>
      <c r="Q151" s="646"/>
      <c r="R151" s="646"/>
      <c r="S151" s="646"/>
      <c r="T151" s="376"/>
      <c r="U151" s="125"/>
      <c r="W151" s="489"/>
    </row>
    <row r="152" spans="1:26" ht="16.5" thickBot="1" x14ac:dyDescent="0.3">
      <c r="A152" s="23"/>
      <c r="B152" s="2"/>
      <c r="C152" s="13" t="s">
        <v>591</v>
      </c>
      <c r="D152" s="10"/>
      <c r="E152" s="10"/>
      <c r="F152" s="10"/>
      <c r="G152" s="10"/>
      <c r="H152" s="27"/>
      <c r="I152" s="27"/>
      <c r="J152" s="134"/>
      <c r="K152" s="134"/>
      <c r="L152" s="134"/>
      <c r="M152" s="27"/>
      <c r="N152" s="134"/>
      <c r="O152" s="134"/>
      <c r="P152" s="134"/>
      <c r="Q152" s="371"/>
      <c r="R152" s="371"/>
      <c r="S152" s="371"/>
      <c r="T152" s="376"/>
      <c r="U152" s="125"/>
      <c r="W152" s="489"/>
    </row>
    <row r="153" spans="1:26" ht="16.5" thickBot="1" x14ac:dyDescent="0.25">
      <c r="A153" s="23"/>
      <c r="B153" s="2"/>
      <c r="C153" s="10" t="s">
        <v>2143</v>
      </c>
      <c r="D153" s="10"/>
      <c r="E153" s="10"/>
      <c r="F153" s="10"/>
      <c r="G153" s="10"/>
      <c r="H153" s="27"/>
      <c r="I153" s="27"/>
      <c r="J153" s="2163">
        <v>0</v>
      </c>
      <c r="K153" s="2164"/>
      <c r="L153" s="134"/>
      <c r="M153" s="27"/>
      <c r="N153" s="2072">
        <v>0</v>
      </c>
      <c r="O153" s="2073"/>
      <c r="P153" s="134"/>
      <c r="Q153" s="371"/>
      <c r="R153" s="2136">
        <f>+J153+N153</f>
        <v>0</v>
      </c>
      <c r="S153" s="2137"/>
      <c r="T153" s="376"/>
      <c r="U153" s="125"/>
      <c r="W153" s="488">
        <f>IF(+J153+N153-R153=0,0,1)</f>
        <v>0</v>
      </c>
      <c r="Y153" s="277"/>
      <c r="Z153" s="437"/>
    </row>
    <row r="154" spans="1:26" ht="15.75" x14ac:dyDescent="0.25">
      <c r="A154" s="23"/>
      <c r="B154" s="2"/>
      <c r="C154" s="13"/>
      <c r="D154" s="10"/>
      <c r="E154" s="10"/>
      <c r="F154" s="10"/>
      <c r="G154" s="10"/>
      <c r="H154" s="27"/>
      <c r="I154" s="27"/>
      <c r="J154" s="154"/>
      <c r="K154" s="154"/>
      <c r="L154" s="134"/>
      <c r="M154" s="27"/>
      <c r="N154" s="134"/>
      <c r="O154" s="134"/>
      <c r="P154" s="134"/>
      <c r="Q154" s="371"/>
      <c r="R154" s="371"/>
      <c r="S154" s="371"/>
      <c r="T154" s="376"/>
      <c r="U154" s="125"/>
      <c r="W154" s="490"/>
    </row>
    <row r="155" spans="1:26" ht="16.5" thickBot="1" x14ac:dyDescent="0.3">
      <c r="A155" s="23"/>
      <c r="B155" s="2"/>
      <c r="C155" s="13" t="s">
        <v>592</v>
      </c>
      <c r="D155" s="10"/>
      <c r="E155" s="10"/>
      <c r="F155" s="10"/>
      <c r="G155" s="10"/>
      <c r="H155" s="27"/>
      <c r="I155" s="27"/>
      <c r="J155" s="154"/>
      <c r="K155" s="154"/>
      <c r="L155" s="134"/>
      <c r="M155" s="27"/>
      <c r="N155" s="134"/>
      <c r="O155" s="134"/>
      <c r="P155" s="134"/>
      <c r="Q155" s="371"/>
      <c r="R155" s="371"/>
      <c r="S155" s="371"/>
      <c r="T155" s="376"/>
      <c r="U155" s="125"/>
      <c r="W155" s="490"/>
    </row>
    <row r="156" spans="1:26" ht="16.5" thickBot="1" x14ac:dyDescent="0.25">
      <c r="A156" s="23"/>
      <c r="B156" s="2"/>
      <c r="C156" s="10" t="s">
        <v>2144</v>
      </c>
      <c r="D156" s="10"/>
      <c r="E156" s="10"/>
      <c r="F156" s="10"/>
      <c r="G156" s="10"/>
      <c r="H156" s="27"/>
      <c r="I156" s="27"/>
      <c r="J156" s="2163">
        <v>0</v>
      </c>
      <c r="K156" s="2164"/>
      <c r="L156" s="134"/>
      <c r="M156" s="27"/>
      <c r="N156" s="2072">
        <v>0</v>
      </c>
      <c r="O156" s="2073"/>
      <c r="P156" s="134"/>
      <c r="Q156" s="371"/>
      <c r="R156" s="2136">
        <f>+J156+N156</f>
        <v>0</v>
      </c>
      <c r="S156" s="2137"/>
      <c r="T156" s="376"/>
      <c r="U156" s="125"/>
      <c r="W156" s="488">
        <f>IF(+J156+N156-R156=0,0,1)</f>
        <v>0</v>
      </c>
      <c r="Y156" s="277"/>
      <c r="Z156" s="437"/>
    </row>
    <row r="157" spans="1:26" x14ac:dyDescent="0.2">
      <c r="A157" s="23"/>
      <c r="B157" s="2"/>
      <c r="C157" s="27"/>
      <c r="D157" s="27"/>
      <c r="E157" s="27"/>
      <c r="F157" s="27"/>
      <c r="G157" s="27"/>
      <c r="H157" s="27"/>
      <c r="I157" s="27"/>
      <c r="J157" s="154"/>
      <c r="K157" s="154"/>
      <c r="L157" s="134"/>
      <c r="M157" s="27"/>
      <c r="N157" s="134"/>
      <c r="O157" s="134"/>
      <c r="P157" s="134"/>
      <c r="Q157" s="371"/>
      <c r="R157" s="371"/>
      <c r="S157" s="371"/>
      <c r="T157" s="376"/>
      <c r="U157" s="125"/>
      <c r="W157" s="490"/>
    </row>
    <row r="158" spans="1:26" ht="16.5" thickBot="1" x14ac:dyDescent="0.3">
      <c r="A158" s="23"/>
      <c r="B158" s="2"/>
      <c r="C158" s="13" t="s">
        <v>2302</v>
      </c>
      <c r="D158" s="10"/>
      <c r="E158" s="10"/>
      <c r="F158" s="10"/>
      <c r="G158" s="10"/>
      <c r="H158" s="27"/>
      <c r="I158" s="27"/>
      <c r="J158" s="10"/>
      <c r="K158" s="10"/>
      <c r="L158" s="27"/>
      <c r="M158" s="27"/>
      <c r="N158" s="27"/>
      <c r="O158" s="27"/>
      <c r="P158" s="27"/>
      <c r="Q158" s="371"/>
      <c r="R158" s="371"/>
      <c r="S158" s="371"/>
      <c r="T158" s="376"/>
      <c r="U158" s="125"/>
      <c r="W158" s="490"/>
    </row>
    <row r="159" spans="1:26" ht="16.5" customHeight="1" thickBot="1" x14ac:dyDescent="0.25">
      <c r="A159" s="23"/>
      <c r="B159" s="2"/>
      <c r="C159" s="2064" t="s">
        <v>2362</v>
      </c>
      <c r="D159" s="2166"/>
      <c r="E159" s="2166"/>
      <c r="F159" s="2166"/>
      <c r="G159" s="2166"/>
      <c r="H159" s="1846"/>
      <c r="I159" s="27"/>
      <c r="J159" s="2163">
        <v>0</v>
      </c>
      <c r="K159" s="2164"/>
      <c r="L159" s="134"/>
      <c r="M159" s="27"/>
      <c r="N159" s="2072">
        <v>0</v>
      </c>
      <c r="O159" s="2073"/>
      <c r="P159" s="10"/>
      <c r="Q159" s="371"/>
      <c r="R159" s="2136">
        <f>+J159+N159</f>
        <v>0</v>
      </c>
      <c r="S159" s="2137"/>
      <c r="T159" s="376"/>
      <c r="U159" s="125"/>
      <c r="W159" s="488">
        <f>IF(+J159+N159-R159=0,0,1)</f>
        <v>0</v>
      </c>
      <c r="Y159" s="277"/>
      <c r="Z159" s="437"/>
    </row>
    <row r="160" spans="1:26" ht="16.5" customHeight="1" x14ac:dyDescent="0.2">
      <c r="A160" s="23"/>
      <c r="B160" s="2"/>
      <c r="C160" s="1846"/>
      <c r="D160" s="1846"/>
      <c r="E160" s="1846"/>
      <c r="F160" s="1846"/>
      <c r="G160" s="1846"/>
      <c r="H160" s="1846"/>
      <c r="I160" s="1846"/>
      <c r="J160" s="1846"/>
      <c r="K160" s="1846"/>
      <c r="L160" s="134"/>
      <c r="M160" s="27"/>
      <c r="N160" s="27"/>
      <c r="O160" s="27"/>
      <c r="P160" s="10"/>
      <c r="Q160" s="371"/>
      <c r="R160" s="1847"/>
      <c r="S160" s="371"/>
      <c r="T160" s="376"/>
      <c r="U160" s="125"/>
      <c r="W160" s="488"/>
      <c r="Y160" s="277"/>
      <c r="Z160" s="437"/>
    </row>
    <row r="161" spans="1:26" ht="16.5" thickBot="1" x14ac:dyDescent="0.3">
      <c r="A161" s="23"/>
      <c r="B161" s="2"/>
      <c r="C161" s="13" t="s">
        <v>2367</v>
      </c>
      <c r="D161" s="10"/>
      <c r="E161" s="10"/>
      <c r="F161" s="10"/>
      <c r="G161" s="10"/>
      <c r="H161" s="27"/>
      <c r="I161" s="27"/>
      <c r="J161" s="10"/>
      <c r="K161" s="10"/>
      <c r="L161" s="27"/>
      <c r="M161" s="27"/>
      <c r="N161" s="27"/>
      <c r="O161" s="27"/>
      <c r="P161" s="27"/>
      <c r="Q161" s="371"/>
      <c r="R161" s="371"/>
      <c r="S161" s="371"/>
      <c r="T161" s="376"/>
      <c r="U161" s="125"/>
      <c r="W161" s="490"/>
    </row>
    <row r="162" spans="1:26" ht="16.5" customHeight="1" thickBot="1" x14ac:dyDescent="0.25">
      <c r="A162" s="23"/>
      <c r="B162" s="2"/>
      <c r="C162" s="2064" t="s">
        <v>2366</v>
      </c>
      <c r="D162" s="2166"/>
      <c r="E162" s="2166"/>
      <c r="F162" s="2166"/>
      <c r="G162" s="2166"/>
      <c r="H162" s="1846"/>
      <c r="I162" s="27"/>
      <c r="J162" s="2163">
        <v>0</v>
      </c>
      <c r="K162" s="2164"/>
      <c r="L162" s="134"/>
      <c r="M162" s="27"/>
      <c r="N162" s="2072">
        <v>0</v>
      </c>
      <c r="O162" s="2073"/>
      <c r="P162" s="10"/>
      <c r="Q162" s="371"/>
      <c r="R162" s="2136">
        <f>+J162+N162</f>
        <v>0</v>
      </c>
      <c r="S162" s="2137"/>
      <c r="T162" s="376"/>
      <c r="U162" s="125"/>
      <c r="W162" s="488">
        <f>IF(+J162+N162-R162=0,0,1)</f>
        <v>0</v>
      </c>
      <c r="Y162" s="277"/>
      <c r="Z162" s="437"/>
    </row>
    <row r="163" spans="1:26" ht="15.75" thickBot="1" x14ac:dyDescent="0.25">
      <c r="A163" s="23"/>
      <c r="B163" s="2"/>
      <c r="C163" s="27"/>
      <c r="D163" s="27"/>
      <c r="E163" s="27"/>
      <c r="F163" s="27"/>
      <c r="G163" s="27"/>
      <c r="H163" s="27"/>
      <c r="I163" s="27"/>
      <c r="J163" s="134"/>
      <c r="K163" s="134"/>
      <c r="L163" s="134"/>
      <c r="M163" s="134"/>
      <c r="N163" s="134"/>
      <c r="O163" s="134"/>
      <c r="P163" s="134"/>
      <c r="Q163" s="371"/>
      <c r="R163" s="371"/>
      <c r="S163" s="371"/>
      <c r="T163" s="376"/>
      <c r="U163" s="125"/>
      <c r="W163" s="489"/>
    </row>
    <row r="164" spans="1:26" ht="16.5" thickBot="1" x14ac:dyDescent="0.25">
      <c r="A164" s="23"/>
      <c r="B164" s="4"/>
      <c r="C164" s="127"/>
      <c r="D164" s="127"/>
      <c r="E164" s="127"/>
      <c r="F164" s="127"/>
      <c r="G164" s="127"/>
      <c r="H164" s="127"/>
      <c r="I164" s="127"/>
      <c r="J164" s="137"/>
      <c r="K164" s="138"/>
      <c r="L164" s="138"/>
      <c r="M164" s="138"/>
      <c r="N164" s="138"/>
      <c r="O164" s="138"/>
      <c r="P164" s="138"/>
      <c r="Q164" s="378"/>
      <c r="R164" s="377"/>
      <c r="S164" s="378"/>
      <c r="T164" s="394"/>
      <c r="U164" s="125"/>
      <c r="W164" s="489"/>
    </row>
    <row r="165" spans="1:26" ht="16.5" thickBot="1" x14ac:dyDescent="0.25">
      <c r="A165" s="23"/>
      <c r="B165" s="5"/>
      <c r="C165" s="2067" t="s">
        <v>2369</v>
      </c>
      <c r="D165" s="2067"/>
      <c r="E165" s="2067"/>
      <c r="F165" s="2067"/>
      <c r="G165" s="2067"/>
      <c r="H165" s="27"/>
      <c r="I165" s="27"/>
      <c r="J165" s="2139">
        <f>+J153+J156+J159+J162</f>
        <v>0</v>
      </c>
      <c r="K165" s="2140"/>
      <c r="L165" s="134"/>
      <c r="M165" s="27"/>
      <c r="N165" s="2139">
        <f>+N153+N156+N159+N162</f>
        <v>0</v>
      </c>
      <c r="O165" s="2140"/>
      <c r="P165" s="134"/>
      <c r="Q165" s="371"/>
      <c r="R165" s="371"/>
      <c r="S165" s="371"/>
      <c r="T165" s="395"/>
      <c r="U165" s="125"/>
      <c r="W165" s="488">
        <f>IF(+J165+J169-J173=0,0,1)</f>
        <v>0</v>
      </c>
    </row>
    <row r="166" spans="1:26" ht="15.75" x14ac:dyDescent="0.2">
      <c r="A166" s="23"/>
      <c r="B166" s="5"/>
      <c r="C166" s="2067"/>
      <c r="D166" s="2067"/>
      <c r="E166" s="2067"/>
      <c r="F166" s="2067"/>
      <c r="G166" s="2067"/>
      <c r="H166" s="27"/>
      <c r="I166" s="27"/>
      <c r="J166" s="135"/>
      <c r="K166" s="134"/>
      <c r="L166" s="134"/>
      <c r="M166" s="27"/>
      <c r="N166" s="135"/>
      <c r="O166" s="134"/>
      <c r="P166" s="134"/>
      <c r="Q166" s="371"/>
      <c r="R166" s="371"/>
      <c r="S166" s="371"/>
      <c r="T166" s="395"/>
      <c r="U166" s="125"/>
      <c r="W166" s="488"/>
    </row>
    <row r="167" spans="1:26" ht="15.75" x14ac:dyDescent="0.2">
      <c r="A167" s="23"/>
      <c r="B167" s="5"/>
      <c r="C167" s="2138"/>
      <c r="D167" s="2088"/>
      <c r="E167" s="2088"/>
      <c r="F167" s="2088"/>
      <c r="G167" s="2088"/>
      <c r="H167" s="27"/>
      <c r="I167" s="27"/>
      <c r="J167" s="135"/>
      <c r="K167" s="134"/>
      <c r="L167" s="134"/>
      <c r="M167" s="27"/>
      <c r="N167" s="135"/>
      <c r="O167" s="134"/>
      <c r="P167" s="134"/>
      <c r="Q167" s="371"/>
      <c r="R167" s="371"/>
      <c r="S167" s="371"/>
      <c r="T167" s="395"/>
      <c r="U167" s="125"/>
      <c r="W167" s="488"/>
    </row>
    <row r="168" spans="1:26" ht="16.5" thickBot="1" x14ac:dyDescent="0.25">
      <c r="A168" s="23"/>
      <c r="B168" s="5"/>
      <c r="C168" s="678"/>
      <c r="D168" s="678"/>
      <c r="E168" s="678"/>
      <c r="F168" s="678"/>
      <c r="G168" s="678"/>
      <c r="H168" s="27"/>
      <c r="I168" s="27"/>
      <c r="J168" s="135"/>
      <c r="K168" s="134"/>
      <c r="L168" s="134"/>
      <c r="M168" s="27"/>
      <c r="N168" s="135"/>
      <c r="O168" s="134"/>
      <c r="P168" s="134"/>
      <c r="Q168" s="371"/>
      <c r="R168" s="371"/>
      <c r="S168" s="371"/>
      <c r="T168" s="395"/>
      <c r="U168" s="125"/>
      <c r="W168" s="488"/>
    </row>
    <row r="169" spans="1:26" ht="16.5" customHeight="1" thickBot="1" x14ac:dyDescent="0.25">
      <c r="A169" s="23"/>
      <c r="B169" s="5"/>
      <c r="C169" s="2157" t="s">
        <v>2363</v>
      </c>
      <c r="D169" s="2157"/>
      <c r="E169" s="2157"/>
      <c r="F169" s="2157"/>
      <c r="G169" s="2157"/>
      <c r="H169" s="27"/>
      <c r="I169" s="27"/>
      <c r="J169" s="2072">
        <v>0</v>
      </c>
      <c r="K169" s="2073"/>
      <c r="L169" s="134"/>
      <c r="M169" s="27"/>
      <c r="N169" s="2072">
        <v>0</v>
      </c>
      <c r="O169" s="2073"/>
      <c r="P169" s="134"/>
      <c r="Q169" s="371"/>
      <c r="R169" s="371"/>
      <c r="S169" s="371"/>
      <c r="T169" s="395"/>
      <c r="U169" s="125"/>
      <c r="W169" s="488">
        <f>IF(+N165+N169-N173=0,0,1)</f>
        <v>0</v>
      </c>
      <c r="Z169" s="437"/>
    </row>
    <row r="170" spans="1:26" ht="15.75" x14ac:dyDescent="0.2">
      <c r="A170" s="23"/>
      <c r="B170" s="5"/>
      <c r="C170" s="2157"/>
      <c r="D170" s="2157"/>
      <c r="E170" s="2157"/>
      <c r="F170" s="2157"/>
      <c r="G170" s="2157"/>
      <c r="H170" s="27"/>
      <c r="I170" s="27"/>
      <c r="J170" s="135"/>
      <c r="K170" s="134"/>
      <c r="L170" s="134"/>
      <c r="M170" s="27"/>
      <c r="N170" s="135"/>
      <c r="O170" s="134"/>
      <c r="P170" s="134"/>
      <c r="Q170" s="371"/>
      <c r="R170" s="372"/>
      <c r="S170" s="371"/>
      <c r="T170" s="395"/>
      <c r="U170" s="125"/>
      <c r="W170" s="489"/>
    </row>
    <row r="171" spans="1:26" ht="15.75" x14ac:dyDescent="0.2">
      <c r="A171" s="23"/>
      <c r="B171" s="5"/>
      <c r="C171" s="2157"/>
      <c r="D171" s="2157"/>
      <c r="E171" s="2157"/>
      <c r="F171" s="2157"/>
      <c r="G171" s="2157"/>
      <c r="H171" s="27"/>
      <c r="I171" s="27"/>
      <c r="J171" s="135"/>
      <c r="K171" s="134"/>
      <c r="L171" s="134"/>
      <c r="M171" s="27"/>
      <c r="N171" s="135"/>
      <c r="O171" s="134"/>
      <c r="P171" s="134"/>
      <c r="Q171" s="371"/>
      <c r="R171" s="471"/>
      <c r="S171" s="371"/>
      <c r="T171" s="395"/>
      <c r="U171" s="125"/>
      <c r="W171" s="489"/>
    </row>
    <row r="172" spans="1:26" ht="16.5" thickBot="1" x14ac:dyDescent="0.25">
      <c r="A172" s="23"/>
      <c r="B172" s="5"/>
      <c r="C172" s="678"/>
      <c r="D172" s="678"/>
      <c r="E172" s="678"/>
      <c r="F172" s="678"/>
      <c r="G172" s="678"/>
      <c r="H172" s="27"/>
      <c r="I172" s="27"/>
      <c r="J172" s="135"/>
      <c r="K172" s="134"/>
      <c r="L172" s="134"/>
      <c r="M172" s="27"/>
      <c r="N172" s="135"/>
      <c r="O172" s="134"/>
      <c r="P172" s="134"/>
      <c r="Q172" s="371"/>
      <c r="R172" s="372"/>
      <c r="S172" s="371"/>
      <c r="T172" s="395"/>
      <c r="U172" s="125"/>
      <c r="W172" s="489"/>
    </row>
    <row r="173" spans="1:26" ht="16.5" customHeight="1" thickBot="1" x14ac:dyDescent="0.25">
      <c r="A173" s="23"/>
      <c r="B173" s="5"/>
      <c r="C173" s="2174" t="s">
        <v>2364</v>
      </c>
      <c r="D173" s="2174"/>
      <c r="E173" s="2174"/>
      <c r="F173" s="2174"/>
      <c r="G173" s="2174"/>
      <c r="H173" s="27"/>
      <c r="I173" s="27"/>
      <c r="J173" s="2139">
        <f>+J165+J169</f>
        <v>0</v>
      </c>
      <c r="K173" s="2140"/>
      <c r="L173" s="134"/>
      <c r="M173" s="27"/>
      <c r="N173" s="2139">
        <f>+N165+N169</f>
        <v>0</v>
      </c>
      <c r="O173" s="2140"/>
      <c r="P173" s="134"/>
      <c r="Q173" s="371"/>
      <c r="R173" s="2136">
        <f>+J173+N173</f>
        <v>0</v>
      </c>
      <c r="S173" s="2137"/>
      <c r="T173" s="395"/>
      <c r="U173" s="125"/>
      <c r="W173" s="488">
        <f>IF(+J173+N173-R173=0,0,1)</f>
        <v>0</v>
      </c>
      <c r="Y173" s="277"/>
    </row>
    <row r="174" spans="1:26" x14ac:dyDescent="0.2">
      <c r="A174" s="23"/>
      <c r="B174" s="5"/>
      <c r="C174" s="2175"/>
      <c r="D174" s="2176"/>
      <c r="E174" s="2176"/>
      <c r="F174" s="2176"/>
      <c r="G174" s="2176"/>
      <c r="H174" s="27"/>
      <c r="I174" s="27"/>
      <c r="J174" s="27"/>
      <c r="K174" s="27"/>
      <c r="L174" s="27"/>
      <c r="M174" s="27"/>
      <c r="N174" s="27"/>
      <c r="O174" s="27"/>
      <c r="P174" s="134"/>
      <c r="Q174" s="383"/>
      <c r="R174" s="383"/>
      <c r="S174" s="383"/>
      <c r="T174" s="395"/>
      <c r="U174" s="125"/>
      <c r="W174" s="490"/>
    </row>
    <row r="175" spans="1:26" x14ac:dyDescent="0.2">
      <c r="A175" s="23"/>
      <c r="B175" s="5"/>
      <c r="C175" s="2177"/>
      <c r="D175" s="2177"/>
      <c r="E175" s="2177"/>
      <c r="F175" s="2177"/>
      <c r="G175" s="2177"/>
      <c r="H175" s="27"/>
      <c r="I175" s="27"/>
      <c r="J175" s="27"/>
      <c r="K175" s="27"/>
      <c r="L175" s="27"/>
      <c r="M175" s="27"/>
      <c r="N175" s="27"/>
      <c r="O175" s="27"/>
      <c r="P175" s="134"/>
      <c r="Q175" s="383"/>
      <c r="R175" s="383"/>
      <c r="S175" s="383"/>
      <c r="T175" s="395"/>
      <c r="U175" s="125"/>
      <c r="W175" s="490"/>
    </row>
    <row r="176" spans="1:26" ht="16.5" thickBot="1" x14ac:dyDescent="0.25">
      <c r="A176" s="23"/>
      <c r="B176" s="7"/>
      <c r="C176" s="128"/>
      <c r="D176" s="128"/>
      <c r="E176" s="128"/>
      <c r="F176" s="128"/>
      <c r="G176" s="128"/>
      <c r="H176" s="128"/>
      <c r="I176" s="128"/>
      <c r="J176" s="139"/>
      <c r="K176" s="140"/>
      <c r="L176" s="140"/>
      <c r="M176" s="140"/>
      <c r="N176" s="139"/>
      <c r="O176" s="139"/>
      <c r="P176" s="139"/>
      <c r="Q176" s="380"/>
      <c r="R176" s="379"/>
      <c r="S176" s="380"/>
      <c r="T176" s="396"/>
      <c r="U176" s="125"/>
      <c r="W176" s="489"/>
    </row>
    <row r="177" spans="1:25" ht="15.75" thickBot="1" x14ac:dyDescent="0.25">
      <c r="A177" s="23"/>
      <c r="B177" s="2"/>
      <c r="C177" s="27"/>
      <c r="D177" s="27"/>
      <c r="E177" s="27"/>
      <c r="F177" s="27"/>
      <c r="G177" s="27"/>
      <c r="H177" s="27"/>
      <c r="I177" s="27"/>
      <c r="J177" s="134"/>
      <c r="K177" s="134"/>
      <c r="L177" s="134"/>
      <c r="M177" s="134"/>
      <c r="N177" s="134"/>
      <c r="O177" s="134"/>
      <c r="P177" s="134"/>
      <c r="Q177" s="371"/>
      <c r="R177" s="371"/>
      <c r="S177" s="371"/>
      <c r="T177" s="376"/>
      <c r="U177" s="125"/>
      <c r="W177" s="489"/>
    </row>
    <row r="178" spans="1:25" x14ac:dyDescent="0.2">
      <c r="A178" s="23"/>
      <c r="B178" s="30"/>
      <c r="C178" s="31"/>
      <c r="D178" s="31"/>
      <c r="E178" s="31"/>
      <c r="F178" s="31"/>
      <c r="G178" s="31"/>
      <c r="H178" s="31"/>
      <c r="I178" s="31"/>
      <c r="J178" s="141"/>
      <c r="K178" s="141"/>
      <c r="L178" s="141"/>
      <c r="M178" s="141"/>
      <c r="N178" s="141"/>
      <c r="O178" s="141"/>
      <c r="P178" s="141"/>
      <c r="Q178" s="374"/>
      <c r="R178" s="374"/>
      <c r="S178" s="374"/>
      <c r="T178" s="391"/>
      <c r="U178" s="125"/>
      <c r="W178" s="489"/>
    </row>
    <row r="179" spans="1:25" ht="15.75" x14ac:dyDescent="0.25">
      <c r="A179" s="23"/>
      <c r="B179" s="32"/>
      <c r="C179" s="33" t="s">
        <v>809</v>
      </c>
      <c r="D179" s="34"/>
      <c r="E179" s="34"/>
      <c r="F179" s="34"/>
      <c r="G179" s="34"/>
      <c r="H179" s="34"/>
      <c r="I179" s="34"/>
      <c r="J179" s="142"/>
      <c r="K179" s="142"/>
      <c r="L179" s="142"/>
      <c r="M179" s="142"/>
      <c r="N179" s="142"/>
      <c r="O179" s="142"/>
      <c r="P179" s="142"/>
      <c r="Q179" s="371"/>
      <c r="R179" s="371"/>
      <c r="S179" s="371"/>
      <c r="T179" s="392"/>
      <c r="U179" s="125"/>
      <c r="W179" s="489"/>
    </row>
    <row r="180" spans="1:25" ht="16.5" thickBot="1" x14ac:dyDescent="0.25">
      <c r="A180" s="23"/>
      <c r="B180" s="32"/>
      <c r="C180" s="34"/>
      <c r="D180" s="34"/>
      <c r="E180" s="34"/>
      <c r="F180" s="34"/>
      <c r="G180" s="34"/>
      <c r="H180" s="34"/>
      <c r="I180" s="34"/>
      <c r="J180" s="2173" t="s">
        <v>786</v>
      </c>
      <c r="K180" s="2173"/>
      <c r="L180" s="142"/>
      <c r="M180" s="142"/>
      <c r="N180" s="2173" t="s">
        <v>786</v>
      </c>
      <c r="O180" s="2173"/>
      <c r="P180" s="142"/>
      <c r="Q180" s="371"/>
      <c r="R180" s="2178" t="s">
        <v>786</v>
      </c>
      <c r="S180" s="2178"/>
      <c r="T180" s="392"/>
      <c r="U180" s="125"/>
      <c r="W180" s="489"/>
    </row>
    <row r="181" spans="1:25" ht="16.5" thickBot="1" x14ac:dyDescent="0.25">
      <c r="A181" s="23"/>
      <c r="B181" s="32"/>
      <c r="C181" s="2179" t="s">
        <v>2365</v>
      </c>
      <c r="D181" s="2179"/>
      <c r="E181" s="2179"/>
      <c r="F181" s="2179"/>
      <c r="G181" s="2179"/>
      <c r="H181" s="2180"/>
      <c r="I181" s="34"/>
      <c r="J181" s="2139">
        <f>+J28+J45+J85+J107+J145+J173</f>
        <v>0</v>
      </c>
      <c r="K181" s="2140"/>
      <c r="L181" s="142"/>
      <c r="M181" s="142"/>
      <c r="N181" s="2139">
        <f>+N28+N45+N85+N107+N145+N173</f>
        <v>0</v>
      </c>
      <c r="O181" s="2140"/>
      <c r="P181" s="142"/>
      <c r="Q181" s="371"/>
      <c r="R181" s="2136">
        <f>+R28+R45+R85+R107+R145+R173</f>
        <v>0</v>
      </c>
      <c r="S181" s="2137"/>
      <c r="T181" s="392"/>
      <c r="U181" s="125"/>
      <c r="W181" s="488">
        <f>IF(+J181+N181-R181=0,0,1)</f>
        <v>0</v>
      </c>
      <c r="Y181" s="277"/>
    </row>
    <row r="182" spans="1:25" ht="15.75" customHeight="1" x14ac:dyDescent="0.2">
      <c r="A182" s="23"/>
      <c r="B182" s="32"/>
      <c r="C182" s="2179"/>
      <c r="D182" s="2179"/>
      <c r="E182" s="2179"/>
      <c r="F182" s="2179"/>
      <c r="G182" s="2179"/>
      <c r="H182" s="2180"/>
      <c r="I182" s="34"/>
      <c r="J182" s="143"/>
      <c r="K182" s="142"/>
      <c r="L182" s="142"/>
      <c r="M182" s="142"/>
      <c r="N182" s="142"/>
      <c r="O182" s="142"/>
      <c r="P182" s="142"/>
      <c r="Q182" s="371"/>
      <c r="R182" s="372"/>
      <c r="S182" s="371"/>
      <c r="T182" s="392"/>
      <c r="U182" s="125"/>
      <c r="W182" s="489"/>
    </row>
    <row r="183" spans="1:25" ht="15.75" x14ac:dyDescent="0.25">
      <c r="A183" s="23"/>
      <c r="B183" s="32"/>
      <c r="C183" s="2177"/>
      <c r="D183" s="2177"/>
      <c r="E183" s="2177"/>
      <c r="F183" s="2177"/>
      <c r="G183" s="2177"/>
      <c r="H183" s="2177"/>
      <c r="I183" s="34"/>
      <c r="J183" s="2171"/>
      <c r="K183" s="2172"/>
      <c r="L183" s="29"/>
      <c r="M183" s="29"/>
      <c r="N183" s="130"/>
      <c r="O183" s="29"/>
      <c r="P183" s="29"/>
      <c r="Q183" s="383"/>
      <c r="R183" s="640"/>
      <c r="S183" s="386"/>
      <c r="T183" s="392"/>
      <c r="U183" s="125"/>
      <c r="W183" s="491"/>
    </row>
    <row r="184" spans="1:25" ht="15.75" thickBot="1" x14ac:dyDescent="0.25">
      <c r="A184" s="23"/>
      <c r="B184" s="35"/>
      <c r="C184" s="131"/>
      <c r="D184" s="131"/>
      <c r="E184" s="131"/>
      <c r="F184" s="131"/>
      <c r="G184" s="131"/>
      <c r="H184" s="131"/>
      <c r="I184" s="36"/>
      <c r="J184" s="36"/>
      <c r="K184" s="36"/>
      <c r="L184" s="36"/>
      <c r="M184" s="36"/>
      <c r="N184" s="36"/>
      <c r="O184" s="36"/>
      <c r="P184" s="36"/>
      <c r="Q184" s="399"/>
      <c r="R184" s="399"/>
      <c r="S184" s="399"/>
      <c r="T184" s="393"/>
      <c r="U184" s="125"/>
    </row>
    <row r="185" spans="1:25" ht="15.75" thickBot="1" x14ac:dyDescent="0.25">
      <c r="A185" s="23"/>
      <c r="B185" s="2"/>
      <c r="C185" s="2"/>
      <c r="D185" s="2"/>
      <c r="E185" s="2"/>
      <c r="F185" s="2"/>
      <c r="G185" s="2"/>
      <c r="H185" s="2"/>
      <c r="I185" s="2"/>
      <c r="J185" s="2"/>
      <c r="K185" s="2"/>
      <c r="L185" s="2"/>
      <c r="M185" s="2"/>
      <c r="N185" s="2"/>
      <c r="O185" s="2"/>
      <c r="P185" s="2"/>
      <c r="Q185" s="2"/>
      <c r="R185" s="2"/>
      <c r="S185" s="2"/>
      <c r="T185" s="2"/>
      <c r="U185" s="125"/>
      <c r="W185" s="478" t="s">
        <v>34</v>
      </c>
    </row>
    <row r="186" spans="1:25" x14ac:dyDescent="0.2">
      <c r="A186" s="122"/>
      <c r="B186" s="123"/>
      <c r="C186" s="123"/>
      <c r="D186" s="123"/>
      <c r="E186" s="123"/>
      <c r="F186" s="123"/>
      <c r="G186" s="123"/>
      <c r="H186" s="123"/>
      <c r="I186" s="123"/>
      <c r="J186" s="123"/>
      <c r="K186" s="123"/>
      <c r="L186" s="123"/>
      <c r="M186" s="123"/>
      <c r="N186" s="123"/>
      <c r="O186" s="123"/>
      <c r="P186" s="123"/>
      <c r="Q186" s="123"/>
      <c r="R186" s="123"/>
      <c r="S186" s="123"/>
      <c r="T186" s="123"/>
      <c r="U186" s="124"/>
      <c r="W186" s="478"/>
    </row>
    <row r="187" spans="1:25" ht="15.75" x14ac:dyDescent="0.25">
      <c r="A187" s="23"/>
      <c r="B187" s="2"/>
      <c r="C187" s="2170" t="str">
        <f>+IF(W187&gt;0,"There are errors in the calculations in this form.  Have you over written some of the pre-filled calculations? Please check.","")</f>
        <v/>
      </c>
      <c r="D187" s="2170"/>
      <c r="E187" s="2170"/>
      <c r="F187" s="2170"/>
      <c r="G187" s="2170"/>
      <c r="H187" s="2170"/>
      <c r="I187" s="2170"/>
      <c r="J187" s="2170"/>
      <c r="K187" s="2170"/>
      <c r="L187" s="2170"/>
      <c r="M187" s="2170"/>
      <c r="N187" s="2170"/>
      <c r="O187" s="2170"/>
      <c r="P187" s="2170"/>
      <c r="Q187" s="2170"/>
      <c r="R187" s="2170"/>
      <c r="S187" s="2170"/>
      <c r="T187" s="2"/>
      <c r="U187" s="125"/>
      <c r="W187" s="492">
        <f>SUM(W14:W183)</f>
        <v>0</v>
      </c>
    </row>
    <row r="188" spans="1:25" ht="16.5" thickBot="1" x14ac:dyDescent="0.3">
      <c r="A188" s="23"/>
      <c r="B188" s="2"/>
      <c r="C188" s="175"/>
      <c r="D188" s="150"/>
      <c r="E188" s="150"/>
      <c r="F188" s="150"/>
      <c r="G188" s="150"/>
      <c r="H188" s="150"/>
      <c r="I188" s="150"/>
      <c r="J188" s="150"/>
      <c r="K188" s="150"/>
      <c r="L188" s="150"/>
      <c r="M188" s="150"/>
      <c r="N188" s="150"/>
      <c r="O188" s="150"/>
      <c r="P188" s="150"/>
      <c r="Q188" s="150"/>
      <c r="R188" s="150"/>
      <c r="S188" s="150"/>
      <c r="T188" s="2"/>
      <c r="U188" s="125"/>
    </row>
    <row r="189" spans="1:25" ht="16.5" thickBot="1" x14ac:dyDescent="0.3">
      <c r="A189" s="23"/>
      <c r="B189" s="2"/>
      <c r="C189" s="175"/>
      <c r="D189" s="150"/>
      <c r="E189" s="150"/>
      <c r="F189" s="150"/>
      <c r="G189" s="150"/>
      <c r="H189" s="150"/>
      <c r="I189" s="150"/>
      <c r="J189" s="150"/>
      <c r="K189" s="652" t="s">
        <v>1077</v>
      </c>
      <c r="L189" s="2167"/>
      <c r="M189" s="2168"/>
      <c r="N189" s="2168"/>
      <c r="O189" s="2168"/>
      <c r="P189" s="2168"/>
      <c r="Q189" s="2168"/>
      <c r="R189" s="2168"/>
      <c r="S189" s="2169"/>
      <c r="T189" s="2"/>
      <c r="U189" s="125"/>
    </row>
    <row r="190" spans="1:25" ht="15.75" thickBot="1" x14ac:dyDescent="0.25">
      <c r="A190" s="24"/>
      <c r="B190" s="25"/>
      <c r="C190" s="25"/>
      <c r="D190" s="25"/>
      <c r="E190" s="25"/>
      <c r="F190" s="25"/>
      <c r="G190" s="25"/>
      <c r="H190" s="25"/>
      <c r="I190" s="25"/>
      <c r="J190" s="25"/>
      <c r="K190" s="25"/>
      <c r="L190" s="25"/>
      <c r="M190" s="25"/>
      <c r="N190" s="25"/>
      <c r="O190" s="25"/>
      <c r="P190" s="25"/>
      <c r="Q190" s="25"/>
      <c r="R190" s="25"/>
      <c r="S190" s="25"/>
      <c r="T190" s="25"/>
      <c r="U190" s="126"/>
    </row>
    <row r="192" spans="1:25" x14ac:dyDescent="0.2">
      <c r="A192" s="766"/>
      <c r="B192" s="766"/>
      <c r="C192" s="766" t="s">
        <v>1086</v>
      </c>
      <c r="D192" s="766"/>
      <c r="E192" s="760"/>
      <c r="F192" s="760"/>
      <c r="G192" s="760"/>
      <c r="H192" s="760"/>
      <c r="I192" s="760"/>
      <c r="J192" s="760"/>
      <c r="K192" s="760"/>
      <c r="L192" s="760"/>
      <c r="M192" s="760"/>
      <c r="N192" s="760"/>
      <c r="O192" s="760"/>
      <c r="P192" s="760"/>
      <c r="Q192" s="760"/>
      <c r="R192" s="760"/>
      <c r="S192" s="760"/>
      <c r="T192" s="760"/>
      <c r="U192" s="760"/>
    </row>
    <row r="193" spans="1:21" x14ac:dyDescent="0.2">
      <c r="A193" s="766"/>
      <c r="B193" s="766"/>
      <c r="C193" s="766">
        <f>+'Part 1'!Q233</f>
        <v>0</v>
      </c>
      <c r="D193" s="766"/>
      <c r="E193" s="760"/>
      <c r="F193" s="760"/>
      <c r="G193" s="760"/>
      <c r="H193" s="760"/>
      <c r="I193" s="760"/>
      <c r="J193" s="760"/>
      <c r="K193" s="759"/>
      <c r="L193" s="760"/>
      <c r="M193" s="760"/>
      <c r="N193" s="760"/>
      <c r="O193" s="760"/>
      <c r="P193" s="760"/>
      <c r="Q193" s="760"/>
      <c r="R193" s="760"/>
      <c r="S193" s="760"/>
      <c r="T193" s="760"/>
      <c r="U193" s="760"/>
    </row>
    <row r="194" spans="1:21" x14ac:dyDescent="0.2">
      <c r="A194" s="766"/>
      <c r="B194" s="766"/>
      <c r="C194" s="766"/>
      <c r="D194" s="766"/>
      <c r="E194" s="760"/>
      <c r="F194" s="760"/>
      <c r="G194" s="760"/>
      <c r="H194" s="760"/>
      <c r="I194" s="760"/>
      <c r="J194" s="760"/>
      <c r="K194" s="760"/>
      <c r="L194" s="760"/>
      <c r="M194" s="760"/>
      <c r="N194" s="760"/>
      <c r="O194" s="760"/>
      <c r="P194" s="760"/>
      <c r="Q194" s="760"/>
      <c r="R194" s="760"/>
      <c r="S194" s="760"/>
      <c r="T194" s="760"/>
      <c r="U194" s="760"/>
    </row>
    <row r="195" spans="1:21" x14ac:dyDescent="0.2">
      <c r="B195" s="760"/>
      <c r="C195" s="760"/>
      <c r="D195" s="760"/>
      <c r="E195" s="760"/>
      <c r="F195" s="760"/>
      <c r="G195" s="760"/>
      <c r="H195" s="760"/>
      <c r="I195" s="760"/>
      <c r="J195" s="760"/>
      <c r="K195" s="760"/>
      <c r="L195" s="760"/>
      <c r="M195" s="760"/>
      <c r="N195" s="760"/>
      <c r="O195" s="760"/>
      <c r="P195" s="760"/>
      <c r="Q195" s="760"/>
      <c r="R195" s="760"/>
      <c r="S195" s="760"/>
      <c r="T195" s="760"/>
      <c r="U195" s="760"/>
    </row>
    <row r="196" spans="1:21" x14ac:dyDescent="0.2">
      <c r="B196" s="760"/>
      <c r="C196" s="760"/>
      <c r="D196" s="760"/>
      <c r="E196" s="760"/>
      <c r="F196" s="760"/>
      <c r="G196" s="760"/>
      <c r="H196" s="760"/>
      <c r="I196" s="760"/>
      <c r="J196" s="760"/>
      <c r="K196" s="760"/>
      <c r="L196" s="760"/>
      <c r="M196" s="760"/>
      <c r="N196" s="760"/>
      <c r="O196" s="760"/>
      <c r="P196" s="760"/>
      <c r="Q196" s="760"/>
      <c r="R196" s="760"/>
      <c r="S196" s="760"/>
      <c r="T196" s="760"/>
      <c r="U196" s="760"/>
    </row>
    <row r="197" spans="1:21" x14ac:dyDescent="0.2">
      <c r="B197" s="760"/>
      <c r="C197" s="760"/>
      <c r="D197" s="760"/>
      <c r="E197" s="760"/>
      <c r="F197" s="760"/>
      <c r="G197" s="760"/>
      <c r="H197" s="760"/>
      <c r="I197" s="760"/>
      <c r="J197" s="760"/>
      <c r="K197" s="760"/>
      <c r="L197" s="760"/>
      <c r="M197" s="760"/>
      <c r="N197" s="760"/>
      <c r="O197" s="760"/>
      <c r="P197" s="760"/>
      <c r="Q197" s="760"/>
      <c r="R197" s="760"/>
      <c r="S197" s="760"/>
      <c r="T197" s="760"/>
      <c r="U197" s="760"/>
    </row>
  </sheetData>
  <sheetProtection sheet="1" objects="1" scenarios="1"/>
  <dataConsolidate/>
  <mergeCells count="175">
    <mergeCell ref="W11:W12"/>
    <mergeCell ref="Z14:AB15"/>
    <mergeCell ref="R35:S35"/>
    <mergeCell ref="R70:S70"/>
    <mergeCell ref="R50:S50"/>
    <mergeCell ref="R56:S56"/>
    <mergeCell ref="J56:K56"/>
    <mergeCell ref="J70:K70"/>
    <mergeCell ref="J67:K67"/>
    <mergeCell ref="J61:K61"/>
    <mergeCell ref="W16:W17"/>
    <mergeCell ref="AA37:AG38"/>
    <mergeCell ref="N32:O32"/>
    <mergeCell ref="J14:K15"/>
    <mergeCell ref="J16:K16"/>
    <mergeCell ref="N16:O16"/>
    <mergeCell ref="R16:S16"/>
    <mergeCell ref="N14:O15"/>
    <mergeCell ref="R14:S15"/>
    <mergeCell ref="R12:S12"/>
    <mergeCell ref="R32:S32"/>
    <mergeCell ref="J12:K12"/>
    <mergeCell ref="N12:O12"/>
    <mergeCell ref="R17:S17"/>
    <mergeCell ref="A2:U2"/>
    <mergeCell ref="A3:U3"/>
    <mergeCell ref="C61:G62"/>
    <mergeCell ref="J153:K153"/>
    <mergeCell ref="N153:O153"/>
    <mergeCell ref="J119:K119"/>
    <mergeCell ref="R45:S45"/>
    <mergeCell ref="J35:K35"/>
    <mergeCell ref="N35:O35"/>
    <mergeCell ref="N50:O50"/>
    <mergeCell ref="J64:K64"/>
    <mergeCell ref="J58:K58"/>
    <mergeCell ref="N41:O41"/>
    <mergeCell ref="N58:O58"/>
    <mergeCell ref="R58:S58"/>
    <mergeCell ref="R61:S61"/>
    <mergeCell ref="R64:S64"/>
    <mergeCell ref="J50:K50"/>
    <mergeCell ref="J45:K45"/>
    <mergeCell ref="J128:K128"/>
    <mergeCell ref="J103:K103"/>
    <mergeCell ref="N113:O113"/>
    <mergeCell ref="C9:H9"/>
    <mergeCell ref="R18:S18"/>
    <mergeCell ref="L189:S189"/>
    <mergeCell ref="C187:S187"/>
    <mergeCell ref="C100:G101"/>
    <mergeCell ref="C107:G108"/>
    <mergeCell ref="J183:K183"/>
    <mergeCell ref="J180:K180"/>
    <mergeCell ref="N180:O180"/>
    <mergeCell ref="J113:K113"/>
    <mergeCell ref="N169:O169"/>
    <mergeCell ref="R107:S107"/>
    <mergeCell ref="N125:O125"/>
    <mergeCell ref="N103:O103"/>
    <mergeCell ref="N100:O100"/>
    <mergeCell ref="R128:S128"/>
    <mergeCell ref="R122:S122"/>
    <mergeCell ref="R156:S156"/>
    <mergeCell ref="J159:K159"/>
    <mergeCell ref="C173:G175"/>
    <mergeCell ref="J145:K145"/>
    <mergeCell ref="R180:S180"/>
    <mergeCell ref="J165:K165"/>
    <mergeCell ref="R181:S181"/>
    <mergeCell ref="J181:K181"/>
    <mergeCell ref="C181:H183"/>
    <mergeCell ref="R173:S173"/>
    <mergeCell ref="N173:O173"/>
    <mergeCell ref="N181:O181"/>
    <mergeCell ref="R159:S159"/>
    <mergeCell ref="J173:K173"/>
    <mergeCell ref="J169:K169"/>
    <mergeCell ref="C165:G167"/>
    <mergeCell ref="C159:G159"/>
    <mergeCell ref="C162:G162"/>
    <mergeCell ref="J162:K162"/>
    <mergeCell ref="N162:O162"/>
    <mergeCell ref="R162:S162"/>
    <mergeCell ref="J138:K138"/>
    <mergeCell ref="J141:K141"/>
    <mergeCell ref="R153:S153"/>
    <mergeCell ref="N156:O156"/>
    <mergeCell ref="J156:K156"/>
    <mergeCell ref="C169:G171"/>
    <mergeCell ref="C141:G143"/>
    <mergeCell ref="R145:S145"/>
    <mergeCell ref="N165:O165"/>
    <mergeCell ref="C145:G146"/>
    <mergeCell ref="C138:G139"/>
    <mergeCell ref="N141:O141"/>
    <mergeCell ref="N145:O145"/>
    <mergeCell ref="N159:O159"/>
    <mergeCell ref="N138:O138"/>
    <mergeCell ref="C150:L151"/>
    <mergeCell ref="N119:O119"/>
    <mergeCell ref="J78:K78"/>
    <mergeCell ref="N64:O64"/>
    <mergeCell ref="N28:O28"/>
    <mergeCell ref="C58:G59"/>
    <mergeCell ref="C78:G79"/>
    <mergeCell ref="N73:O73"/>
    <mergeCell ref="J41:K41"/>
    <mergeCell ref="N93:O93"/>
    <mergeCell ref="N45:O45"/>
    <mergeCell ref="N67:O67"/>
    <mergeCell ref="J28:K28"/>
    <mergeCell ref="J39:K39"/>
    <mergeCell ref="C41:G43"/>
    <mergeCell ref="N56:O56"/>
    <mergeCell ref="N61:O61"/>
    <mergeCell ref="N39:O39"/>
    <mergeCell ref="J132:K132"/>
    <mergeCell ref="C81:G83"/>
    <mergeCell ref="N70:O70"/>
    <mergeCell ref="C32:G33"/>
    <mergeCell ref="R28:S28"/>
    <mergeCell ref="J93:K93"/>
    <mergeCell ref="J81:K81"/>
    <mergeCell ref="N81:O81"/>
    <mergeCell ref="J73:K73"/>
    <mergeCell ref="R93:S93"/>
    <mergeCell ref="N128:O128"/>
    <mergeCell ref="J85:K85"/>
    <mergeCell ref="J96:K96"/>
    <mergeCell ref="C85:G86"/>
    <mergeCell ref="C103:G105"/>
    <mergeCell ref="C35:G37"/>
    <mergeCell ref="J107:K107"/>
    <mergeCell ref="N116:O116"/>
    <mergeCell ref="N107:O107"/>
    <mergeCell ref="N131:O131"/>
    <mergeCell ref="J100:K100"/>
    <mergeCell ref="N96:O96"/>
    <mergeCell ref="N85:O85"/>
    <mergeCell ref="N122:O122"/>
    <mergeCell ref="N23:O23"/>
    <mergeCell ref="C16:H17"/>
    <mergeCell ref="J13:K13"/>
    <mergeCell ref="N13:O13"/>
    <mergeCell ref="C12:H12"/>
    <mergeCell ref="R13:S13"/>
    <mergeCell ref="F18:G18"/>
    <mergeCell ref="J18:K18"/>
    <mergeCell ref="N25:O25"/>
    <mergeCell ref="N18:O18"/>
    <mergeCell ref="A4:U4"/>
    <mergeCell ref="A7:U7"/>
    <mergeCell ref="J125:K125"/>
    <mergeCell ref="J122:K122"/>
    <mergeCell ref="J116:K116"/>
    <mergeCell ref="A5:U5"/>
    <mergeCell ref="R116:S116"/>
    <mergeCell ref="R119:S119"/>
    <mergeCell ref="R125:S125"/>
    <mergeCell ref="R113:S113"/>
    <mergeCell ref="R73:S73"/>
    <mergeCell ref="R96:S96"/>
    <mergeCell ref="R67:S67"/>
    <mergeCell ref="R85:S85"/>
    <mergeCell ref="C20:F21"/>
    <mergeCell ref="J23:K23"/>
    <mergeCell ref="J32:K32"/>
    <mergeCell ref="N78:O78"/>
    <mergeCell ref="A6:U6"/>
    <mergeCell ref="C14:D14"/>
    <mergeCell ref="C13:H13"/>
    <mergeCell ref="J17:K17"/>
    <mergeCell ref="N17:O17"/>
    <mergeCell ref="J25:K25"/>
  </mergeCells>
  <phoneticPr fontId="5" type="noConversion"/>
  <conditionalFormatting sqref="J56:K56">
    <cfRule type="cellIs" dxfId="312" priority="222" stopIfTrue="1" operator="greaterThan">
      <formula>0</formula>
    </cfRule>
  </conditionalFormatting>
  <conditionalFormatting sqref="J18:K18">
    <cfRule type="cellIs" dxfId="311" priority="232" stopIfTrue="1" operator="lessThan">
      <formula>0</formula>
    </cfRule>
  </conditionalFormatting>
  <conditionalFormatting sqref="J32:K32">
    <cfRule type="cellIs" dxfId="310" priority="231" stopIfTrue="1" operator="greaterThan">
      <formula>0</formula>
    </cfRule>
  </conditionalFormatting>
  <conditionalFormatting sqref="J41:K41">
    <cfRule type="cellIs" dxfId="309" priority="161" stopIfTrue="1" operator="greaterThan">
      <formula>0</formula>
    </cfRule>
  </conditionalFormatting>
  <conditionalFormatting sqref="N32:O32">
    <cfRule type="cellIs" dxfId="308" priority="156" stopIfTrue="1" operator="greaterThan">
      <formula>0</formula>
    </cfRule>
  </conditionalFormatting>
  <conditionalFormatting sqref="J132:K132">
    <cfRule type="cellIs" dxfId="307" priority="113" stopIfTrue="1" operator="greaterThan">
      <formula>0</formula>
    </cfRule>
  </conditionalFormatting>
  <conditionalFormatting sqref="N131:O131">
    <cfRule type="cellIs" dxfId="306" priority="112" stopIfTrue="1" operator="greaterThan">
      <formula>0</formula>
    </cfRule>
  </conditionalFormatting>
  <conditionalFormatting sqref="N41:O41">
    <cfRule type="cellIs" dxfId="305" priority="95" stopIfTrue="1" operator="greaterThan">
      <formula>0</formula>
    </cfRule>
  </conditionalFormatting>
  <conditionalFormatting sqref="J35:K35">
    <cfRule type="cellIs" dxfId="304" priority="89" stopIfTrue="1" operator="greaterThan">
      <formula>0</formula>
    </cfRule>
  </conditionalFormatting>
  <conditionalFormatting sqref="U18">
    <cfRule type="expression" dxfId="303" priority="83">
      <formula>AND($W18=0)=FALSE</formula>
    </cfRule>
  </conditionalFormatting>
  <conditionalFormatting sqref="U32">
    <cfRule type="expression" dxfId="302" priority="82">
      <formula>AND($W32=0)=FALSE</formula>
    </cfRule>
  </conditionalFormatting>
  <conditionalFormatting sqref="U35">
    <cfRule type="expression" dxfId="301" priority="81">
      <formula>AND($W35=0)=FALSE</formula>
    </cfRule>
  </conditionalFormatting>
  <conditionalFormatting sqref="U50">
    <cfRule type="expression" dxfId="300" priority="80">
      <formula>AND($W50=0)=FALSE</formula>
    </cfRule>
  </conditionalFormatting>
  <conditionalFormatting sqref="U56">
    <cfRule type="expression" dxfId="299" priority="79">
      <formula>AND($W56=0)=FALSE</formula>
    </cfRule>
  </conditionalFormatting>
  <conditionalFormatting sqref="U58">
    <cfRule type="expression" dxfId="298" priority="78">
      <formula>AND($W58=0)=FALSE</formula>
    </cfRule>
  </conditionalFormatting>
  <conditionalFormatting sqref="U61">
    <cfRule type="expression" dxfId="297" priority="77">
      <formula>AND($W61=0)=FALSE</formula>
    </cfRule>
  </conditionalFormatting>
  <conditionalFormatting sqref="U67">
    <cfRule type="expression" dxfId="296" priority="75">
      <formula>AND($W67=0)=FALSE</formula>
    </cfRule>
  </conditionalFormatting>
  <conditionalFormatting sqref="U70">
    <cfRule type="expression" dxfId="295" priority="74">
      <formula>AND($W70=0)=FALSE</formula>
    </cfRule>
  </conditionalFormatting>
  <conditionalFormatting sqref="U73">
    <cfRule type="expression" dxfId="294" priority="73">
      <formula>AND($W73=0)=FALSE</formula>
    </cfRule>
  </conditionalFormatting>
  <conditionalFormatting sqref="U93">
    <cfRule type="expression" dxfId="293" priority="72">
      <formula>AND($W93=0)=FALSE</formula>
    </cfRule>
  </conditionalFormatting>
  <conditionalFormatting sqref="U96">
    <cfRule type="expression" dxfId="292" priority="71">
      <formula>AND($W96=0)=FALSE</formula>
    </cfRule>
  </conditionalFormatting>
  <conditionalFormatting sqref="U113">
    <cfRule type="expression" dxfId="291" priority="70">
      <formula>AND($W113=0)=FALSE</formula>
    </cfRule>
  </conditionalFormatting>
  <conditionalFormatting sqref="U116">
    <cfRule type="expression" dxfId="290" priority="69">
      <formula>AND($W116=0)=FALSE</formula>
    </cfRule>
  </conditionalFormatting>
  <conditionalFormatting sqref="U119">
    <cfRule type="expression" dxfId="289" priority="68">
      <formula>AND($W119=0)=FALSE</formula>
    </cfRule>
  </conditionalFormatting>
  <conditionalFormatting sqref="U122">
    <cfRule type="expression" dxfId="288" priority="67">
      <formula>AND($W122=0)=FALSE</formula>
    </cfRule>
  </conditionalFormatting>
  <conditionalFormatting sqref="U125">
    <cfRule type="expression" dxfId="287" priority="66">
      <formula>AND($W125=0)=FALSE</formula>
    </cfRule>
  </conditionalFormatting>
  <conditionalFormatting sqref="U128">
    <cfRule type="expression" dxfId="286" priority="65">
      <formula>AND($W128=0)=FALSE</formula>
    </cfRule>
  </conditionalFormatting>
  <conditionalFormatting sqref="U153">
    <cfRule type="expression" dxfId="285" priority="64">
      <formula>AND($W153=0)=FALSE</formula>
    </cfRule>
  </conditionalFormatting>
  <conditionalFormatting sqref="U156">
    <cfRule type="expression" dxfId="284" priority="63">
      <formula>AND($W156=0)=FALSE</formula>
    </cfRule>
  </conditionalFormatting>
  <conditionalFormatting sqref="U159:U160">
    <cfRule type="expression" dxfId="283" priority="62">
      <formula>AND($W159=0)=FALSE</formula>
    </cfRule>
  </conditionalFormatting>
  <conditionalFormatting sqref="U181">
    <cfRule type="expression" dxfId="282" priority="61">
      <formula>AND($W181=0)=FALSE</formula>
    </cfRule>
  </conditionalFormatting>
  <conditionalFormatting sqref="U28">
    <cfRule type="expression" dxfId="281" priority="60">
      <formula>AND($W23+W25+W28=0)=FALSE</formula>
    </cfRule>
  </conditionalFormatting>
  <conditionalFormatting sqref="U45">
    <cfRule type="expression" dxfId="280" priority="59">
      <formula>AND($W39+W41+W45=0)=FALSE</formula>
    </cfRule>
  </conditionalFormatting>
  <conditionalFormatting sqref="U64">
    <cfRule type="expression" dxfId="279" priority="58">
      <formula>AND($W63+W64+W65=0)=FALSE</formula>
    </cfRule>
  </conditionalFormatting>
  <conditionalFormatting sqref="U85">
    <cfRule type="expression" dxfId="278" priority="56">
      <formula>AND($W78+W81+W85=0)=FALSE</formula>
    </cfRule>
  </conditionalFormatting>
  <conditionalFormatting sqref="U107">
    <cfRule type="expression" dxfId="277" priority="55">
      <formula>AND($W100+W103+W107=0)=FALSE</formula>
    </cfRule>
  </conditionalFormatting>
  <conditionalFormatting sqref="U145">
    <cfRule type="expression" dxfId="276" priority="54">
      <formula>AND($W138+W141+W145=0)=FALSE</formula>
    </cfRule>
  </conditionalFormatting>
  <conditionalFormatting sqref="U173">
    <cfRule type="expression" dxfId="275" priority="53">
      <formula>AND($W165+W169+W173=0)=FALSE</formula>
    </cfRule>
  </conditionalFormatting>
  <conditionalFormatting sqref="N18:O18">
    <cfRule type="cellIs" dxfId="274" priority="52" stopIfTrue="1" operator="lessThan">
      <formula>0</formula>
    </cfRule>
  </conditionalFormatting>
  <conditionalFormatting sqref="J58:K58">
    <cfRule type="cellIs" dxfId="273" priority="51" stopIfTrue="1" operator="greaterThan">
      <formula>0</formula>
    </cfRule>
  </conditionalFormatting>
  <conditionalFormatting sqref="J67:K67">
    <cfRule type="cellIs" dxfId="272" priority="50" stopIfTrue="1" operator="greaterThan">
      <formula>0</formula>
    </cfRule>
  </conditionalFormatting>
  <conditionalFormatting sqref="J70:K70">
    <cfRule type="cellIs" dxfId="271" priority="49" stopIfTrue="1" operator="greaterThan">
      <formula>0</formula>
    </cfRule>
  </conditionalFormatting>
  <conditionalFormatting sqref="J73:K73">
    <cfRule type="cellIs" dxfId="270" priority="48" stopIfTrue="1" operator="greaterThan">
      <formula>0</formula>
    </cfRule>
  </conditionalFormatting>
  <conditionalFormatting sqref="N56:O56">
    <cfRule type="cellIs" dxfId="269" priority="46" stopIfTrue="1" operator="greaterThan">
      <formula>0</formula>
    </cfRule>
  </conditionalFormatting>
  <conditionalFormatting sqref="N58:O58">
    <cfRule type="cellIs" dxfId="268" priority="45" stopIfTrue="1" operator="greaterThan">
      <formula>0</formula>
    </cfRule>
  </conditionalFormatting>
  <conditionalFormatting sqref="N67:O67">
    <cfRule type="cellIs" dxfId="267" priority="44" stopIfTrue="1" operator="greaterThan">
      <formula>0</formula>
    </cfRule>
  </conditionalFormatting>
  <conditionalFormatting sqref="N70:O70">
    <cfRule type="cellIs" dxfId="266" priority="43" stopIfTrue="1" operator="greaterThan">
      <formula>0</formula>
    </cfRule>
  </conditionalFormatting>
  <conditionalFormatting sqref="N73:O73">
    <cfRule type="cellIs" dxfId="265" priority="42" stopIfTrue="1" operator="greaterThan">
      <formula>0</formula>
    </cfRule>
  </conditionalFormatting>
  <conditionalFormatting sqref="J93:K93">
    <cfRule type="cellIs" dxfId="264" priority="41" stopIfTrue="1" operator="greaterThan">
      <formula>0</formula>
    </cfRule>
  </conditionalFormatting>
  <conditionalFormatting sqref="J96:K96">
    <cfRule type="cellIs" dxfId="263" priority="40" stopIfTrue="1" operator="greaterThan">
      <formula>0</formula>
    </cfRule>
  </conditionalFormatting>
  <conditionalFormatting sqref="N93:O93">
    <cfRule type="cellIs" dxfId="262" priority="39" stopIfTrue="1" operator="greaterThan">
      <formula>0</formula>
    </cfRule>
  </conditionalFormatting>
  <conditionalFormatting sqref="N96:O96">
    <cfRule type="cellIs" dxfId="261" priority="38" stopIfTrue="1" operator="greaterThan">
      <formula>0</formula>
    </cfRule>
  </conditionalFormatting>
  <conditionalFormatting sqref="J113:K113">
    <cfRule type="cellIs" dxfId="260" priority="36" stopIfTrue="1" operator="greaterThan">
      <formula>0</formula>
    </cfRule>
  </conditionalFormatting>
  <conditionalFormatting sqref="N113:O113">
    <cfRule type="cellIs" dxfId="259" priority="35" stopIfTrue="1" operator="greaterThan">
      <formula>0</formula>
    </cfRule>
  </conditionalFormatting>
  <conditionalFormatting sqref="J116:K116">
    <cfRule type="cellIs" dxfId="258" priority="33" stopIfTrue="1" operator="greaterThan">
      <formula>0</formula>
    </cfRule>
  </conditionalFormatting>
  <conditionalFormatting sqref="N116:O116">
    <cfRule type="cellIs" dxfId="257" priority="32" stopIfTrue="1" operator="greaterThan">
      <formula>0</formula>
    </cfRule>
  </conditionalFormatting>
  <conditionalFormatting sqref="J119:K119">
    <cfRule type="cellIs" dxfId="256" priority="30" stopIfTrue="1" operator="greaterThan">
      <formula>0</formula>
    </cfRule>
  </conditionalFormatting>
  <conditionalFormatting sqref="N119:O119">
    <cfRule type="cellIs" dxfId="255" priority="29" stopIfTrue="1" operator="greaterThan">
      <formula>0</formula>
    </cfRule>
  </conditionalFormatting>
  <conditionalFormatting sqref="J122:K122">
    <cfRule type="cellIs" dxfId="254" priority="27" stopIfTrue="1" operator="greaterThan">
      <formula>0</formula>
    </cfRule>
  </conditionalFormatting>
  <conditionalFormatting sqref="N122:O122">
    <cfRule type="cellIs" dxfId="253" priority="26" stopIfTrue="1" operator="greaterThan">
      <formula>0</formula>
    </cfRule>
  </conditionalFormatting>
  <conditionalFormatting sqref="J125:K125">
    <cfRule type="cellIs" dxfId="252" priority="24" stopIfTrue="1" operator="greaterThan">
      <formula>0</formula>
    </cfRule>
  </conditionalFormatting>
  <conditionalFormatting sqref="N125:O125">
    <cfRule type="cellIs" dxfId="251" priority="23" stopIfTrue="1" operator="greaterThan">
      <formula>0</formula>
    </cfRule>
  </conditionalFormatting>
  <conditionalFormatting sqref="J128:K128">
    <cfRule type="cellIs" dxfId="250" priority="21" stopIfTrue="1" operator="greaterThan">
      <formula>0</formula>
    </cfRule>
  </conditionalFormatting>
  <conditionalFormatting sqref="N128:O128">
    <cfRule type="cellIs" dxfId="249" priority="20" stopIfTrue="1" operator="greaterThan">
      <formula>0</formula>
    </cfRule>
  </conditionalFormatting>
  <conditionalFormatting sqref="N153:O153">
    <cfRule type="cellIs" dxfId="248" priority="17" stopIfTrue="1" operator="greaterThan">
      <formula>0</formula>
    </cfRule>
  </conditionalFormatting>
  <conditionalFormatting sqref="N156:O156">
    <cfRule type="cellIs" dxfId="247" priority="14" stopIfTrue="1" operator="greaterThan">
      <formula>0</formula>
    </cfRule>
  </conditionalFormatting>
  <conditionalFormatting sqref="N159:O160">
    <cfRule type="cellIs" dxfId="246" priority="11" stopIfTrue="1" operator="greaterThan">
      <formula>0</formula>
    </cfRule>
  </conditionalFormatting>
  <conditionalFormatting sqref="J153:K153">
    <cfRule type="cellIs" dxfId="245" priority="8" stopIfTrue="1" operator="greaterThan">
      <formula>0</formula>
    </cfRule>
  </conditionalFormatting>
  <conditionalFormatting sqref="J156:K156">
    <cfRule type="cellIs" dxfId="244" priority="7" stopIfTrue="1" operator="greaterThan">
      <formula>0</formula>
    </cfRule>
  </conditionalFormatting>
  <conditionalFormatting sqref="J159:K159">
    <cfRule type="cellIs" dxfId="243" priority="6" stopIfTrue="1" operator="greaterThan">
      <formula>0</formula>
    </cfRule>
  </conditionalFormatting>
  <conditionalFormatting sqref="U162">
    <cfRule type="expression" dxfId="242" priority="4">
      <formula>AND($W162=0)=FALSE</formula>
    </cfRule>
  </conditionalFormatting>
  <conditionalFormatting sqref="N162:O162">
    <cfRule type="cellIs" dxfId="241" priority="2" stopIfTrue="1" operator="greaterThan">
      <formula>0</formula>
    </cfRule>
  </conditionalFormatting>
  <conditionalFormatting sqref="J162:K162">
    <cfRule type="cellIs" dxfId="240" priority="1" stopIfTrue="1" operator="greaterThan">
      <formula>0</formula>
    </cfRule>
  </conditionalFormatting>
  <dataValidations count="11">
    <dataValidation type="whole" operator="greaterThanOrEqual" allowBlank="1" showInputMessage="1" showErrorMessage="1" errorTitle="Positive whole number required" error="This MUST be a whole positive number" sqref="N18:O18 J18:K18">
      <formula1>0</formula1>
    </dataValidation>
    <dataValidation type="whole" operator="lessThanOrEqual" allowBlank="1" showInputMessage="1" showErrorMessage="1" errorTitle="Negative number required here" error="This number MUST be negative" sqref="J132:K132 N131:O131">
      <formula1>0</formula1>
    </dataValidation>
    <dataValidation type="custom" allowBlank="1" showInputMessage="1" showErrorMessage="1" error="Data entry not allowed" sqref="J181:K181 R181:S181 J23:K23 J28:K28 N23:O23 N28:O28 J39:K39 N138:O138 N39:O39 N64:O64 J50:K50 N50:O50 J64:K64 J78:K78 J85:K85 J100:K100 J107:K107 N145:O145 N78:O78 N85:O85 N100:O100 N107:O107 J138:K138 J145:K145">
      <formula1>"if(P57=""n/a"")"</formula1>
    </dataValidation>
    <dataValidation type="custom" allowBlank="1" showInputMessage="1" showErrorMessage="1" error="Data entry not allowed_x000a_" sqref="N181:O181 J173:K173 R28:S28">
      <formula1>"if(P57=""n/a"")"</formula1>
    </dataValidation>
    <dataValidation type="whole" operator="lessThanOrEqual" allowBlank="1" showInputMessage="1" showErrorMessage="1" errorTitle="Negative whole number required" error="This  MUST be negative whole number" sqref="J56:K56 J58:K58 J67:K67 J70:K70 J73:K73 N56:O56 N58:O58 N67:O67 N70:O70 N73:O73 J93:K93 J96:K96 N93:O93 N96:O96 J113:K113 N113:O113 J116:K116 N116:O116 J119:K119 N119:O119 J122:K122 N122:O122 J125:K125 N125:O125 J128:K128 N128:O128 N156:O156 N153:O153 J159:K159 J153:K153 J156:K156 J162:K162 N162:O162 N159:O159">
      <formula1>0</formula1>
    </dataValidation>
    <dataValidation type="whole" allowBlank="1" showInputMessage="1" showErrorMessage="1" errorTitle="Whole numbers allowed" error="Please enter a whole number - no pence allowed" sqref="N61:O61">
      <formula1>-100000000000000</formula1>
      <formula2>1000000000000</formula2>
    </dataValidation>
    <dataValidation type="custom" allowBlank="1" showInputMessage="1" showErrorMessage="1" errorTitle="Data entry not allowed" sqref="G20">
      <formula1>L16="n/a"</formula1>
    </dataValidation>
    <dataValidation type="whole" allowBlank="1" showInputMessage="1" showErrorMessage="1" errorTitle="Whole numbers allowed" error="Please enter a whole positive number - no pence allowed" sqref="J61:K61">
      <formula1>0</formula1>
      <formula2>1000000000000</formula2>
    </dataValidation>
    <dataValidation type="whole" operator="lessThanOrEqual" allowBlank="1" showInputMessage="1" showErrorMessage="1" sqref="J32:K32 N32:O32">
      <formula1>0</formula1>
    </dataValidation>
    <dataValidation type="whole" operator="greaterThanOrEqual" allowBlank="1" showInputMessage="1" showErrorMessage="1" sqref="J35:K35 N35:O35">
      <formula1>0</formula1>
    </dataValidation>
    <dataValidation type="whole" allowBlank="1" showInputMessage="1" showErrorMessage="1" errorTitle="Whole numbers allowed" error="Please enter a whole number - no pence allowed" sqref="J25:K25 N25:O25 J41:K41 N41:O41 J81:K81 N81:O81 J103:K103 N103:O103 J141:K141 N141:O141 J169:K169 N169:O169">
      <formula1>-100000000000000</formula1>
      <formula2>100000000000000</formula2>
    </dataValidation>
  </dataValidations>
  <printOptions horizontalCentered="1"/>
  <pageMargins left="0.39370078740157483" right="0.39370078740157483" top="0.39370078740157483" bottom="0.39370078740157483" header="0.31496062992125984" footer="0.31496062992125984"/>
  <pageSetup paperSize="9" scale="67" fitToHeight="0" orientation="portrait" r:id="rId1"/>
  <headerFooter alignWithMargins="0"/>
  <rowBreaks count="2" manualBreakCount="2">
    <brk id="74" max="20" man="1"/>
    <brk id="133" max="20" man="1"/>
  </rowBreaks>
  <extLst>
    <ext xmlns:x14="http://schemas.microsoft.com/office/spreadsheetml/2009/9/main" uri="{78C0D931-6437-407d-A8EE-F0AAD7539E65}">
      <x14:conditionalFormattings>
        <x14:conditionalFormatting xmlns:xm="http://schemas.microsoft.com/office/excel/2006/main">
          <x14:cfRule type="expression" priority="87" id="{88AF17BF-5C01-43D7-BBB2-7C6C3F4B7F0A}">
            <xm:f>AND('Part 1'!$Q$233=0)=TRUE</xm:f>
            <x14:dxf>
              <fill>
                <patternFill>
                  <bgColor theme="0" tint="-0.24994659260841701"/>
                </patternFill>
              </fill>
            </x14:dxf>
          </x14:cfRule>
          <xm:sqref>M163:P184 M17:P160</xm:sqref>
        </x14:conditionalFormatting>
        <x14:conditionalFormatting xmlns:xm="http://schemas.microsoft.com/office/excel/2006/main">
          <x14:cfRule type="expression" priority="37" id="{6BB485DA-4656-487E-ABC1-56B4ECB00815}">
            <xm:f>AND('Part 1'!$Q$233=0)=TRUE</xm:f>
            <x14:dxf>
              <fill>
                <patternFill>
                  <bgColor theme="0" tint="-0.24994659260841701"/>
                </patternFill>
              </fill>
            </x14:dxf>
          </x14:cfRule>
          <xm:sqref>M113</xm:sqref>
        </x14:conditionalFormatting>
        <x14:conditionalFormatting xmlns:xm="http://schemas.microsoft.com/office/excel/2006/main">
          <x14:cfRule type="expression" priority="34" id="{5F123025-4E35-402F-B7EB-9212FB7F237D}">
            <xm:f>AND('Part 1'!$Q$233=0)=TRUE</xm:f>
            <x14:dxf>
              <fill>
                <patternFill>
                  <bgColor theme="0" tint="-0.24994659260841701"/>
                </patternFill>
              </fill>
            </x14:dxf>
          </x14:cfRule>
          <xm:sqref>M116</xm:sqref>
        </x14:conditionalFormatting>
        <x14:conditionalFormatting xmlns:xm="http://schemas.microsoft.com/office/excel/2006/main">
          <x14:cfRule type="expression" priority="31" id="{6F24D4C8-922A-4E90-A3A9-C1ABCC6E6325}">
            <xm:f>AND('Part 1'!$Q$233=0)=TRUE</xm:f>
            <x14:dxf>
              <fill>
                <patternFill>
                  <bgColor theme="0" tint="-0.24994659260841701"/>
                </patternFill>
              </fill>
            </x14:dxf>
          </x14:cfRule>
          <xm:sqref>M119</xm:sqref>
        </x14:conditionalFormatting>
        <x14:conditionalFormatting xmlns:xm="http://schemas.microsoft.com/office/excel/2006/main">
          <x14:cfRule type="expression" priority="28" id="{C06A630A-4184-4D82-9EDF-C0E9EC26DD16}">
            <xm:f>AND('Part 1'!$Q$233=0)=TRUE</xm:f>
            <x14:dxf>
              <fill>
                <patternFill>
                  <bgColor theme="0" tint="-0.24994659260841701"/>
                </patternFill>
              </fill>
            </x14:dxf>
          </x14:cfRule>
          <xm:sqref>M122</xm:sqref>
        </x14:conditionalFormatting>
        <x14:conditionalFormatting xmlns:xm="http://schemas.microsoft.com/office/excel/2006/main">
          <x14:cfRule type="expression" priority="25" id="{755FF89B-558D-48D6-A0F7-26766FF485E8}">
            <xm:f>AND('Part 1'!$Q$233=0)=TRUE</xm:f>
            <x14:dxf>
              <fill>
                <patternFill>
                  <bgColor theme="0" tint="-0.24994659260841701"/>
                </patternFill>
              </fill>
            </x14:dxf>
          </x14:cfRule>
          <xm:sqref>M125</xm:sqref>
        </x14:conditionalFormatting>
        <x14:conditionalFormatting xmlns:xm="http://schemas.microsoft.com/office/excel/2006/main">
          <x14:cfRule type="expression" priority="22" id="{E036D154-9B01-4153-99E6-F06BC74BECB0}">
            <xm:f>AND('Part 1'!$Q$233=0)=TRUE</xm:f>
            <x14:dxf>
              <fill>
                <patternFill>
                  <bgColor theme="0" tint="-0.24994659260841701"/>
                </patternFill>
              </fill>
            </x14:dxf>
          </x14:cfRule>
          <xm:sqref>M128</xm:sqref>
        </x14:conditionalFormatting>
        <x14:conditionalFormatting xmlns:xm="http://schemas.microsoft.com/office/excel/2006/main">
          <x14:cfRule type="expression" priority="19" id="{F91FC7F0-C4C4-4B2F-B331-81C33B517BAF}">
            <xm:f>AND('Part 1'!$Q$233=0)=TRUE</xm:f>
            <x14:dxf>
              <fill>
                <patternFill>
                  <bgColor theme="0" tint="-0.24994659260841701"/>
                </patternFill>
              </fill>
            </x14:dxf>
          </x14:cfRule>
          <xm:sqref>M153</xm:sqref>
        </x14:conditionalFormatting>
        <x14:conditionalFormatting xmlns:xm="http://schemas.microsoft.com/office/excel/2006/main">
          <x14:cfRule type="expression" priority="16" id="{A90CC6E4-6BBC-4DBE-8B94-0B693BCB7085}">
            <xm:f>AND('Part 1'!$Q$233=0)=TRUE</xm:f>
            <x14:dxf>
              <fill>
                <patternFill>
                  <bgColor theme="0" tint="-0.24994659260841701"/>
                </patternFill>
              </fill>
            </x14:dxf>
          </x14:cfRule>
          <xm:sqref>M156</xm:sqref>
        </x14:conditionalFormatting>
        <x14:conditionalFormatting xmlns:xm="http://schemas.microsoft.com/office/excel/2006/main">
          <x14:cfRule type="expression" priority="13" id="{E9D95036-24B5-42FD-94C9-3146FB43FF12}">
            <xm:f>AND('Part 1'!$Q$233=0)=TRUE</xm:f>
            <x14:dxf>
              <fill>
                <patternFill>
                  <bgColor theme="0" tint="-0.24994659260841701"/>
                </patternFill>
              </fill>
            </x14:dxf>
          </x14:cfRule>
          <xm:sqref>M159:M160 N160:O160</xm:sqref>
        </x14:conditionalFormatting>
        <x14:conditionalFormatting xmlns:xm="http://schemas.microsoft.com/office/excel/2006/main">
          <x14:cfRule type="expression" priority="10" id="{03A58F52-4EFD-4E33-AA11-4E64A94593E4}">
            <xm:f>AND('Part 1'!$Q$233=0)=TRUE</xm:f>
            <x14:dxf>
              <fill>
                <patternFill>
                  <bgColor theme="0" tint="-0.24994659260841701"/>
                </patternFill>
              </fill>
            </x14:dxf>
          </x14:cfRule>
          <xm:sqref>M141</xm:sqref>
        </x14:conditionalFormatting>
        <x14:conditionalFormatting xmlns:xm="http://schemas.microsoft.com/office/excel/2006/main">
          <x14:cfRule type="expression" priority="9" id="{0D3608BF-2417-4489-81CE-86E8C137AB04}">
            <xm:f>AND('Part 1'!$Q$233=0)=TRUE</xm:f>
            <x14:dxf>
              <fill>
                <patternFill>
                  <bgColor theme="0" tint="-0.24994659260841701"/>
                </patternFill>
              </fill>
            </x14:dxf>
          </x14:cfRule>
          <xm:sqref>M169</xm:sqref>
        </x14:conditionalFormatting>
        <x14:conditionalFormatting xmlns:xm="http://schemas.microsoft.com/office/excel/2006/main">
          <x14:cfRule type="expression" priority="5" id="{D7EDE75D-13F7-4DF7-96F7-B111E55E89CF}">
            <xm:f>AND('Part 1'!$Q$233=0)=TRUE</xm:f>
            <x14:dxf>
              <fill>
                <patternFill>
                  <bgColor theme="0" tint="-0.24994659260841701"/>
                </patternFill>
              </fill>
            </x14:dxf>
          </x14:cfRule>
          <xm:sqref>M161:P162</xm:sqref>
        </x14:conditionalFormatting>
        <x14:conditionalFormatting xmlns:xm="http://schemas.microsoft.com/office/excel/2006/main">
          <x14:cfRule type="expression" priority="3" id="{C81206D4-5DBD-4AC0-90FB-D3EA53B434D0}">
            <xm:f>AND('Part 1'!$Q$233=0)=TRUE</xm:f>
            <x14:dxf>
              <fill>
                <patternFill>
                  <bgColor theme="0" tint="-0.24994659260841701"/>
                </patternFill>
              </fill>
            </x14:dxf>
          </x14:cfRule>
          <xm:sqref>M162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A86"/>
  <sheetViews>
    <sheetView showGridLines="0" workbookViewId="0"/>
  </sheetViews>
  <sheetFormatPr defaultColWidth="9.140625" defaultRowHeight="15" x14ac:dyDescent="0.2"/>
  <cols>
    <col min="1" max="2" width="1.7109375" style="37" customWidth="1"/>
    <col min="3" max="3" width="21.42578125" style="37" customWidth="1"/>
    <col min="4" max="4" width="11" style="37" customWidth="1"/>
    <col min="5" max="5" width="22.85546875" style="37" customWidth="1"/>
    <col min="6" max="6" width="5.7109375" style="37" customWidth="1"/>
    <col min="7" max="8" width="11.42578125" style="37" customWidth="1"/>
    <col min="9" max="10" width="2.7109375" style="37" customWidth="1"/>
    <col min="11" max="12" width="11.42578125" style="37" customWidth="1"/>
    <col min="13" max="14" width="2.7109375" style="37" customWidth="1"/>
    <col min="15" max="16" width="11.42578125" style="37" customWidth="1"/>
    <col min="17" max="18" width="1.7109375" style="37" customWidth="1"/>
    <col min="19" max="19" width="9.140625" style="37"/>
    <col min="20" max="20" width="10.85546875" style="37" bestFit="1" customWidth="1"/>
    <col min="21" max="21" width="11.28515625" style="495" hidden="1" customWidth="1"/>
    <col min="22" max="22" width="9.140625" style="487" hidden="1" customWidth="1"/>
    <col min="23" max="24" width="9.140625" style="37"/>
    <col min="25" max="25" width="6.42578125" style="37" customWidth="1"/>
    <col min="26" max="16384" width="9.140625" style="37"/>
  </cols>
  <sheetData>
    <row r="1" spans="1:23" x14ac:dyDescent="0.2">
      <c r="A1" s="144"/>
      <c r="B1" s="145"/>
      <c r="C1" s="145"/>
      <c r="D1" s="145"/>
      <c r="E1" s="145"/>
      <c r="F1" s="145"/>
      <c r="G1" s="145"/>
      <c r="H1" s="145"/>
      <c r="I1" s="145"/>
      <c r="J1" s="145"/>
      <c r="K1" s="145"/>
      <c r="L1" s="145"/>
      <c r="M1" s="145"/>
      <c r="N1" s="145"/>
      <c r="O1" s="145"/>
      <c r="P1" s="826"/>
      <c r="Q1" s="826"/>
      <c r="R1" s="146"/>
    </row>
    <row r="2" spans="1:23" ht="15.75" x14ac:dyDescent="0.25">
      <c r="A2" s="2181" t="s">
        <v>36</v>
      </c>
      <c r="B2" s="2182"/>
      <c r="C2" s="2182"/>
      <c r="D2" s="2182"/>
      <c r="E2" s="2182"/>
      <c r="F2" s="2182"/>
      <c r="G2" s="2182"/>
      <c r="H2" s="2182"/>
      <c r="I2" s="2182"/>
      <c r="J2" s="2182"/>
      <c r="K2" s="2182"/>
      <c r="L2" s="2182"/>
      <c r="M2" s="2182"/>
      <c r="N2" s="2182"/>
      <c r="O2" s="2182"/>
      <c r="P2" s="2182"/>
      <c r="Q2" s="2182"/>
      <c r="R2" s="2183"/>
    </row>
    <row r="3" spans="1:23" ht="15.75" x14ac:dyDescent="0.25">
      <c r="A3" s="2105" t="s">
        <v>2119</v>
      </c>
      <c r="B3" s="2184"/>
      <c r="C3" s="2184"/>
      <c r="D3" s="2184"/>
      <c r="E3" s="2184"/>
      <c r="F3" s="2184"/>
      <c r="G3" s="2184"/>
      <c r="H3" s="2184"/>
      <c r="I3" s="2184"/>
      <c r="J3" s="2184"/>
      <c r="K3" s="2184"/>
      <c r="L3" s="2184"/>
      <c r="M3" s="2184"/>
      <c r="N3" s="2184"/>
      <c r="O3" s="2184"/>
      <c r="P3" s="2184"/>
      <c r="Q3" s="2184"/>
      <c r="R3" s="2185"/>
    </row>
    <row r="4" spans="1:23" ht="15.75" x14ac:dyDescent="0.25">
      <c r="A4" s="818"/>
      <c r="B4" s="822"/>
      <c r="C4" s="822"/>
      <c r="D4" s="822"/>
      <c r="E4" s="822"/>
      <c r="F4" s="822"/>
      <c r="G4" s="822"/>
      <c r="H4" s="822"/>
      <c r="I4" s="822"/>
      <c r="J4" s="822"/>
      <c r="K4" s="822"/>
      <c r="L4" s="822"/>
      <c r="M4" s="822"/>
      <c r="N4" s="822"/>
      <c r="O4" s="822"/>
      <c r="P4" s="822"/>
      <c r="Q4" s="822"/>
      <c r="R4" s="823"/>
    </row>
    <row r="5" spans="1:23" x14ac:dyDescent="0.2">
      <c r="A5" s="2085" t="s">
        <v>1070</v>
      </c>
      <c r="B5" s="2086"/>
      <c r="C5" s="2086"/>
      <c r="D5" s="2086"/>
      <c r="E5" s="2086"/>
      <c r="F5" s="2086"/>
      <c r="G5" s="2086"/>
      <c r="H5" s="2086"/>
      <c r="I5" s="2086"/>
      <c r="J5" s="2086"/>
      <c r="K5" s="2086"/>
      <c r="L5" s="2086"/>
      <c r="M5" s="2086"/>
      <c r="N5" s="2086"/>
      <c r="O5" s="2086"/>
      <c r="P5" s="2086"/>
      <c r="Q5" s="2086"/>
      <c r="R5" s="2087"/>
    </row>
    <row r="6" spans="1:23" x14ac:dyDescent="0.2">
      <c r="A6" s="821"/>
      <c r="B6" s="822"/>
      <c r="C6" s="822"/>
      <c r="D6" s="822"/>
      <c r="E6" s="822"/>
      <c r="F6" s="822"/>
      <c r="G6" s="822"/>
      <c r="H6" s="822"/>
      <c r="I6" s="822"/>
      <c r="J6" s="822"/>
      <c r="K6" s="822"/>
      <c r="L6" s="822"/>
      <c r="M6" s="822"/>
      <c r="N6" s="822"/>
      <c r="O6" s="822"/>
      <c r="P6" s="822"/>
      <c r="Q6" s="822"/>
      <c r="R6" s="823"/>
    </row>
    <row r="7" spans="1:23" x14ac:dyDescent="0.2">
      <c r="A7" s="2085" t="str">
        <f>+IF('Main Validation'!M48=0,"If you are content with your answers please return this form to DCLG as soon as possible","Please check the Validation tab and answer the validation queries that need to be answered")</f>
        <v>Please check the Validation tab and answer the validation queries that need to be answered</v>
      </c>
      <c r="B7" s="2086"/>
      <c r="C7" s="2086"/>
      <c r="D7" s="2086"/>
      <c r="E7" s="2086"/>
      <c r="F7" s="2086"/>
      <c r="G7" s="2086"/>
      <c r="H7" s="2086"/>
      <c r="I7" s="2086"/>
      <c r="J7" s="2086"/>
      <c r="K7" s="2086"/>
      <c r="L7" s="2086"/>
      <c r="M7" s="2086"/>
      <c r="N7" s="2086"/>
      <c r="O7" s="2086"/>
      <c r="P7" s="2086"/>
      <c r="Q7" s="2086"/>
      <c r="R7" s="2087"/>
      <c r="W7" s="9"/>
    </row>
    <row r="8" spans="1:23" ht="15.75" thickBot="1" x14ac:dyDescent="0.25">
      <c r="A8" s="147"/>
      <c r="B8" s="148"/>
      <c r="C8" s="148"/>
      <c r="D8" s="148"/>
      <c r="E8" s="148"/>
      <c r="F8" s="148"/>
      <c r="G8" s="148"/>
      <c r="H8" s="148"/>
      <c r="I8" s="148"/>
      <c r="J8" s="148"/>
      <c r="K8" s="148"/>
      <c r="L8" s="148"/>
      <c r="M8" s="148"/>
      <c r="N8" s="148"/>
      <c r="O8" s="971" t="s">
        <v>1195</v>
      </c>
      <c r="P8" s="972">
        <f>+'Part 1'!X21</f>
        <v>1</v>
      </c>
      <c r="Q8" s="827"/>
      <c r="R8" s="149"/>
    </row>
    <row r="9" spans="1:23" x14ac:dyDescent="0.2">
      <c r="A9" s="23"/>
      <c r="B9" s="2"/>
      <c r="C9" s="2228"/>
      <c r="D9" s="2228"/>
      <c r="E9" s="2228"/>
      <c r="F9" s="2228"/>
      <c r="G9" s="2228"/>
      <c r="H9" s="2"/>
      <c r="I9" s="2"/>
      <c r="J9" s="2"/>
      <c r="K9" s="2"/>
      <c r="L9" s="2"/>
      <c r="M9" s="2"/>
      <c r="N9" s="2"/>
      <c r="O9" s="2"/>
      <c r="P9" s="2"/>
      <c r="Q9" s="2"/>
      <c r="R9" s="125"/>
    </row>
    <row r="10" spans="1:23" ht="18" x14ac:dyDescent="0.25">
      <c r="A10" s="45"/>
      <c r="B10" s="27"/>
      <c r="C10" s="151" t="str">
        <f>+CONCATENATE("Local Authority : ",+'Part 1'!L16)</f>
        <v>Local Authority : ZZZZ</v>
      </c>
      <c r="D10" s="151"/>
      <c r="E10" s="829"/>
      <c r="F10" s="829"/>
      <c r="G10" s="829"/>
      <c r="H10" s="27"/>
      <c r="I10" s="27"/>
      <c r="J10" s="27"/>
      <c r="K10" s="27"/>
      <c r="L10" s="27"/>
      <c r="M10" s="27"/>
      <c r="N10" s="27"/>
      <c r="O10" s="27"/>
      <c r="P10" s="27"/>
      <c r="Q10" s="27"/>
      <c r="R10" s="28"/>
    </row>
    <row r="11" spans="1:23" ht="15.75" x14ac:dyDescent="0.25">
      <c r="A11" s="41"/>
      <c r="B11" s="829"/>
      <c r="C11" s="829"/>
      <c r="D11" s="829"/>
      <c r="E11" s="42"/>
      <c r="F11" s="44"/>
      <c r="G11" s="44"/>
      <c r="H11" s="44"/>
      <c r="I11" s="44"/>
      <c r="J11" s="27"/>
      <c r="K11" s="27"/>
      <c r="L11" s="27"/>
      <c r="M11" s="27"/>
      <c r="N11" s="27"/>
      <c r="O11" s="27"/>
      <c r="P11" s="27"/>
      <c r="Q11" s="27"/>
      <c r="R11" s="28"/>
    </row>
    <row r="12" spans="1:23" ht="15.75" x14ac:dyDescent="0.25">
      <c r="A12" s="41"/>
      <c r="B12" s="829"/>
      <c r="C12" s="824" t="s">
        <v>1069</v>
      </c>
      <c r="D12" s="829"/>
      <c r="E12" s="42"/>
      <c r="F12" s="44"/>
      <c r="G12" s="44"/>
      <c r="H12" s="44"/>
      <c r="I12" s="44"/>
      <c r="J12" s="27"/>
      <c r="K12" s="2223"/>
      <c r="L12" s="2223"/>
      <c r="M12" s="2223"/>
      <c r="N12" s="27"/>
      <c r="O12" s="27"/>
      <c r="P12" s="27"/>
      <c r="Q12" s="27"/>
      <c r="R12" s="28"/>
    </row>
    <row r="13" spans="1:23" ht="15.75" customHeight="1" x14ac:dyDescent="0.25">
      <c r="A13" s="43"/>
      <c r="B13" s="42"/>
      <c r="C13" s="2145" t="str">
        <f>+IF('Part 1'!Q233=0,"You should complete column 1 only","You should complete columns 1 &amp; 2")</f>
        <v>You should complete column 1 only</v>
      </c>
      <c r="D13" s="2145"/>
      <c r="E13" s="2145"/>
      <c r="F13" s="831"/>
      <c r="G13" s="2148" t="s">
        <v>794</v>
      </c>
      <c r="H13" s="2148"/>
      <c r="I13" s="44"/>
      <c r="J13" s="1119"/>
      <c r="K13" s="2148" t="s">
        <v>795</v>
      </c>
      <c r="L13" s="2148"/>
      <c r="M13" s="1845"/>
      <c r="N13" s="830"/>
      <c r="O13" s="2227" t="s">
        <v>796</v>
      </c>
      <c r="P13" s="2148"/>
      <c r="Q13" s="830"/>
      <c r="R13" s="28"/>
      <c r="U13" s="2198" t="s">
        <v>1090</v>
      </c>
    </row>
    <row r="14" spans="1:23" ht="15.75" customHeight="1" x14ac:dyDescent="0.25">
      <c r="A14" s="43"/>
      <c r="B14" s="42"/>
      <c r="C14" s="42"/>
      <c r="D14" s="42"/>
      <c r="E14" s="42"/>
      <c r="F14" s="42"/>
      <c r="G14" s="2224" t="s">
        <v>964</v>
      </c>
      <c r="H14" s="2195"/>
      <c r="I14" s="44"/>
      <c r="J14" s="1120"/>
      <c r="K14" s="2225" t="s">
        <v>2288</v>
      </c>
      <c r="L14" s="2226"/>
      <c r="M14" s="839"/>
      <c r="N14" s="840"/>
      <c r="O14" s="2194" t="s">
        <v>35</v>
      </c>
      <c r="P14" s="2195"/>
      <c r="Q14" s="840"/>
      <c r="R14" s="28"/>
      <c r="U14" s="2199"/>
    </row>
    <row r="15" spans="1:23" ht="34.5" customHeight="1" x14ac:dyDescent="0.25">
      <c r="A15" s="43"/>
      <c r="B15" s="42"/>
      <c r="C15" s="42"/>
      <c r="D15" s="42"/>
      <c r="E15" s="42"/>
      <c r="F15" s="42"/>
      <c r="G15" s="2195"/>
      <c r="H15" s="2195"/>
      <c r="I15" s="44"/>
      <c r="J15" s="1120"/>
      <c r="K15" s="2226"/>
      <c r="L15" s="2226"/>
      <c r="M15" s="839"/>
      <c r="N15" s="840"/>
      <c r="O15" s="2195"/>
      <c r="P15" s="2195"/>
      <c r="Q15" s="27"/>
      <c r="R15" s="28"/>
    </row>
    <row r="16" spans="1:23" ht="30" customHeight="1" x14ac:dyDescent="0.25">
      <c r="A16" s="43"/>
      <c r="B16" s="42"/>
      <c r="C16" s="42"/>
      <c r="D16" s="42"/>
      <c r="E16" s="42"/>
      <c r="F16" s="42"/>
      <c r="G16" s="2196" t="s">
        <v>970</v>
      </c>
      <c r="H16" s="2196"/>
      <c r="I16" s="44"/>
      <c r="J16" s="431"/>
      <c r="K16" s="2144"/>
      <c r="L16" s="2144"/>
      <c r="M16" s="839"/>
      <c r="N16" s="431"/>
      <c r="O16" s="2144" t="s">
        <v>971</v>
      </c>
      <c r="P16" s="2144"/>
      <c r="Q16" s="27"/>
      <c r="R16" s="28"/>
      <c r="U16" s="661" t="s">
        <v>965</v>
      </c>
    </row>
    <row r="17" spans="1:27" ht="16.5" thickBot="1" x14ac:dyDescent="0.3">
      <c r="A17" s="43"/>
      <c r="B17" s="829"/>
      <c r="C17" s="829" t="s">
        <v>809</v>
      </c>
      <c r="D17" s="829"/>
      <c r="E17" s="42"/>
      <c r="F17" s="42"/>
      <c r="G17" s="2206" t="s">
        <v>786</v>
      </c>
      <c r="H17" s="2206"/>
      <c r="I17" s="44"/>
      <c r="J17" s="27"/>
      <c r="K17" s="2206" t="s">
        <v>786</v>
      </c>
      <c r="L17" s="2206"/>
      <c r="M17" s="839"/>
      <c r="N17" s="383"/>
      <c r="O17" s="2207" t="s">
        <v>786</v>
      </c>
      <c r="P17" s="2207"/>
      <c r="Q17" s="383"/>
      <c r="R17" s="28"/>
      <c r="U17" s="488"/>
    </row>
    <row r="18" spans="1:27" ht="16.5" thickBot="1" x14ac:dyDescent="0.3">
      <c r="A18" s="43"/>
      <c r="B18" s="42"/>
      <c r="C18" s="2093" t="s">
        <v>838</v>
      </c>
      <c r="D18" s="2202"/>
      <c r="E18" s="2202"/>
      <c r="F18" s="42"/>
      <c r="G18" s="2204">
        <f>+'Part 2'!J181</f>
        <v>0</v>
      </c>
      <c r="H18" s="2205"/>
      <c r="I18" s="44"/>
      <c r="J18" s="134"/>
      <c r="K18" s="2074">
        <f>'Part 2'!N181</f>
        <v>0</v>
      </c>
      <c r="L18" s="2075"/>
      <c r="M18" s="1050"/>
      <c r="N18" s="371"/>
      <c r="O18" s="2200">
        <f>+'Part 2'!R181</f>
        <v>0</v>
      </c>
      <c r="P18" s="2201"/>
      <c r="Q18" s="386"/>
      <c r="R18" s="125"/>
      <c r="U18" s="488">
        <f>IF(+G18+K18-O18=0,0,1)</f>
        <v>0</v>
      </c>
      <c r="W18" s="176"/>
      <c r="AA18" s="9"/>
    </row>
    <row r="19" spans="1:27" ht="15.75" x14ac:dyDescent="0.25">
      <c r="A19" s="43"/>
      <c r="B19" s="42"/>
      <c r="C19" s="2202"/>
      <c r="D19" s="2202"/>
      <c r="E19" s="2202"/>
      <c r="F19" s="42"/>
      <c r="G19" s="134"/>
      <c r="H19" s="134"/>
      <c r="I19" s="44"/>
      <c r="J19" s="757"/>
      <c r="K19" s="757"/>
      <c r="L19" s="757"/>
      <c r="M19" s="757"/>
      <c r="N19" s="371"/>
      <c r="O19" s="371"/>
      <c r="P19" s="371"/>
      <c r="Q19" s="383"/>
      <c r="R19" s="28"/>
      <c r="U19" s="488"/>
    </row>
    <row r="20" spans="1:27" ht="15.75" customHeight="1" x14ac:dyDescent="0.25">
      <c r="A20" s="43"/>
      <c r="B20" s="42"/>
      <c r="C20" s="2203"/>
      <c r="D20" s="2203"/>
      <c r="E20" s="2203"/>
      <c r="F20" s="42"/>
      <c r="G20" s="755"/>
      <c r="H20" s="755"/>
      <c r="I20" s="755"/>
      <c r="J20" s="757"/>
      <c r="K20" s="757"/>
      <c r="L20" s="757"/>
      <c r="M20" s="757"/>
      <c r="N20" s="371"/>
      <c r="O20" s="371"/>
      <c r="P20" s="371"/>
      <c r="Q20" s="383"/>
      <c r="R20" s="28"/>
      <c r="U20" s="488">
        <f>IF(+G18+K18-'Part 2'!R181=0,0,1)</f>
        <v>0</v>
      </c>
    </row>
    <row r="21" spans="1:27" ht="15.75" x14ac:dyDescent="0.25">
      <c r="A21" s="43"/>
      <c r="B21" s="42"/>
      <c r="C21" s="539"/>
      <c r="D21" s="42"/>
      <c r="E21" s="42"/>
      <c r="F21" s="42"/>
      <c r="G21" s="754"/>
      <c r="H21" s="754"/>
      <c r="I21" s="44"/>
      <c r="J21" s="757"/>
      <c r="K21" s="757"/>
      <c r="L21" s="757"/>
      <c r="M21" s="757"/>
      <c r="N21" s="371"/>
      <c r="O21" s="371"/>
      <c r="P21" s="371"/>
      <c r="Q21" s="383"/>
      <c r="R21" s="28"/>
      <c r="U21" s="488"/>
    </row>
    <row r="22" spans="1:27" ht="16.5" thickBot="1" x14ac:dyDescent="0.3">
      <c r="A22" s="43"/>
      <c r="B22" s="44"/>
      <c r="C22" s="44" t="s">
        <v>824</v>
      </c>
      <c r="D22" s="42"/>
      <c r="E22" s="42"/>
      <c r="F22" s="42"/>
      <c r="G22" s="134"/>
      <c r="H22" s="134"/>
      <c r="I22" s="44"/>
      <c r="J22" s="134"/>
      <c r="K22" s="134"/>
      <c r="L22" s="134"/>
      <c r="M22" s="839"/>
      <c r="N22" s="371"/>
      <c r="O22" s="371"/>
      <c r="P22" s="371"/>
      <c r="Q22" s="383"/>
      <c r="R22" s="28"/>
      <c r="U22" s="488"/>
    </row>
    <row r="23" spans="1:27" ht="16.5" thickBot="1" x14ac:dyDescent="0.3">
      <c r="A23" s="43"/>
      <c r="B23" s="42"/>
      <c r="C23" s="2093" t="s">
        <v>2147</v>
      </c>
      <c r="D23" s="2093"/>
      <c r="E23" s="2093"/>
      <c r="F23" s="42"/>
      <c r="G23" s="2072">
        <v>0</v>
      </c>
      <c r="H23" s="2073"/>
      <c r="I23" s="44"/>
      <c r="J23" s="134"/>
      <c r="K23" s="2074">
        <f>'Part 3 DA summary'!G6</f>
        <v>0</v>
      </c>
      <c r="L23" s="2075"/>
      <c r="M23" s="839"/>
      <c r="N23" s="371"/>
      <c r="O23" s="2200">
        <f>+G23+K23</f>
        <v>0</v>
      </c>
      <c r="P23" s="2201"/>
      <c r="Q23" s="386"/>
      <c r="R23" s="125"/>
      <c r="U23" s="488">
        <f>IF(+G23+K23-O23=0,0,1)</f>
        <v>0</v>
      </c>
      <c r="W23" s="9"/>
      <c r="X23" s="437"/>
    </row>
    <row r="24" spans="1:27" ht="15.75" x14ac:dyDescent="0.25">
      <c r="A24" s="43"/>
      <c r="B24" s="42"/>
      <c r="C24" s="2093"/>
      <c r="D24" s="2093"/>
      <c r="E24" s="2093"/>
      <c r="F24" s="42"/>
      <c r="G24" s="134"/>
      <c r="H24" s="134"/>
      <c r="I24" s="44"/>
      <c r="J24" s="134"/>
      <c r="K24" s="134"/>
      <c r="L24" s="134"/>
      <c r="M24" s="839"/>
      <c r="N24" s="371"/>
      <c r="O24" s="371"/>
      <c r="P24" s="371"/>
      <c r="Q24" s="383"/>
      <c r="R24" s="28"/>
      <c r="U24" s="488"/>
    </row>
    <row r="25" spans="1:27" ht="16.5" thickBot="1" x14ac:dyDescent="0.3">
      <c r="A25" s="43"/>
      <c r="B25" s="42"/>
      <c r="C25" s="825"/>
      <c r="D25" s="825"/>
      <c r="E25" s="825"/>
      <c r="F25" s="42"/>
      <c r="G25" s="134"/>
      <c r="H25" s="134"/>
      <c r="I25" s="44"/>
      <c r="J25" s="134"/>
      <c r="K25" s="134"/>
      <c r="L25" s="134"/>
      <c r="M25" s="839"/>
      <c r="N25" s="371"/>
      <c r="O25" s="371"/>
      <c r="P25" s="371"/>
      <c r="Q25" s="383"/>
      <c r="R25" s="28"/>
      <c r="U25" s="488"/>
    </row>
    <row r="26" spans="1:27" ht="16.5" customHeight="1" thickBot="1" x14ac:dyDescent="0.3">
      <c r="A26" s="43"/>
      <c r="B26" s="42"/>
      <c r="C26" s="2093" t="s">
        <v>2148</v>
      </c>
      <c r="D26" s="2093"/>
      <c r="E26" s="2093"/>
      <c r="F26" s="42"/>
      <c r="G26" s="2072">
        <v>0</v>
      </c>
      <c r="H26" s="2073"/>
      <c r="I26" s="44"/>
      <c r="J26" s="134"/>
      <c r="K26" s="2074">
        <f>'Part 3 DA summary'!I6</f>
        <v>0</v>
      </c>
      <c r="L26" s="2075"/>
      <c r="M26" s="839"/>
      <c r="N26" s="371"/>
      <c r="O26" s="2200">
        <f>+G26+K26</f>
        <v>0</v>
      </c>
      <c r="P26" s="2201"/>
      <c r="Q26" s="386"/>
      <c r="R26" s="125"/>
      <c r="U26" s="488">
        <f>IF(+G26+K26-O26=0,0,1)</f>
        <v>0</v>
      </c>
      <c r="W26" s="9"/>
      <c r="X26" s="437"/>
    </row>
    <row r="27" spans="1:27" ht="15.75" x14ac:dyDescent="0.25">
      <c r="A27" s="43"/>
      <c r="B27" s="42"/>
      <c r="C27" s="2093"/>
      <c r="D27" s="2093"/>
      <c r="E27" s="2093"/>
      <c r="F27" s="42"/>
      <c r="G27" s="135"/>
      <c r="H27" s="135"/>
      <c r="I27" s="44"/>
      <c r="J27" s="134"/>
      <c r="K27" s="135"/>
      <c r="L27" s="135"/>
      <c r="M27" s="839"/>
      <c r="N27" s="371"/>
      <c r="O27" s="836"/>
      <c r="P27" s="371"/>
      <c r="Q27" s="386"/>
      <c r="R27" s="28"/>
      <c r="U27" s="488"/>
    </row>
    <row r="28" spans="1:27" ht="16.5" thickBot="1" x14ac:dyDescent="0.25">
      <c r="A28" s="43"/>
      <c r="B28" s="42"/>
      <c r="C28" s="820"/>
      <c r="D28" s="820"/>
      <c r="E28" s="820"/>
      <c r="F28" s="42"/>
      <c r="G28" s="135"/>
      <c r="H28" s="135"/>
      <c r="I28" s="1174"/>
      <c r="J28" s="1174"/>
      <c r="K28" s="135"/>
      <c r="L28" s="135"/>
      <c r="M28" s="135"/>
      <c r="N28" s="371"/>
      <c r="O28" s="836"/>
      <c r="P28" s="371"/>
      <c r="Q28" s="386"/>
      <c r="R28" s="28"/>
      <c r="U28" s="488"/>
    </row>
    <row r="29" spans="1:27" ht="15.75" x14ac:dyDescent="0.2">
      <c r="A29" s="43"/>
      <c r="B29" s="361"/>
      <c r="C29" s="362"/>
      <c r="D29" s="362"/>
      <c r="E29" s="362"/>
      <c r="F29" s="363"/>
      <c r="G29" s="364"/>
      <c r="H29" s="364"/>
      <c r="I29" s="1175"/>
      <c r="J29" s="638"/>
      <c r="K29" s="364"/>
      <c r="L29" s="364"/>
      <c r="M29" s="364"/>
      <c r="N29" s="634"/>
      <c r="O29" s="373"/>
      <c r="P29" s="374"/>
      <c r="Q29" s="387"/>
      <c r="R29" s="28"/>
      <c r="U29" s="488"/>
    </row>
    <row r="30" spans="1:27" ht="16.5" thickBot="1" x14ac:dyDescent="0.3">
      <c r="A30" s="43"/>
      <c r="B30" s="365"/>
      <c r="C30" s="44" t="s">
        <v>647</v>
      </c>
      <c r="D30" s="42"/>
      <c r="E30" s="42"/>
      <c r="F30" s="42"/>
      <c r="G30" s="134"/>
      <c r="H30" s="134"/>
      <c r="I30" s="44"/>
      <c r="J30" s="1181"/>
      <c r="K30" s="134"/>
      <c r="L30" s="134"/>
      <c r="M30" s="839"/>
      <c r="N30" s="635"/>
      <c r="O30" s="371"/>
      <c r="P30" s="371"/>
      <c r="Q30" s="388"/>
      <c r="R30" s="28"/>
      <c r="U30" s="488"/>
    </row>
    <row r="31" spans="1:27" ht="16.5" thickBot="1" x14ac:dyDescent="0.3">
      <c r="A31" s="43"/>
      <c r="B31" s="366"/>
      <c r="C31" s="672" t="s">
        <v>830</v>
      </c>
      <c r="D31" s="42"/>
      <c r="E31" s="42"/>
      <c r="F31" s="42"/>
      <c r="G31" s="2139">
        <f>+G18+G23+G26</f>
        <v>0</v>
      </c>
      <c r="H31" s="2140"/>
      <c r="I31" s="44"/>
      <c r="J31" s="1181"/>
      <c r="K31" s="2212">
        <f>+K18+K23+K26</f>
        <v>0</v>
      </c>
      <c r="L31" s="2213"/>
      <c r="M31" s="839"/>
      <c r="N31" s="635"/>
      <c r="O31" s="2200">
        <f>+G31+K31</f>
        <v>0</v>
      </c>
      <c r="P31" s="2201"/>
      <c r="Q31" s="388"/>
      <c r="R31" s="28"/>
      <c r="U31" s="488">
        <f>IF(+G31+K31-O31=0,0,1)</f>
        <v>0</v>
      </c>
      <c r="W31" s="9"/>
    </row>
    <row r="32" spans="1:27" ht="16.5" thickBot="1" x14ac:dyDescent="0.25">
      <c r="A32" s="43"/>
      <c r="B32" s="367"/>
      <c r="C32" s="368"/>
      <c r="D32" s="368"/>
      <c r="E32" s="368"/>
      <c r="F32" s="368"/>
      <c r="G32" s="369"/>
      <c r="H32" s="369"/>
      <c r="I32" s="1174"/>
      <c r="J32" s="637"/>
      <c r="K32" s="369"/>
      <c r="L32" s="369"/>
      <c r="M32" s="369"/>
      <c r="N32" s="636"/>
      <c r="O32" s="375"/>
      <c r="P32" s="375"/>
      <c r="Q32" s="389"/>
      <c r="R32" s="28"/>
      <c r="U32" s="488"/>
    </row>
    <row r="33" spans="1:27" ht="15.75" x14ac:dyDescent="0.25">
      <c r="A33" s="43"/>
      <c r="B33" s="42"/>
      <c r="C33" s="42"/>
      <c r="D33" s="42"/>
      <c r="E33" s="42"/>
      <c r="F33" s="42"/>
      <c r="G33" s="134"/>
      <c r="H33" s="134"/>
      <c r="I33" s="1175"/>
      <c r="J33" s="1175"/>
      <c r="K33" s="134"/>
      <c r="L33" s="134"/>
      <c r="M33" s="839"/>
      <c r="N33" s="371"/>
      <c r="O33" s="371"/>
      <c r="P33" s="371"/>
      <c r="Q33" s="383"/>
      <c r="R33" s="28"/>
      <c r="U33" s="488">
        <f>+IF(G$18+G$23+G$26-G$31=0,0,1)</f>
        <v>0</v>
      </c>
    </row>
    <row r="34" spans="1:27" ht="15" customHeight="1" x14ac:dyDescent="0.25">
      <c r="A34" s="43"/>
      <c r="B34" s="42"/>
      <c r="C34" s="44"/>
      <c r="D34" s="42"/>
      <c r="E34" s="2194"/>
      <c r="F34" s="42"/>
      <c r="G34" s="134"/>
      <c r="H34" s="134"/>
      <c r="I34" s="44"/>
      <c r="J34" s="134"/>
      <c r="K34" s="134"/>
      <c r="L34" s="134"/>
      <c r="M34" s="839"/>
      <c r="N34" s="1182"/>
      <c r="O34" s="432"/>
      <c r="P34" s="432"/>
      <c r="Q34" s="383"/>
      <c r="R34" s="28"/>
      <c r="U34" s="488">
        <f>+IF(O$18+O$23+O$26-O$31=0,0,1)</f>
        <v>0</v>
      </c>
      <c r="AA34" s="435"/>
    </row>
    <row r="35" spans="1:27" ht="15" customHeight="1" thickBot="1" x14ac:dyDescent="0.3">
      <c r="A35" s="43"/>
      <c r="B35" s="42"/>
      <c r="C35" s="16" t="s">
        <v>2181</v>
      </c>
      <c r="D35" s="42"/>
      <c r="E35" s="2195"/>
      <c r="F35" s="42"/>
      <c r="G35" s="134"/>
      <c r="H35" s="134"/>
      <c r="I35" s="44"/>
      <c r="J35" s="134"/>
      <c r="K35" s="134"/>
      <c r="L35" s="134"/>
      <c r="M35" s="839"/>
      <c r="N35" s="371"/>
      <c r="O35" s="2214"/>
      <c r="P35" s="2214"/>
      <c r="Q35" s="383"/>
      <c r="R35" s="28"/>
      <c r="U35" s="488"/>
      <c r="AA35" s="435"/>
    </row>
    <row r="36" spans="1:27" ht="16.5" thickBot="1" x14ac:dyDescent="0.3">
      <c r="A36" s="43"/>
      <c r="B36" s="27"/>
      <c r="C36" s="10" t="s">
        <v>270</v>
      </c>
      <c r="D36" s="27"/>
      <c r="E36" s="2194"/>
      <c r="F36" s="42"/>
      <c r="G36" s="2072">
        <v>0</v>
      </c>
      <c r="H36" s="2073"/>
      <c r="I36" s="44"/>
      <c r="J36" s="134"/>
      <c r="K36" s="2074">
        <f>'Part 3 DA summary'!M6</f>
        <v>0</v>
      </c>
      <c r="L36" s="2075"/>
      <c r="M36" s="839"/>
      <c r="N36" s="371"/>
      <c r="O36" s="2200">
        <f>+G36+K36</f>
        <v>0</v>
      </c>
      <c r="P36" s="2201"/>
      <c r="Q36" s="386"/>
      <c r="R36" s="125"/>
      <c r="U36" s="488">
        <f>IF(+G36+K36-O36=0,0,1)</f>
        <v>0</v>
      </c>
      <c r="W36" s="9"/>
      <c r="X36" s="437"/>
      <c r="AA36" s="435"/>
    </row>
    <row r="37" spans="1:27" ht="16.5" thickBot="1" x14ac:dyDescent="0.3">
      <c r="A37" s="43"/>
      <c r="B37" s="27"/>
      <c r="C37" s="27"/>
      <c r="D37" s="27"/>
      <c r="E37" s="2195"/>
      <c r="F37" s="42"/>
      <c r="G37" s="42"/>
      <c r="H37" s="42"/>
      <c r="I37" s="44"/>
      <c r="J37" s="134"/>
      <c r="K37" s="134"/>
      <c r="L37" s="134"/>
      <c r="M37" s="839"/>
      <c r="N37" s="371"/>
      <c r="O37" s="371"/>
      <c r="P37" s="371"/>
      <c r="Q37" s="383"/>
      <c r="R37" s="28"/>
      <c r="U37" s="488"/>
      <c r="AA37" s="435"/>
    </row>
    <row r="38" spans="1:27" ht="16.5" thickBot="1" x14ac:dyDescent="0.3">
      <c r="A38" s="43"/>
      <c r="B38" s="27"/>
      <c r="C38" s="10" t="s">
        <v>271</v>
      </c>
      <c r="D38" s="27"/>
      <c r="E38" s="42"/>
      <c r="F38" s="27"/>
      <c r="G38" s="42"/>
      <c r="H38" s="42"/>
      <c r="I38" s="44"/>
      <c r="J38" s="134"/>
      <c r="K38" s="2074">
        <f>'Part 2'!N50</f>
        <v>0</v>
      </c>
      <c r="L38" s="2075"/>
      <c r="M38" s="839"/>
      <c r="N38" s="371"/>
      <c r="O38" s="2214"/>
      <c r="P38" s="2214"/>
      <c r="Q38" s="383"/>
      <c r="R38" s="28"/>
      <c r="U38" s="488"/>
      <c r="AA38" s="435"/>
    </row>
    <row r="39" spans="1:27" ht="15.75" customHeight="1" thickBot="1" x14ac:dyDescent="0.3">
      <c r="A39" s="43"/>
      <c r="B39" s="27"/>
      <c r="C39" s="539"/>
      <c r="D39" s="539"/>
      <c r="E39" s="837"/>
      <c r="F39" s="539"/>
      <c r="G39" s="42"/>
      <c r="H39" s="42"/>
      <c r="I39" s="44"/>
      <c r="J39" s="539"/>
      <c r="K39" s="539"/>
      <c r="L39" s="539"/>
      <c r="M39" s="839"/>
      <c r="N39" s="371"/>
      <c r="O39" s="371"/>
      <c r="P39" s="371"/>
      <c r="Q39" s="383"/>
      <c r="R39" s="28"/>
      <c r="U39" s="488"/>
      <c r="AA39" s="435"/>
    </row>
    <row r="40" spans="1:27" ht="16.5" thickBot="1" x14ac:dyDescent="0.3">
      <c r="A40" s="45"/>
      <c r="B40" s="27"/>
      <c r="C40" s="27" t="s">
        <v>272</v>
      </c>
      <c r="D40" s="27"/>
      <c r="E40" s="27"/>
      <c r="F40" s="27"/>
      <c r="G40" s="42"/>
      <c r="H40" s="42"/>
      <c r="I40" s="42"/>
      <c r="J40" s="134"/>
      <c r="K40" s="2215">
        <f>'Part 3 DA summary'!Q6</f>
        <v>0</v>
      </c>
      <c r="L40" s="2216"/>
      <c r="M40" s="839"/>
      <c r="N40" s="371"/>
      <c r="O40" s="371"/>
      <c r="P40" s="371"/>
      <c r="Q40" s="383"/>
      <c r="R40" s="28"/>
      <c r="T40" s="487"/>
      <c r="U40" s="1035"/>
      <c r="V40" s="487">
        <f>VLOOKUP('Part 1'!$L$17,TierSplit!$A$6:$AE$332,23,0)</f>
        <v>0</v>
      </c>
      <c r="W40" s="487">
        <f>VLOOKUP('Part 1'!$L$17,TierSplit!$A$6:$AE$332,24,0)</f>
        <v>0</v>
      </c>
      <c r="X40" s="487">
        <f>VLOOKUP('Part 1'!$L$17,TierSplit!$A$6:$AE$332,25,0)</f>
        <v>0</v>
      </c>
      <c r="AA40" s="435"/>
    </row>
    <row r="41" spans="1:27" ht="16.5" thickBot="1" x14ac:dyDescent="0.25">
      <c r="A41" s="45"/>
      <c r="B41" s="27"/>
      <c r="C41" s="27"/>
      <c r="D41" s="27"/>
      <c r="E41" s="27"/>
      <c r="F41" s="27"/>
      <c r="G41" s="134"/>
      <c r="H41" s="134"/>
      <c r="I41" s="134"/>
      <c r="J41" s="134"/>
      <c r="K41" s="135"/>
      <c r="L41" s="134"/>
      <c r="M41" s="134"/>
      <c r="N41" s="371"/>
      <c r="O41" s="371"/>
      <c r="P41" s="371"/>
      <c r="Q41" s="383"/>
      <c r="R41" s="28"/>
      <c r="U41" s="488"/>
      <c r="AA41" s="435"/>
    </row>
    <row r="42" spans="1:27" x14ac:dyDescent="0.2">
      <c r="A42" s="45"/>
      <c r="B42" s="38"/>
      <c r="C42" s="31"/>
      <c r="D42" s="31"/>
      <c r="E42" s="31"/>
      <c r="F42" s="31"/>
      <c r="G42" s="141"/>
      <c r="H42" s="141"/>
      <c r="I42" s="1176"/>
      <c r="J42" s="1180"/>
      <c r="K42" s="141"/>
      <c r="L42" s="141"/>
      <c r="M42" s="141"/>
      <c r="N42" s="374"/>
      <c r="O42" s="2217"/>
      <c r="P42" s="2218"/>
      <c r="Q42" s="390"/>
      <c r="R42" s="28"/>
      <c r="U42" s="488"/>
    </row>
    <row r="43" spans="1:27" ht="16.5" thickBot="1" x14ac:dyDescent="0.3">
      <c r="A43" s="45"/>
      <c r="B43" s="39"/>
      <c r="C43" s="33" t="s">
        <v>829</v>
      </c>
      <c r="D43" s="34"/>
      <c r="E43" s="34"/>
      <c r="F43" s="34"/>
      <c r="G43" s="2222"/>
      <c r="H43" s="2222"/>
      <c r="I43" s="838"/>
      <c r="J43" s="632"/>
      <c r="K43" s="2222"/>
      <c r="L43" s="2222"/>
      <c r="M43" s="838"/>
      <c r="N43" s="628"/>
      <c r="O43" s="2219"/>
      <c r="P43" s="2219"/>
      <c r="Q43" s="388"/>
      <c r="R43" s="28"/>
      <c r="U43" s="488"/>
    </row>
    <row r="44" spans="1:27" ht="16.5" thickBot="1" x14ac:dyDescent="0.25">
      <c r="A44" s="45"/>
      <c r="B44" s="39"/>
      <c r="C44" s="8" t="s">
        <v>284</v>
      </c>
      <c r="D44" s="34"/>
      <c r="E44" s="34"/>
      <c r="F44" s="34"/>
      <c r="G44" s="435"/>
      <c r="H44" s="435"/>
      <c r="I44" s="435"/>
      <c r="J44" s="633"/>
      <c r="K44" s="2212">
        <f>'Part 3 DA summary'!S6</f>
        <v>0</v>
      </c>
      <c r="L44" s="2213"/>
      <c r="M44" s="142"/>
      <c r="N44" s="371"/>
      <c r="O44" s="2220">
        <f>+K44</f>
        <v>0</v>
      </c>
      <c r="P44" s="2221"/>
      <c r="Q44" s="388"/>
      <c r="R44" s="125"/>
      <c r="U44" s="488">
        <f>IF(+K44-O44=0,0,1)</f>
        <v>0</v>
      </c>
      <c r="W44" s="9"/>
    </row>
    <row r="45" spans="1:27" ht="15.75" thickBot="1" x14ac:dyDescent="0.25">
      <c r="A45" s="45"/>
      <c r="B45" s="40"/>
      <c r="C45" s="36"/>
      <c r="D45" s="36"/>
      <c r="E45" s="36"/>
      <c r="F45" s="36"/>
      <c r="G45" s="36"/>
      <c r="H45" s="36"/>
      <c r="I45" s="36"/>
      <c r="J45" s="40"/>
      <c r="K45" s="36"/>
      <c r="L45" s="36"/>
      <c r="M45" s="36"/>
      <c r="N45" s="399"/>
      <c r="O45" s="399"/>
      <c r="P45" s="399"/>
      <c r="Q45" s="389"/>
      <c r="R45" s="28"/>
      <c r="U45" s="494"/>
    </row>
    <row r="46" spans="1:27" x14ac:dyDescent="0.2">
      <c r="A46" s="45"/>
      <c r="B46" s="962"/>
      <c r="C46" s="962"/>
      <c r="D46" s="962"/>
      <c r="E46" s="962"/>
      <c r="F46" s="962"/>
      <c r="G46" s="962"/>
      <c r="H46" s="962"/>
      <c r="I46" s="1177"/>
      <c r="J46" s="962"/>
      <c r="K46" s="962"/>
      <c r="L46" s="962"/>
      <c r="M46" s="962"/>
      <c r="N46" s="1183"/>
      <c r="O46" s="383"/>
      <c r="P46" s="383"/>
      <c r="Q46" s="383"/>
      <c r="R46" s="28"/>
      <c r="U46" s="1064"/>
    </row>
    <row r="47" spans="1:27" ht="15.75" x14ac:dyDescent="0.25">
      <c r="A47" s="45"/>
      <c r="B47" s="962"/>
      <c r="C47" s="1065" t="s">
        <v>2361</v>
      </c>
      <c r="D47" s="962"/>
      <c r="E47" s="962"/>
      <c r="F47" s="962"/>
      <c r="G47" s="962"/>
      <c r="H47" s="962"/>
      <c r="I47" s="962"/>
      <c r="J47" s="962"/>
      <c r="K47" s="962"/>
      <c r="L47" s="962"/>
      <c r="M47" s="962"/>
      <c r="N47" s="383"/>
      <c r="O47" s="383"/>
      <c r="P47" s="383"/>
      <c r="Q47" s="383"/>
      <c r="R47" s="28"/>
      <c r="U47" s="1064"/>
    </row>
    <row r="48" spans="1:27" ht="15.75" thickBot="1" x14ac:dyDescent="0.25">
      <c r="A48" s="45"/>
      <c r="B48" s="962"/>
      <c r="C48" s="962"/>
      <c r="D48" s="962"/>
      <c r="E48" s="962"/>
      <c r="F48" s="962"/>
      <c r="G48" s="962"/>
      <c r="H48" s="962"/>
      <c r="I48" s="962"/>
      <c r="J48" s="962"/>
      <c r="K48" s="962"/>
      <c r="L48" s="962"/>
      <c r="M48" s="962"/>
      <c r="N48" s="383"/>
      <c r="O48" s="383"/>
      <c r="P48" s="383"/>
      <c r="Q48" s="383"/>
      <c r="R48" s="28"/>
      <c r="U48" s="1064"/>
    </row>
    <row r="49" spans="1:22" ht="16.5" thickBot="1" x14ac:dyDescent="0.3">
      <c r="A49" s="45"/>
      <c r="B49" s="962"/>
      <c r="C49" s="10" t="s">
        <v>3099</v>
      </c>
      <c r="D49" s="962"/>
      <c r="E49" s="962"/>
      <c r="F49" s="962"/>
      <c r="G49" s="2074">
        <f>IF(VLOOKUP('Part 1'!$L17,TierSplit!$A$6:$AG$332,10,FALSE)=1,+'Part 2'!J132*-1,0)</f>
        <v>0</v>
      </c>
      <c r="H49" s="2075"/>
      <c r="I49" s="44"/>
      <c r="J49" s="962"/>
      <c r="K49" s="2074">
        <f>IF(VLOOKUP('Part 1'!$L17,TierSplit!$A$6:$AG$332,10,FALSE)=1,'Part 2'!N131*-1,0)</f>
        <v>0</v>
      </c>
      <c r="L49" s="2075"/>
      <c r="M49" s="962"/>
      <c r="N49" s="371"/>
      <c r="O49" s="2200">
        <f>+G49+K49</f>
        <v>0</v>
      </c>
      <c r="P49" s="2201"/>
      <c r="Q49" s="383"/>
      <c r="R49" s="28"/>
      <c r="T49" s="468"/>
      <c r="U49" s="1064">
        <f>IF(+G49+K49+-O49=0,0,1)</f>
        <v>0</v>
      </c>
    </row>
    <row r="50" spans="1:22" ht="15.75" x14ac:dyDescent="0.25">
      <c r="A50" s="45"/>
      <c r="B50" s="962"/>
      <c r="C50" s="385"/>
      <c r="D50" s="962"/>
      <c r="E50" s="962"/>
      <c r="F50" s="962"/>
      <c r="G50" s="962"/>
      <c r="H50" s="962"/>
      <c r="I50" s="44"/>
      <c r="J50" s="962"/>
      <c r="K50" s="962"/>
      <c r="L50" s="962"/>
      <c r="M50" s="962"/>
      <c r="N50" s="371"/>
      <c r="O50" s="1118"/>
      <c r="P50" s="1118"/>
      <c r="Q50" s="383"/>
      <c r="R50" s="28"/>
      <c r="T50" s="468"/>
      <c r="U50" s="1064"/>
    </row>
    <row r="51" spans="1:22" x14ac:dyDescent="0.2">
      <c r="A51" s="45"/>
      <c r="B51" s="962"/>
      <c r="C51" s="962"/>
      <c r="D51" s="962"/>
      <c r="E51" s="962"/>
      <c r="F51" s="962"/>
      <c r="G51" s="962"/>
      <c r="H51" s="962"/>
      <c r="I51" s="962"/>
      <c r="J51" s="962"/>
      <c r="K51" s="962"/>
      <c r="L51" s="962"/>
      <c r="M51" s="962"/>
      <c r="N51" s="383"/>
      <c r="O51" s="383"/>
      <c r="P51" s="383"/>
      <c r="Q51" s="383"/>
      <c r="R51" s="28"/>
      <c r="U51" s="1064"/>
    </row>
    <row r="52" spans="1:22" ht="15.75" x14ac:dyDescent="0.25">
      <c r="A52" s="45"/>
      <c r="B52" s="962"/>
      <c r="C52" s="1065" t="s">
        <v>2182</v>
      </c>
      <c r="D52" s="962"/>
      <c r="E52" s="962"/>
      <c r="F52" s="962"/>
      <c r="G52" s="962"/>
      <c r="H52" s="962"/>
      <c r="I52" s="962"/>
      <c r="J52" s="962"/>
      <c r="K52" s="962"/>
      <c r="L52" s="962"/>
      <c r="M52" s="962"/>
      <c r="N52" s="383"/>
      <c r="O52" s="383"/>
      <c r="P52" s="383"/>
      <c r="Q52" s="383"/>
      <c r="R52" s="28"/>
      <c r="U52" s="1064"/>
    </row>
    <row r="53" spans="1:22" ht="16.5" thickBot="1" x14ac:dyDescent="0.3">
      <c r="A53" s="45"/>
      <c r="B53" s="962"/>
      <c r="C53" s="1065"/>
      <c r="D53" s="962"/>
      <c r="E53" s="962"/>
      <c r="F53" s="962"/>
      <c r="G53" s="962"/>
      <c r="H53" s="962"/>
      <c r="I53" s="962"/>
      <c r="J53" s="962"/>
      <c r="K53" s="962"/>
      <c r="L53" s="962"/>
      <c r="M53" s="962"/>
      <c r="N53" s="383"/>
      <c r="O53" s="383"/>
      <c r="P53" s="383"/>
      <c r="Q53" s="383"/>
      <c r="R53" s="28"/>
      <c r="U53" s="1064"/>
    </row>
    <row r="54" spans="1:22" ht="16.5" thickBot="1" x14ac:dyDescent="0.3">
      <c r="A54" s="45"/>
      <c r="B54" s="962"/>
      <c r="C54" s="10" t="str">
        <f>IF(VLOOKUP('Part 1'!$L17,TierSplit!$A$6:$AG$332,10,FALSE)=0.5,"10.  Enterprise Zone Qualifying Relief", "10.  Enterprise Zone Qualifying Relief: Not applicable")</f>
        <v>10.  Enterprise Zone Qualifying Relief: Not applicable</v>
      </c>
      <c r="D54" s="962"/>
      <c r="E54" s="962"/>
      <c r="F54" s="962"/>
      <c r="G54" s="2208">
        <f>IF(VLOOKUP('Part 1'!$L17,TierSplit!$A$6:$AG$332,10,FALSE)&lt;1,'Part 2'!J132*VLOOKUP('Part 1'!$L$17,TierSplit!$A$6:$J$332,10,FALSE)*-1,0)</f>
        <v>0</v>
      </c>
      <c r="H54" s="2209"/>
      <c r="I54" s="1178"/>
      <c r="J54" s="962"/>
      <c r="K54" s="2210">
        <f>IF(VLOOKUP('Part 1'!$L17,TierSplit!$A$6:$AG$332,10,FALSE)&lt;1,'Part 2'!N131*-1,0)</f>
        <v>0</v>
      </c>
      <c r="L54" s="2211"/>
      <c r="M54" s="962"/>
      <c r="N54" s="383"/>
      <c r="O54" s="2229">
        <f>+G54+K54</f>
        <v>0</v>
      </c>
      <c r="P54" s="2230"/>
      <c r="Q54" s="383"/>
      <c r="R54" s="28"/>
      <c r="T54" s="9"/>
      <c r="U54" s="1064">
        <f>IF(+G54+K54-O54=0,0,1)</f>
        <v>0</v>
      </c>
    </row>
    <row r="55" spans="1:22" x14ac:dyDescent="0.2">
      <c r="A55" s="45"/>
      <c r="B55" s="962"/>
      <c r="C55" s="962"/>
      <c r="D55" s="962"/>
      <c r="E55" s="962"/>
      <c r="F55" s="962"/>
      <c r="G55" s="962"/>
      <c r="H55" s="962"/>
      <c r="I55" s="962"/>
      <c r="J55" s="962"/>
      <c r="K55" s="962"/>
      <c r="L55" s="962"/>
      <c r="M55" s="962"/>
      <c r="N55" s="383"/>
      <c r="O55" s="383"/>
      <c r="P55" s="383"/>
      <c r="Q55" s="383"/>
      <c r="R55" s="28"/>
      <c r="U55" s="1064"/>
    </row>
    <row r="56" spans="1:22" ht="16.5" thickBot="1" x14ac:dyDescent="0.3">
      <c r="A56" s="45"/>
      <c r="B56" s="962"/>
      <c r="C56" s="1065" t="s">
        <v>2267</v>
      </c>
      <c r="D56" s="962"/>
      <c r="E56" s="962"/>
      <c r="F56" s="962"/>
      <c r="G56" s="962"/>
      <c r="H56" s="962"/>
      <c r="I56" s="962"/>
      <c r="J56" s="962"/>
      <c r="K56" s="962"/>
      <c r="L56" s="962"/>
      <c r="M56" s="962"/>
      <c r="N56" s="383"/>
      <c r="O56" s="383"/>
      <c r="P56" s="383"/>
      <c r="Q56" s="383"/>
      <c r="R56" s="28"/>
      <c r="U56" s="1064"/>
    </row>
    <row r="57" spans="1:22" ht="16.5" thickBot="1" x14ac:dyDescent="0.25">
      <c r="A57" s="45"/>
      <c r="B57" s="962"/>
      <c r="C57" s="2093" t="str">
        <f>IF($V$57=1,"11. Net Rates payable for Growth Baseline comparison: Not applicable","11. Net Rates payable for Growth Baseline comparison")</f>
        <v>11. Net Rates payable for Growth Baseline comparison: Not applicable</v>
      </c>
      <c r="D57" s="2068"/>
      <c r="E57" s="2068"/>
      <c r="F57" s="962"/>
      <c r="G57" s="2074">
        <f>IF(VLOOKUP('Part 1'!$L17,TierSplit!$A$6:$AG$332,32,FALSE)="Yes",G18+G23+'Part 2'!J50,0)</f>
        <v>0</v>
      </c>
      <c r="H57" s="2075"/>
      <c r="I57" s="962"/>
      <c r="J57" s="962"/>
      <c r="K57" s="962"/>
      <c r="L57" s="962"/>
      <c r="M57" s="962"/>
      <c r="N57" s="383"/>
      <c r="O57" s="2236">
        <f>G57</f>
        <v>0</v>
      </c>
      <c r="P57" s="2201"/>
      <c r="Q57" s="383"/>
      <c r="R57" s="28"/>
      <c r="U57" s="1064"/>
      <c r="V57" s="487">
        <f>IF(VLOOKUP('Part 1'!$L17,TierSplit!$A$6:$AG$332,32,FALSE)="No",1,0)</f>
        <v>1</v>
      </c>
    </row>
    <row r="58" spans="1:22" x14ac:dyDescent="0.2">
      <c r="A58" s="45"/>
      <c r="B58" s="962"/>
      <c r="C58" s="2023"/>
      <c r="D58" s="2068"/>
      <c r="E58" s="2068"/>
      <c r="F58" s="962"/>
      <c r="G58" s="962"/>
      <c r="H58" s="962"/>
      <c r="I58" s="962"/>
      <c r="J58" s="962"/>
      <c r="K58" s="962"/>
      <c r="L58" s="962"/>
      <c r="M58" s="962"/>
      <c r="N58" s="383"/>
      <c r="O58" s="383"/>
      <c r="P58" s="383"/>
      <c r="Q58" s="383"/>
      <c r="R58" s="28"/>
      <c r="U58" s="1064"/>
    </row>
    <row r="59" spans="1:22" ht="15.75" thickBot="1" x14ac:dyDescent="0.25">
      <c r="A59" s="45"/>
      <c r="B59" s="962"/>
      <c r="C59" s="962"/>
      <c r="D59" s="962"/>
      <c r="E59" s="962"/>
      <c r="F59" s="962"/>
      <c r="G59" s="962"/>
      <c r="H59" s="962"/>
      <c r="I59" s="962"/>
      <c r="J59" s="962"/>
      <c r="K59" s="962"/>
      <c r="L59" s="962"/>
      <c r="M59" s="962"/>
      <c r="N59" s="383"/>
      <c r="O59" s="383"/>
      <c r="P59" s="383"/>
      <c r="Q59" s="383"/>
      <c r="R59" s="28"/>
      <c r="U59" s="1064"/>
    </row>
    <row r="60" spans="1:22" ht="16.5" thickBot="1" x14ac:dyDescent="0.25">
      <c r="A60" s="45"/>
      <c r="B60" s="962"/>
      <c r="C60" s="1114" t="str">
        <f>IF(V57=1,"12. Growth Baseline : Not applicable","12. Growth Baseline")</f>
        <v>12. Growth Baseline : Not applicable</v>
      </c>
      <c r="D60" s="962"/>
      <c r="E60" s="962"/>
      <c r="F60" s="962"/>
      <c r="G60" s="2234">
        <f>VLOOKUP('Part 1'!$L17,TierSplit!$A$6:$AG$332,33,FALSE)</f>
        <v>0</v>
      </c>
      <c r="H60" s="2235"/>
      <c r="I60" s="962"/>
      <c r="J60" s="962"/>
      <c r="K60" s="962"/>
      <c r="L60" s="962"/>
      <c r="M60" s="962"/>
      <c r="N60" s="383"/>
      <c r="O60" s="2236">
        <f>G60</f>
        <v>0</v>
      </c>
      <c r="P60" s="2201"/>
      <c r="Q60" s="383"/>
      <c r="R60" s="28"/>
      <c r="U60" s="1064"/>
    </row>
    <row r="61" spans="1:22" ht="15.75" thickBot="1" x14ac:dyDescent="0.25">
      <c r="A61" s="45"/>
      <c r="B61" s="962"/>
      <c r="C61" s="962"/>
      <c r="D61" s="962"/>
      <c r="E61" s="962"/>
      <c r="F61" s="962"/>
      <c r="G61" s="962"/>
      <c r="H61" s="962"/>
      <c r="I61" s="962"/>
      <c r="J61" s="962"/>
      <c r="K61" s="962"/>
      <c r="L61" s="962"/>
      <c r="M61" s="962"/>
      <c r="N61" s="383"/>
      <c r="O61" s="383"/>
      <c r="P61" s="383"/>
      <c r="Q61" s="383"/>
      <c r="R61" s="28"/>
      <c r="U61" s="1064"/>
    </row>
    <row r="62" spans="1:22" ht="16.5" thickBot="1" x14ac:dyDescent="0.25">
      <c r="A62" s="45"/>
      <c r="B62" s="962"/>
      <c r="C62" s="2093" t="str">
        <f>IF(V57=1,"13. Additional Growth in 'Growth Pilot' Areas: Not Applicable","13. Additional Growth in 'Growth Pilot' Areas")</f>
        <v>13. Additional Growth in 'Growth Pilot' Areas: Not Applicable</v>
      </c>
      <c r="D62" s="2023"/>
      <c r="E62" s="2023"/>
      <c r="F62" s="962"/>
      <c r="G62" s="2074">
        <f>IF((G57-G60)&lt;0,0,(G57-G60)*0.5)</f>
        <v>0</v>
      </c>
      <c r="H62" s="2075"/>
      <c r="I62" s="962"/>
      <c r="J62" s="962"/>
      <c r="K62" s="962"/>
      <c r="L62" s="962"/>
      <c r="M62" s="962"/>
      <c r="N62" s="383"/>
      <c r="O62" s="2200">
        <f>G62</f>
        <v>0</v>
      </c>
      <c r="P62" s="2201"/>
      <c r="Q62" s="383"/>
      <c r="R62" s="28"/>
      <c r="U62" s="1064"/>
    </row>
    <row r="63" spans="1:22" x14ac:dyDescent="0.2">
      <c r="A63" s="45"/>
      <c r="B63" s="962"/>
      <c r="C63" s="2023"/>
      <c r="D63" s="2023"/>
      <c r="E63" s="2023"/>
      <c r="F63" s="962"/>
      <c r="G63" s="962"/>
      <c r="H63" s="962"/>
      <c r="I63" s="962"/>
      <c r="J63" s="962"/>
      <c r="K63" s="962"/>
      <c r="L63" s="962"/>
      <c r="M63" s="962"/>
      <c r="N63" s="383"/>
      <c r="O63" s="1116"/>
      <c r="P63" s="383"/>
      <c r="Q63" s="383"/>
      <c r="R63" s="28"/>
      <c r="U63" s="1064"/>
    </row>
    <row r="64" spans="1:22" x14ac:dyDescent="0.2">
      <c r="A64" s="45"/>
      <c r="B64" s="962"/>
      <c r="C64" s="962"/>
      <c r="D64" s="962"/>
      <c r="E64" s="962"/>
      <c r="F64" s="962"/>
      <c r="G64" s="962"/>
      <c r="H64" s="962"/>
      <c r="I64" s="962"/>
      <c r="J64" s="962"/>
      <c r="K64" s="962"/>
      <c r="L64" s="962"/>
      <c r="M64" s="962"/>
      <c r="N64" s="383"/>
      <c r="O64" s="383"/>
      <c r="P64" s="383"/>
      <c r="Q64" s="383"/>
      <c r="R64" s="28"/>
      <c r="U64" s="1064"/>
    </row>
    <row r="65" spans="1:23" ht="16.5" thickBot="1" x14ac:dyDescent="0.3">
      <c r="A65" s="45"/>
      <c r="B65" s="962"/>
      <c r="C65" s="1065" t="s">
        <v>2268</v>
      </c>
      <c r="D65" s="962"/>
      <c r="E65" s="962"/>
      <c r="F65" s="962"/>
      <c r="G65" s="962"/>
      <c r="H65" s="962"/>
      <c r="I65" s="962"/>
      <c r="J65" s="962"/>
      <c r="K65" s="962"/>
      <c r="L65" s="962"/>
      <c r="M65" s="962"/>
      <c r="N65" s="383"/>
      <c r="O65" s="383"/>
      <c r="P65" s="383"/>
      <c r="Q65" s="383"/>
      <c r="R65" s="28"/>
      <c r="U65" s="1064"/>
    </row>
    <row r="66" spans="1:23" ht="16.5" thickBot="1" x14ac:dyDescent="0.25">
      <c r="A66" s="45"/>
      <c r="B66" s="962"/>
      <c r="C66" s="10" t="str">
        <f>IF('Part 1'!L17="E0104","14. In respect of Port of Bristol","14. In respect of Port of Bristol: Not applicable")</f>
        <v>14. In respect of Port of Bristol: Not applicable</v>
      </c>
      <c r="D66" s="962"/>
      <c r="E66" s="962"/>
      <c r="F66" s="962"/>
      <c r="G66" s="2072">
        <v>0</v>
      </c>
      <c r="H66" s="2073"/>
      <c r="I66" s="962"/>
      <c r="J66" s="962"/>
      <c r="K66" s="962"/>
      <c r="L66" s="962"/>
      <c r="M66" s="962"/>
      <c r="N66" s="383"/>
      <c r="O66" s="2200">
        <f>+G66*0.51</f>
        <v>0</v>
      </c>
      <c r="P66" s="2201"/>
      <c r="Q66" s="383"/>
      <c r="R66" s="28"/>
      <c r="U66" s="1064"/>
      <c r="V66" s="487">
        <f>IF('Part 1'!$L16="North Somerset",1,0)</f>
        <v>0</v>
      </c>
    </row>
    <row r="67" spans="1:23" ht="15.75" thickBot="1" x14ac:dyDescent="0.25">
      <c r="A67" s="45"/>
      <c r="B67" s="962"/>
      <c r="C67" s="962"/>
      <c r="D67" s="962"/>
      <c r="E67" s="962"/>
      <c r="F67" s="962"/>
      <c r="G67" s="962"/>
      <c r="H67" s="962"/>
      <c r="I67" s="962"/>
      <c r="J67" s="1179"/>
      <c r="K67" s="962"/>
      <c r="L67" s="962"/>
      <c r="M67" s="962"/>
      <c r="N67" s="383"/>
      <c r="O67" s="383"/>
      <c r="P67" s="383"/>
      <c r="Q67" s="383"/>
      <c r="R67" s="28"/>
      <c r="U67" s="1064"/>
    </row>
    <row r="68" spans="1:23" x14ac:dyDescent="0.2">
      <c r="A68" s="45"/>
      <c r="B68" s="38"/>
      <c r="C68" s="31"/>
      <c r="D68" s="31"/>
      <c r="E68" s="31"/>
      <c r="F68" s="31"/>
      <c r="G68" s="141"/>
      <c r="H68" s="141"/>
      <c r="I68" s="141"/>
      <c r="J68" s="631"/>
      <c r="K68" s="141"/>
      <c r="L68" s="141"/>
      <c r="M68" s="141"/>
      <c r="N68" s="374"/>
      <c r="O68" s="2217"/>
      <c r="P68" s="2218"/>
      <c r="Q68" s="390"/>
      <c r="R68" s="28"/>
      <c r="U68" s="488"/>
    </row>
    <row r="69" spans="1:23" ht="16.5" thickBot="1" x14ac:dyDescent="0.3">
      <c r="A69" s="45"/>
      <c r="B69" s="39"/>
      <c r="C69" s="20" t="s">
        <v>2182</v>
      </c>
      <c r="D69" s="34"/>
      <c r="E69" s="34"/>
      <c r="F69" s="34"/>
      <c r="G69" s="2222"/>
      <c r="H69" s="2222"/>
      <c r="I69" s="1062"/>
      <c r="J69" s="632"/>
      <c r="K69" s="2222"/>
      <c r="L69" s="2222"/>
      <c r="M69" s="1062"/>
      <c r="N69" s="628"/>
      <c r="O69" s="2219"/>
      <c r="P69" s="2219"/>
      <c r="Q69" s="388"/>
      <c r="R69" s="28"/>
      <c r="U69" s="488"/>
    </row>
    <row r="70" spans="1:23" ht="16.5" thickBot="1" x14ac:dyDescent="0.25">
      <c r="A70" s="45"/>
      <c r="B70" s="39"/>
      <c r="C70" s="8" t="s">
        <v>2301</v>
      </c>
      <c r="D70" s="34"/>
      <c r="E70" s="34"/>
      <c r="F70" s="34"/>
      <c r="G70" s="2074">
        <f>G54+G62+0.51*G66</f>
        <v>0</v>
      </c>
      <c r="H70" s="2075"/>
      <c r="I70" s="435"/>
      <c r="J70" s="633"/>
      <c r="K70" s="2074">
        <f>K54</f>
        <v>0</v>
      </c>
      <c r="L70" s="2232"/>
      <c r="M70" s="142"/>
      <c r="N70" s="371"/>
      <c r="O70" s="2220">
        <f>+G70+K70</f>
        <v>0</v>
      </c>
      <c r="P70" s="2221"/>
      <c r="Q70" s="388"/>
      <c r="R70" s="125"/>
      <c r="U70" s="488">
        <f>IF(+G70+K70-O70=0,0,1)</f>
        <v>0</v>
      </c>
      <c r="W70" s="9"/>
    </row>
    <row r="71" spans="1:23" ht="15.75" thickBot="1" x14ac:dyDescent="0.25">
      <c r="A71" s="45"/>
      <c r="B71" s="40"/>
      <c r="C71" s="36"/>
      <c r="D71" s="36"/>
      <c r="E71" s="36"/>
      <c r="F71" s="36"/>
      <c r="G71" s="36"/>
      <c r="H71" s="36"/>
      <c r="I71" s="36"/>
      <c r="J71" s="40"/>
      <c r="K71" s="36"/>
      <c r="L71" s="36"/>
      <c r="M71" s="36"/>
      <c r="N71" s="399"/>
      <c r="O71" s="399"/>
      <c r="P71" s="399"/>
      <c r="Q71" s="389"/>
      <c r="R71" s="28"/>
      <c r="U71" s="494"/>
    </row>
    <row r="72" spans="1:23" ht="15.75" thickBot="1" x14ac:dyDescent="0.25">
      <c r="A72" s="309"/>
      <c r="B72" s="163"/>
      <c r="C72" s="163"/>
      <c r="D72" s="163"/>
      <c r="E72" s="163"/>
      <c r="F72" s="163"/>
      <c r="G72" s="163"/>
      <c r="H72" s="163"/>
      <c r="I72" s="163"/>
      <c r="J72" s="163"/>
      <c r="K72" s="163"/>
      <c r="L72" s="163"/>
      <c r="M72" s="163"/>
      <c r="N72" s="163"/>
      <c r="O72" s="163"/>
      <c r="P72" s="163"/>
      <c r="Q72" s="163"/>
      <c r="R72" s="310"/>
      <c r="U72" s="496"/>
    </row>
    <row r="73" spans="1:23" x14ac:dyDescent="0.2">
      <c r="A73" s="122"/>
      <c r="B73" s="123"/>
      <c r="C73" s="123"/>
      <c r="D73" s="123"/>
      <c r="E73" s="123"/>
      <c r="F73" s="123"/>
      <c r="G73" s="123"/>
      <c r="H73" s="123"/>
      <c r="I73" s="123"/>
      <c r="J73" s="123"/>
      <c r="K73" s="123"/>
      <c r="L73" s="123"/>
      <c r="M73" s="123"/>
      <c r="N73" s="123"/>
      <c r="O73" s="123"/>
      <c r="P73" s="123"/>
      <c r="Q73" s="123"/>
      <c r="R73" s="124"/>
      <c r="U73" s="758" t="s">
        <v>34</v>
      </c>
    </row>
    <row r="74" spans="1:23" ht="15.75" x14ac:dyDescent="0.25">
      <c r="A74" s="23"/>
      <c r="B74" s="2170" t="str">
        <f>+IF(U74&gt;0,"There are errors in the calculations in this form.  Have you over written some of the pre-filled calculations? Please check.","")</f>
        <v/>
      </c>
      <c r="C74" s="2233"/>
      <c r="D74" s="2233"/>
      <c r="E74" s="2233"/>
      <c r="F74" s="2233"/>
      <c r="G74" s="2233"/>
      <c r="H74" s="2233"/>
      <c r="I74" s="2233"/>
      <c r="J74" s="2233"/>
      <c r="K74" s="2233"/>
      <c r="L74" s="2233"/>
      <c r="M74" s="2233"/>
      <c r="N74" s="2233"/>
      <c r="O74" s="2233"/>
      <c r="P74" s="2233"/>
      <c r="Q74" s="150"/>
      <c r="R74" s="349"/>
      <c r="U74" s="494">
        <f>SUM(U18:U70)</f>
        <v>0</v>
      </c>
    </row>
    <row r="75" spans="1:23" ht="16.5" thickBot="1" x14ac:dyDescent="0.3">
      <c r="A75" s="23"/>
      <c r="B75" s="150"/>
      <c r="C75" s="27"/>
      <c r="D75" s="27"/>
      <c r="E75" s="27"/>
      <c r="F75" s="27"/>
      <c r="G75" s="27"/>
      <c r="H75" s="27"/>
      <c r="I75" s="27"/>
      <c r="J75" s="27"/>
      <c r="K75" s="27"/>
      <c r="L75" s="27"/>
      <c r="M75" s="27"/>
      <c r="N75" s="27"/>
      <c r="O75" s="27"/>
      <c r="P75" s="27"/>
      <c r="Q75" s="150"/>
      <c r="R75" s="349"/>
    </row>
    <row r="76" spans="1:23" ht="16.5" thickBot="1" x14ac:dyDescent="0.3">
      <c r="A76" s="23"/>
      <c r="B76" s="2"/>
      <c r="C76" s="150"/>
      <c r="D76" s="150"/>
      <c r="E76" s="150"/>
      <c r="F76" s="150"/>
      <c r="G76" s="652" t="s">
        <v>1077</v>
      </c>
      <c r="H76" s="832"/>
      <c r="I76" s="833"/>
      <c r="J76" s="833"/>
      <c r="K76" s="833"/>
      <c r="L76" s="833"/>
      <c r="M76" s="833"/>
      <c r="N76" s="833"/>
      <c r="O76" s="833"/>
      <c r="P76" s="833"/>
      <c r="Q76" s="834"/>
      <c r="R76" s="125"/>
    </row>
    <row r="77" spans="1:23" ht="15.75" thickBot="1" x14ac:dyDescent="0.25">
      <c r="A77" s="24"/>
      <c r="B77" s="25"/>
      <c r="C77" s="25"/>
      <c r="D77" s="25"/>
      <c r="E77" s="25"/>
      <c r="F77" s="25"/>
      <c r="G77" s="25"/>
      <c r="H77" s="25"/>
      <c r="I77" s="25"/>
      <c r="J77" s="25"/>
      <c r="K77" s="25"/>
      <c r="L77" s="25"/>
      <c r="M77" s="25"/>
      <c r="N77" s="25"/>
      <c r="O77" s="25"/>
      <c r="P77" s="25"/>
      <c r="Q77" s="25"/>
      <c r="R77" s="126"/>
      <c r="U77" s="496"/>
    </row>
    <row r="78" spans="1:23" x14ac:dyDescent="0.2">
      <c r="U78" s="496"/>
    </row>
    <row r="79" spans="1:23" x14ac:dyDescent="0.2">
      <c r="C79" s="468"/>
      <c r="D79" s="468"/>
      <c r="E79" s="468"/>
      <c r="F79" s="468"/>
      <c r="G79" s="468"/>
      <c r="H79" s="468"/>
      <c r="I79" s="468"/>
      <c r="J79" s="468"/>
      <c r="K79" s="468"/>
      <c r="L79" s="468"/>
      <c r="M79" s="468"/>
      <c r="N79" s="468"/>
      <c r="O79" s="468"/>
      <c r="P79" s="468"/>
      <c r="Q79" s="468"/>
      <c r="R79" s="468"/>
      <c r="S79" s="468"/>
      <c r="T79" s="468"/>
    </row>
    <row r="80" spans="1:23" s="468" customFormat="1" x14ac:dyDescent="0.2">
      <c r="U80" s="495"/>
      <c r="V80" s="487"/>
    </row>
    <row r="81" spans="11:22" s="468" customFormat="1" x14ac:dyDescent="0.2">
      <c r="K81" s="968"/>
      <c r="U81" s="495"/>
      <c r="V81" s="487"/>
    </row>
    <row r="82" spans="11:22" s="468" customFormat="1" x14ac:dyDescent="0.2">
      <c r="K82" s="2231"/>
      <c r="L82" s="2231"/>
      <c r="U82" s="495"/>
      <c r="V82" s="487"/>
    </row>
    <row r="83" spans="11:22" s="468" customFormat="1" x14ac:dyDescent="0.2">
      <c r="U83" s="495"/>
      <c r="V83" s="487"/>
    </row>
    <row r="84" spans="11:22" s="468" customFormat="1" x14ac:dyDescent="0.2">
      <c r="U84" s="495"/>
      <c r="V84" s="487"/>
    </row>
    <row r="85" spans="11:22" s="468" customFormat="1" x14ac:dyDescent="0.2">
      <c r="U85" s="495"/>
      <c r="V85" s="487"/>
    </row>
    <row r="86" spans="11:22" s="468" customFormat="1" x14ac:dyDescent="0.2">
      <c r="U86" s="495"/>
      <c r="V86" s="487"/>
    </row>
  </sheetData>
  <sheetProtection sheet="1" objects="1" scenarios="1"/>
  <mergeCells count="73">
    <mergeCell ref="O70:P70"/>
    <mergeCell ref="G70:H70"/>
    <mergeCell ref="G66:H66"/>
    <mergeCell ref="O66:P66"/>
    <mergeCell ref="O68:P69"/>
    <mergeCell ref="O62:P62"/>
    <mergeCell ref="O54:P54"/>
    <mergeCell ref="K43:L43"/>
    <mergeCell ref="K38:L38"/>
    <mergeCell ref="K82:L82"/>
    <mergeCell ref="K70:L70"/>
    <mergeCell ref="B74:P74"/>
    <mergeCell ref="G62:H62"/>
    <mergeCell ref="C57:E58"/>
    <mergeCell ref="C62:E63"/>
    <mergeCell ref="G69:H69"/>
    <mergeCell ref="K69:L69"/>
    <mergeCell ref="G60:H60"/>
    <mergeCell ref="O60:P60"/>
    <mergeCell ref="G57:H57"/>
    <mergeCell ref="O57:P57"/>
    <mergeCell ref="A2:R2"/>
    <mergeCell ref="A3:R3"/>
    <mergeCell ref="A5:R5"/>
    <mergeCell ref="A7:R7"/>
    <mergeCell ref="C9:G9"/>
    <mergeCell ref="K12:M12"/>
    <mergeCell ref="G14:H15"/>
    <mergeCell ref="K14:L15"/>
    <mergeCell ref="O14:P15"/>
    <mergeCell ref="C13:E13"/>
    <mergeCell ref="O13:P13"/>
    <mergeCell ref="G13:H13"/>
    <mergeCell ref="K13:L13"/>
    <mergeCell ref="G54:H54"/>
    <mergeCell ref="K54:L54"/>
    <mergeCell ref="K44:L44"/>
    <mergeCell ref="O35:P35"/>
    <mergeCell ref="G31:H31"/>
    <mergeCell ref="K31:L31"/>
    <mergeCell ref="O38:P38"/>
    <mergeCell ref="K40:L40"/>
    <mergeCell ref="O42:P43"/>
    <mergeCell ref="G49:H49"/>
    <mergeCell ref="K49:L49"/>
    <mergeCell ref="O49:P49"/>
    <mergeCell ref="O44:P44"/>
    <mergeCell ref="G43:H43"/>
    <mergeCell ref="E36:E37"/>
    <mergeCell ref="G36:H36"/>
    <mergeCell ref="K36:L36"/>
    <mergeCell ref="O36:P36"/>
    <mergeCell ref="G17:H17"/>
    <mergeCell ref="K17:L17"/>
    <mergeCell ref="C26:E27"/>
    <mergeCell ref="G26:H26"/>
    <mergeCell ref="K26:L26"/>
    <mergeCell ref="O26:P26"/>
    <mergeCell ref="E34:E35"/>
    <mergeCell ref="O17:P17"/>
    <mergeCell ref="U13:U14"/>
    <mergeCell ref="O31:P31"/>
    <mergeCell ref="C23:E24"/>
    <mergeCell ref="G23:H23"/>
    <mergeCell ref="K23:L23"/>
    <mergeCell ref="O23:P23"/>
    <mergeCell ref="C18:E20"/>
    <mergeCell ref="G18:H18"/>
    <mergeCell ref="K18:L18"/>
    <mergeCell ref="O18:P18"/>
    <mergeCell ref="G16:H16"/>
    <mergeCell ref="K16:L16"/>
    <mergeCell ref="O16:P16"/>
  </mergeCells>
  <conditionalFormatting sqref="G31:H31">
    <cfRule type="expression" dxfId="225" priority="48" stopIfTrue="1">
      <formula>AND(G31="")=TRUE</formula>
    </cfRule>
  </conditionalFormatting>
  <conditionalFormatting sqref="R23">
    <cfRule type="expression" dxfId="224" priority="35">
      <formula>AND($U23=0)=FALSE</formula>
    </cfRule>
  </conditionalFormatting>
  <conditionalFormatting sqref="R26">
    <cfRule type="expression" dxfId="223" priority="34">
      <formula>AND($U26=0)=FALSE</formula>
    </cfRule>
  </conditionalFormatting>
  <conditionalFormatting sqref="R36">
    <cfRule type="expression" dxfId="222" priority="33">
      <formula>AND($U36=0)=FALSE</formula>
    </cfRule>
  </conditionalFormatting>
  <conditionalFormatting sqref="R44">
    <cfRule type="expression" dxfId="221" priority="32">
      <formula>AND($U44=0)=FALSE</formula>
    </cfRule>
  </conditionalFormatting>
  <conditionalFormatting sqref="R18">
    <cfRule type="expression" dxfId="220" priority="31">
      <formula>AND($U18+U20=0)=FALSE</formula>
    </cfRule>
  </conditionalFormatting>
  <conditionalFormatting sqref="R70">
    <cfRule type="expression" dxfId="219" priority="13">
      <formula>AND($U70=0)=FALSE</formula>
    </cfRule>
  </conditionalFormatting>
  <conditionalFormatting sqref="O66">
    <cfRule type="expression" dxfId="218" priority="8">
      <formula>AND($V$66=1)=FALSE</formula>
    </cfRule>
  </conditionalFormatting>
  <conditionalFormatting sqref="G66">
    <cfRule type="expression" dxfId="217" priority="9">
      <formula>AND($V$66=1)=FALSE</formula>
    </cfRule>
  </conditionalFormatting>
  <conditionalFormatting sqref="G57:H57">
    <cfRule type="expression" dxfId="216" priority="7">
      <formula>AND($V$57=1)=TRUE</formula>
    </cfRule>
  </conditionalFormatting>
  <conditionalFormatting sqref="O57:P57">
    <cfRule type="expression" dxfId="215" priority="6">
      <formula>AND($V$57=1)=TRUE</formula>
    </cfRule>
  </conditionalFormatting>
  <conditionalFormatting sqref="G60">
    <cfRule type="expression" dxfId="214" priority="5">
      <formula>AND($V$57=1)=TRUE</formula>
    </cfRule>
  </conditionalFormatting>
  <conditionalFormatting sqref="O60">
    <cfRule type="expression" dxfId="213" priority="4">
      <formula>AND($V$57=1)=TRUE</formula>
    </cfRule>
  </conditionalFormatting>
  <conditionalFormatting sqref="G62">
    <cfRule type="expression" dxfId="212" priority="3">
      <formula>AND($V$57=1)=TRUE</formula>
    </cfRule>
  </conditionalFormatting>
  <conditionalFormatting sqref="O62:P62">
    <cfRule type="expression" dxfId="211" priority="2">
      <formula>AND($V$57=1)=TRUE</formula>
    </cfRule>
  </conditionalFormatting>
  <dataValidations count="6">
    <dataValidation type="whole" operator="greaterThanOrEqual" allowBlank="1" showInputMessage="1" showErrorMessage="1" errorTitle="Positive whole number required" error="This number MUST be a positive whole number" sqref="G36:H36 K36:L36 G60:H60 G49:H49 G62:H62 G66:H66 G70:H70">
      <formula1>0</formula1>
    </dataValidation>
    <dataValidation type="whole" operator="lessThanOrEqual" allowBlank="1" showInputMessage="1" showErrorMessage="1" errorTitle="Negative whole number required" error="This number MUST be a negative whole number" sqref="G23:H23 G26:H26 K23:L23 K26:L26">
      <formula1>0</formula1>
    </dataValidation>
    <dataValidation type="custom" allowBlank="1" showInputMessage="1" showErrorMessage="1" errorTitle="Data entry" error="Data entry not allowed in this cell" sqref="K18:L18">
      <formula1>K14&lt;&gt;""</formula1>
    </dataValidation>
    <dataValidation type="custom" allowBlank="1" showInputMessage="1" showErrorMessage="1" error="Data entry not allowed" sqref="G18:H18 G31:H31">
      <formula1>"if(P57=""n/a"")"</formula1>
    </dataValidation>
    <dataValidation type="custom" allowBlank="1" showInputMessage="1" showErrorMessage="1" error="Do not try to enter data here_x000a_" sqref="K81">
      <formula1>"if(z217=""n/a"")"</formula1>
    </dataValidation>
    <dataValidation type="whole" operator="greaterThanOrEqual" allowBlank="1" showInputMessage="1" showErrorMessage="1" errorTitle="Positive whole number required" error="Line 9 cannot be negative" sqref="O49:P49">
      <formula1>0</formula1>
    </dataValidation>
  </dataValidations>
  <printOptions horizontalCentered="1" verticalCentered="1"/>
  <pageMargins left="0.39370078740157483" right="0.39370078740157483" top="0.59055118110236227" bottom="0.59055118110236227" header="0.51181102362204722" footer="0.51181102362204722"/>
  <pageSetup paperSize="9" scale="55"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8783E2F7-2139-411C-962D-CA323F00108F}">
            <xm:f>AND(VLOOKUP('Part 1'!$L17,TierSplit!$A$6:$AG$332,10,FALSE)&gt;0.5)=TRUE</xm:f>
            <x14:dxf>
              <fill>
                <patternFill>
                  <bgColor theme="0" tint="-0.24994659260841701"/>
                </patternFill>
              </fill>
            </x14:dxf>
          </x14:cfRule>
          <xm:sqref>K54 O54 G54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F61"/>
  <sheetViews>
    <sheetView showGridLines="0" zoomScale="75" zoomScaleNormal="75" workbookViewId="0">
      <selection sqref="A1:AA1"/>
    </sheetView>
  </sheetViews>
  <sheetFormatPr defaultRowHeight="15" x14ac:dyDescent="0.2"/>
  <cols>
    <col min="1" max="1" width="4.7109375" style="1122" customWidth="1"/>
    <col min="2" max="2" width="28.28515625" style="1122" hidden="1" customWidth="1"/>
    <col min="3" max="3" width="107.140625" style="1122" customWidth="1"/>
    <col min="4" max="4" width="3.7109375" style="1122" customWidth="1"/>
    <col min="5" max="5" width="32.7109375" style="1122" customWidth="1"/>
    <col min="6" max="6" width="3.5703125" style="1122" customWidth="1"/>
    <col min="7" max="7" width="20.7109375" style="1122" customWidth="1"/>
    <col min="8" max="8" width="3.7109375" style="1122" customWidth="1"/>
    <col min="9" max="9" width="20.7109375" style="1122" customWidth="1"/>
    <col min="10" max="10" width="3.7109375" style="1122" customWidth="1"/>
    <col min="11" max="11" width="25.5703125" style="1122" customWidth="1"/>
    <col min="12" max="12" width="3.7109375" style="1127" customWidth="1"/>
    <col min="13" max="13" width="26.42578125" style="1122" customWidth="1"/>
    <col min="14" max="14" width="3.5703125" style="1122" customWidth="1"/>
    <col min="15" max="15" width="29.7109375" style="1122" customWidth="1"/>
    <col min="16" max="16" width="3.7109375" style="1122" customWidth="1"/>
    <col min="17" max="17" width="23.5703125" style="1122" customWidth="1"/>
    <col min="18" max="18" width="3.7109375" style="1122" customWidth="1"/>
    <col min="19" max="19" width="20.7109375" style="1122" customWidth="1"/>
    <col min="20" max="20" width="3.5703125" style="1122" customWidth="1"/>
    <col min="21" max="21" width="25.42578125" style="1122" customWidth="1"/>
    <col min="22" max="22" width="3.140625" style="1122" customWidth="1"/>
    <col min="23" max="23" width="24.5703125" style="1916" hidden="1" customWidth="1"/>
    <col min="24" max="24" width="3.7109375" style="1916" hidden="1" customWidth="1"/>
    <col min="25" max="25" width="29.7109375" style="1122" customWidth="1"/>
    <col min="26" max="26" width="0.28515625" style="1122" customWidth="1"/>
    <col min="27" max="27" width="4.7109375" style="1122" customWidth="1"/>
    <col min="28" max="28" width="9.5703125" style="1126" customWidth="1"/>
    <col min="29" max="29" width="12.28515625" style="1125" customWidth="1"/>
    <col min="30" max="30" width="11" style="1124" bestFit="1" customWidth="1"/>
    <col min="31" max="31" width="32.140625" style="1123" bestFit="1" customWidth="1"/>
    <col min="32" max="16384" width="9.140625" style="1122"/>
  </cols>
  <sheetData>
    <row r="1" spans="1:32" s="1127" customFormat="1" ht="23.25" x14ac:dyDescent="0.35">
      <c r="A1" s="2244" t="s">
        <v>2288</v>
      </c>
      <c r="B1" s="2245"/>
      <c r="C1" s="2245"/>
      <c r="D1" s="2245"/>
      <c r="E1" s="2245"/>
      <c r="F1" s="2245"/>
      <c r="G1" s="2245"/>
      <c r="H1" s="2245"/>
      <c r="I1" s="2245"/>
      <c r="J1" s="2245"/>
      <c r="K1" s="2245"/>
      <c r="L1" s="2245"/>
      <c r="M1" s="2245"/>
      <c r="N1" s="2245"/>
      <c r="O1" s="2245"/>
      <c r="P1" s="2245"/>
      <c r="Q1" s="2245"/>
      <c r="R1" s="2245"/>
      <c r="S1" s="2245"/>
      <c r="T1" s="2245"/>
      <c r="U1" s="2245"/>
      <c r="V1" s="2245"/>
      <c r="W1" s="2245"/>
      <c r="X1" s="2245"/>
      <c r="Y1" s="2245"/>
      <c r="Z1" s="2245"/>
      <c r="AA1" s="2246"/>
      <c r="AB1" s="1128"/>
      <c r="AC1" s="1163"/>
      <c r="AD1" s="1162"/>
      <c r="AE1" s="1161"/>
    </row>
    <row r="2" spans="1:32" ht="21" customHeight="1" x14ac:dyDescent="0.2">
      <c r="A2" s="1121"/>
      <c r="B2" s="1160"/>
      <c r="C2" s="1149"/>
      <c r="D2" s="1149"/>
      <c r="E2" s="1149"/>
      <c r="F2" s="1149"/>
      <c r="G2" s="1159"/>
      <c r="H2" s="1156"/>
      <c r="I2" s="1155"/>
      <c r="J2" s="1147"/>
      <c r="K2" s="1154"/>
      <c r="L2" s="1150"/>
      <c r="M2" s="1149"/>
      <c r="N2" s="1149"/>
      <c r="O2" s="1159"/>
      <c r="P2" s="1156"/>
      <c r="Q2" s="1155"/>
      <c r="R2" s="1147"/>
      <c r="S2" s="1154"/>
      <c r="T2" s="1154"/>
      <c r="U2" s="1149"/>
      <c r="V2" s="1149"/>
      <c r="W2" s="1898"/>
      <c r="X2" s="1899"/>
      <c r="Y2" s="1155"/>
      <c r="Z2" s="1147"/>
      <c r="AA2" s="1146"/>
      <c r="AB2" s="1158"/>
    </row>
    <row r="3" spans="1:32" ht="23.25" x14ac:dyDescent="0.2">
      <c r="A3" s="1121"/>
      <c r="B3" s="1160"/>
      <c r="C3" s="1367" t="str">
        <f>IF(ISERROR(VLOOKUP($E3,'LA List'!$B$3:$C$244,2,FALSE)),'Part 1'!L$16,VLOOKUP($E3,'LA List'!$B$3:$C$244,2,FALSE))</f>
        <v>ZZZZ</v>
      </c>
      <c r="D3" s="1157"/>
      <c r="E3" s="1155" t="str">
        <f>'Part 1'!L17</f>
        <v>EZZZZ</v>
      </c>
      <c r="F3" s="1156"/>
      <c r="G3" s="1155"/>
      <c r="H3" s="1147"/>
      <c r="I3" s="1154"/>
      <c r="J3" s="1150"/>
      <c r="K3" s="1157"/>
      <c r="L3" s="1157"/>
      <c r="M3" s="1155"/>
      <c r="N3" s="1156"/>
      <c r="O3" s="1155"/>
      <c r="P3" s="1147"/>
      <c r="Q3" s="1154"/>
      <c r="R3" s="1154"/>
      <c r="S3" s="1157"/>
      <c r="T3" s="1157"/>
      <c r="U3" s="1155"/>
      <c r="V3" s="1156"/>
      <c r="W3" s="1900"/>
      <c r="X3" s="1901"/>
      <c r="Y3" s="1154"/>
      <c r="Z3" s="1150"/>
      <c r="AA3" s="1146"/>
      <c r="AB3" s="1124"/>
      <c r="AC3" s="1860"/>
      <c r="AD3" s="1122"/>
      <c r="AE3" s="1122"/>
    </row>
    <row r="4" spans="1:32" ht="23.25" x14ac:dyDescent="0.2">
      <c r="A4" s="1121"/>
      <c r="B4" s="1157"/>
      <c r="C4" s="1735"/>
      <c r="D4" s="1157"/>
      <c r="E4" s="2257" t="s">
        <v>2295</v>
      </c>
      <c r="F4" s="2258"/>
      <c r="G4" s="2258"/>
      <c r="H4" s="2258"/>
      <c r="I4" s="2258"/>
      <c r="J4" s="2258"/>
      <c r="K4" s="2259"/>
      <c r="L4" s="1150"/>
      <c r="M4" s="2257" t="s">
        <v>2181</v>
      </c>
      <c r="N4" s="2258"/>
      <c r="O4" s="2258"/>
      <c r="P4" s="2258"/>
      <c r="Q4" s="2258"/>
      <c r="R4" s="2258"/>
      <c r="S4" s="2259"/>
      <c r="T4" s="1154"/>
      <c r="U4" s="2257" t="s">
        <v>3089</v>
      </c>
      <c r="V4" s="2260"/>
      <c r="W4" s="2260"/>
      <c r="X4" s="2260"/>
      <c r="Y4" s="2260"/>
      <c r="Z4" s="1883"/>
      <c r="AA4" s="1146"/>
      <c r="AB4" s="1128"/>
      <c r="AE4" s="1860"/>
    </row>
    <row r="5" spans="1:32" ht="17.25" thickBot="1" x14ac:dyDescent="0.25">
      <c r="A5" s="1121"/>
      <c r="B5" s="1129"/>
      <c r="C5" s="1129"/>
      <c r="D5" s="1153"/>
      <c r="E5" s="1874"/>
      <c r="F5" s="1151"/>
      <c r="G5" s="1151"/>
      <c r="H5" s="1151"/>
      <c r="I5" s="1151"/>
      <c r="J5" s="1151"/>
      <c r="K5" s="1875"/>
      <c r="L5" s="1150"/>
      <c r="M5" s="1874"/>
      <c r="N5" s="1151"/>
      <c r="O5" s="1151"/>
      <c r="P5" s="1151"/>
      <c r="Q5" s="1151"/>
      <c r="R5" s="1151"/>
      <c r="S5" s="1875"/>
      <c r="T5" s="1152"/>
      <c r="U5" s="1874"/>
      <c r="V5" s="1151"/>
      <c r="W5" s="1902"/>
      <c r="X5" s="1902"/>
      <c r="Y5" s="1151"/>
      <c r="Z5" s="1884"/>
      <c r="AA5" s="1146"/>
      <c r="AB5" s="1128"/>
      <c r="AE5" s="1860"/>
    </row>
    <row r="6" spans="1:32" ht="21" thickBot="1" x14ac:dyDescent="0.25">
      <c r="A6" s="1121"/>
      <c r="B6" s="1129"/>
      <c r="C6" s="1366" t="s">
        <v>2309</v>
      </c>
      <c r="D6" s="1153"/>
      <c r="E6" s="1876">
        <f>SUM(E13:E53)</f>
        <v>0</v>
      </c>
      <c r="F6" s="1137"/>
      <c r="G6" s="1861">
        <f>SUM(G13:G53)</f>
        <v>0</v>
      </c>
      <c r="H6" s="1136"/>
      <c r="I6" s="1861">
        <f>SUM(I13:I53)</f>
        <v>0</v>
      </c>
      <c r="J6" s="1136"/>
      <c r="K6" s="1877">
        <f>SUM(K13:K53)</f>
        <v>0</v>
      </c>
      <c r="L6" s="1138"/>
      <c r="M6" s="1876">
        <f>SUM(M13:M53)</f>
        <v>0</v>
      </c>
      <c r="N6" s="1137"/>
      <c r="O6" s="1861">
        <f>SUM(O13:O53)</f>
        <v>0</v>
      </c>
      <c r="P6" s="1136"/>
      <c r="Q6" s="1861">
        <f>SUM(Q13:Q53)</f>
        <v>0</v>
      </c>
      <c r="R6" s="1136"/>
      <c r="S6" s="1877">
        <f>SUM(S13:S53)</f>
        <v>0</v>
      </c>
      <c r="T6" s="1136"/>
      <c r="U6" s="1876">
        <f>SUM(U13:U53)</f>
        <v>0</v>
      </c>
      <c r="V6" s="1137"/>
      <c r="W6" s="1903">
        <f>SUM(W13:W53)</f>
        <v>0</v>
      </c>
      <c r="X6" s="1904"/>
      <c r="Y6" s="1861">
        <f>SUM(Y13:Y53)</f>
        <v>0</v>
      </c>
      <c r="Z6" s="1885"/>
      <c r="AA6" s="1146"/>
      <c r="AB6" s="1128"/>
      <c r="AE6" s="1860"/>
    </row>
    <row r="7" spans="1:32" s="1932" customFormat="1" ht="21" customHeight="1" x14ac:dyDescent="0.2">
      <c r="A7" s="1928"/>
      <c r="B7" s="1129"/>
      <c r="C7" s="1129"/>
      <c r="D7" s="1149"/>
      <c r="E7" s="1893" t="str">
        <f>IF(E6='Part 3'!K18,"","Not equal to Part 2 Line 45 column 2")</f>
        <v/>
      </c>
      <c r="F7" s="1149"/>
      <c r="G7" s="1922"/>
      <c r="H7" s="1922"/>
      <c r="I7" s="1922"/>
      <c r="J7" s="1922"/>
      <c r="K7" s="1923"/>
      <c r="L7" s="1924"/>
      <c r="M7" s="1878"/>
      <c r="N7" s="1149"/>
      <c r="O7" s="1925" t="str">
        <f>IF(O6='Part 3'!K38,"","Not equal to Part 2 Line 11 column 2")</f>
        <v/>
      </c>
      <c r="P7" s="1922"/>
      <c r="Q7" s="1922"/>
      <c r="R7" s="1922"/>
      <c r="S7" s="1923"/>
      <c r="T7" s="1926"/>
      <c r="U7" s="2261" t="str">
        <f>IF(U6='Part 2'!N131*-1,"","Not equal to Part 2 Line 33 multiplied by -1")</f>
        <v/>
      </c>
      <c r="V7" s="1149"/>
      <c r="W7" s="2249"/>
      <c r="X7" s="2250"/>
      <c r="Y7" s="2250"/>
      <c r="Z7" s="2251"/>
      <c r="AA7" s="1929"/>
      <c r="AB7" s="1128"/>
      <c r="AC7" s="1930"/>
      <c r="AD7" s="1931"/>
      <c r="AE7" s="1860"/>
    </row>
    <row r="8" spans="1:32" s="1932" customFormat="1" ht="18.75" customHeight="1" x14ac:dyDescent="0.2">
      <c r="A8" s="1928"/>
      <c r="B8" s="1129"/>
      <c r="C8" s="1129"/>
      <c r="D8" s="1149"/>
      <c r="E8" s="1878"/>
      <c r="F8" s="1149"/>
      <c r="G8" s="1922"/>
      <c r="H8" s="1922"/>
      <c r="I8" s="1922"/>
      <c r="J8" s="1922"/>
      <c r="K8" s="1923"/>
      <c r="L8" s="1922"/>
      <c r="M8" s="1878"/>
      <c r="N8" s="1149"/>
      <c r="O8" s="1922"/>
      <c r="P8" s="1922"/>
      <c r="Q8" s="1922"/>
      <c r="R8" s="1922"/>
      <c r="S8" s="1923"/>
      <c r="T8" s="1922"/>
      <c r="U8" s="2262"/>
      <c r="V8" s="1922"/>
      <c r="W8" s="1927"/>
      <c r="X8" s="1927"/>
      <c r="Y8" s="1922"/>
      <c r="Z8" s="1923"/>
      <c r="AA8" s="1929"/>
      <c r="AB8" s="1128"/>
      <c r="AC8" s="1930"/>
      <c r="AD8" s="1931"/>
      <c r="AE8" s="1860"/>
    </row>
    <row r="9" spans="1:32" ht="43.5" customHeight="1" x14ac:dyDescent="0.3">
      <c r="A9" s="1121"/>
      <c r="B9" s="1129"/>
      <c r="C9" s="1868" t="s">
        <v>1070</v>
      </c>
      <c r="D9" s="1149"/>
      <c r="E9" s="1880" t="s">
        <v>2290</v>
      </c>
      <c r="F9" s="1148"/>
      <c r="G9" s="2252" t="s">
        <v>2292</v>
      </c>
      <c r="H9" s="2253"/>
      <c r="I9" s="2254"/>
      <c r="J9" s="1738"/>
      <c r="K9" s="1870"/>
      <c r="L9" s="1738"/>
      <c r="M9" s="2237" t="s">
        <v>2181</v>
      </c>
      <c r="N9" s="2238"/>
      <c r="O9" s="2238"/>
      <c r="P9" s="2238"/>
      <c r="Q9" s="2238"/>
      <c r="R9" s="2239"/>
      <c r="S9" s="2240"/>
      <c r="T9" s="1738"/>
      <c r="U9" s="2241"/>
      <c r="V9" s="2238"/>
      <c r="W9" s="2238"/>
      <c r="X9" s="1905"/>
      <c r="Y9" s="1850"/>
      <c r="Z9" s="1879"/>
      <c r="AA9" s="1146"/>
      <c r="AB9" s="1128"/>
      <c r="AE9" s="1860"/>
    </row>
    <row r="10" spans="1:32" ht="21" customHeight="1" x14ac:dyDescent="0.3">
      <c r="A10" s="1121"/>
      <c r="B10" s="1129"/>
      <c r="C10" s="1129"/>
      <c r="D10" s="1149"/>
      <c r="E10" s="1880">
        <v>1</v>
      </c>
      <c r="F10" s="1737"/>
      <c r="G10" s="1869">
        <v>2</v>
      </c>
      <c r="H10" s="1851"/>
      <c r="I10" s="1870">
        <v>3</v>
      </c>
      <c r="J10" s="1851"/>
      <c r="K10" s="1870">
        <v>4</v>
      </c>
      <c r="L10" s="1851"/>
      <c r="M10" s="1880">
        <v>5</v>
      </c>
      <c r="N10" s="1737"/>
      <c r="O10" s="1851">
        <v>6</v>
      </c>
      <c r="P10" s="1851"/>
      <c r="Q10" s="1851">
        <v>7</v>
      </c>
      <c r="R10" s="1851"/>
      <c r="S10" s="1870">
        <v>8</v>
      </c>
      <c r="T10" s="1851"/>
      <c r="U10" s="1869" t="s">
        <v>3094</v>
      </c>
      <c r="V10" s="1851"/>
      <c r="W10" s="1906">
        <v>10</v>
      </c>
      <c r="X10" s="1906"/>
      <c r="Y10" s="1851" t="s">
        <v>3095</v>
      </c>
      <c r="Z10" s="1879"/>
      <c r="AA10" s="1146"/>
      <c r="AB10" s="1128"/>
      <c r="AE10" s="1860"/>
    </row>
    <row r="11" spans="1:32" ht="151.5" customHeight="1" x14ac:dyDescent="0.2">
      <c r="A11" s="1121"/>
      <c r="B11" s="1149"/>
      <c r="C11" s="1139" t="s">
        <v>2308</v>
      </c>
      <c r="D11" s="1149"/>
      <c r="E11" s="1871" t="s">
        <v>2289</v>
      </c>
      <c r="F11" s="1872"/>
      <c r="G11" s="1871" t="s">
        <v>2291</v>
      </c>
      <c r="H11" s="1872"/>
      <c r="I11" s="1873" t="s">
        <v>2293</v>
      </c>
      <c r="J11" s="1881"/>
      <c r="K11" s="1873" t="s">
        <v>2294</v>
      </c>
      <c r="L11" s="1150"/>
      <c r="M11" s="1871" t="s">
        <v>2296</v>
      </c>
      <c r="N11" s="1882"/>
      <c r="O11" s="1882" t="s">
        <v>3093</v>
      </c>
      <c r="P11" s="1882"/>
      <c r="Q11" s="1882" t="s">
        <v>2282</v>
      </c>
      <c r="R11" s="1881"/>
      <c r="S11" s="1873" t="s">
        <v>2298</v>
      </c>
      <c r="T11" s="1152"/>
      <c r="U11" s="1871" t="s">
        <v>3087</v>
      </c>
      <c r="V11" s="1872"/>
      <c r="W11" s="1907" t="s">
        <v>3088</v>
      </c>
      <c r="X11" s="1908"/>
      <c r="Y11" s="1886" t="s">
        <v>3090</v>
      </c>
      <c r="Z11" s="1887"/>
      <c r="AA11" s="1146"/>
      <c r="AB11" s="1128"/>
      <c r="AC11" s="1145"/>
      <c r="AD11" s="1144"/>
      <c r="AE11" s="1860"/>
      <c r="AF11" s="1143"/>
    </row>
    <row r="12" spans="1:32" ht="45.75" customHeight="1" thickBot="1" x14ac:dyDescent="0.3">
      <c r="A12" s="1121"/>
      <c r="B12" s="2247"/>
      <c r="C12" s="2248"/>
      <c r="D12" s="1149"/>
      <c r="E12" s="1888" t="s">
        <v>3084</v>
      </c>
      <c r="F12" s="1889"/>
      <c r="G12" s="2255" t="s">
        <v>3085</v>
      </c>
      <c r="H12" s="2256"/>
      <c r="I12" s="2256"/>
      <c r="J12" s="1890"/>
      <c r="K12" s="1888" t="s">
        <v>3086</v>
      </c>
      <c r="L12" s="1891"/>
      <c r="M12" s="1888" t="s">
        <v>3084</v>
      </c>
      <c r="N12" s="1889"/>
      <c r="O12" s="1888" t="s">
        <v>3096</v>
      </c>
      <c r="P12" s="1892"/>
      <c r="Q12" s="1888" t="s">
        <v>3084</v>
      </c>
      <c r="R12" s="1890"/>
      <c r="S12" s="1888" t="s">
        <v>3086</v>
      </c>
      <c r="T12" s="1888"/>
      <c r="U12" s="1888" t="s">
        <v>3084</v>
      </c>
      <c r="V12" s="1889"/>
      <c r="W12" s="1909" t="s">
        <v>3086</v>
      </c>
      <c r="X12" s="1910"/>
      <c r="Y12" s="1888" t="s">
        <v>3086</v>
      </c>
      <c r="Z12" s="1147"/>
      <c r="AA12" s="1146"/>
      <c r="AB12" s="1128"/>
      <c r="AC12" s="1145"/>
      <c r="AD12" s="1144"/>
      <c r="AE12" s="1860"/>
      <c r="AF12" s="1143"/>
    </row>
    <row r="13" spans="1:32" s="1130" customFormat="1" ht="21" customHeight="1" thickBot="1" x14ac:dyDescent="0.25">
      <c r="A13" s="1856">
        <v>1</v>
      </c>
      <c r="B13" s="1129" t="str">
        <f>CONCATENATE($E$3,"EZ",A13)</f>
        <v>EZZZZEZ1</v>
      </c>
      <c r="C13" s="1867" t="str">
        <f>IFERROR(VLOOKUP(B13,'EZ list'!$C$4:$E$463,3,0),"")</f>
        <v/>
      </c>
      <c r="D13" s="1139"/>
      <c r="E13" s="1135"/>
      <c r="F13" s="1137"/>
      <c r="G13" s="1135"/>
      <c r="H13" s="1136"/>
      <c r="I13" s="1135"/>
      <c r="J13" s="1136"/>
      <c r="K13" s="1184" t="str">
        <f>IF(C13="","",+E13+G13+I13)</f>
        <v/>
      </c>
      <c r="L13" s="1138"/>
      <c r="M13" s="1135"/>
      <c r="N13" s="1137"/>
      <c r="O13" s="1135"/>
      <c r="P13" s="1136"/>
      <c r="Q13" s="1135"/>
      <c r="R13" s="1136"/>
      <c r="S13" s="1184" t="str">
        <f>IF(C13="","",IF(K13-M13+O13-Q13&lt;0,0,+K13-M13+O13-Q13))</f>
        <v/>
      </c>
      <c r="T13" s="1136"/>
      <c r="U13" s="1135"/>
      <c r="V13" s="1137"/>
      <c r="W13" s="1911" t="str">
        <f>IF(C13="","",IF(VLOOKUP('Part 1'!$L$17,TierSplit!$A$6:$AG$332,10,FALSE)&lt;1,U13,0))</f>
        <v/>
      </c>
      <c r="X13" s="1904"/>
      <c r="Y13" s="1184" t="str">
        <f>IF(C13="","",U13)</f>
        <v/>
      </c>
      <c r="Z13" s="1136"/>
      <c r="AA13" s="1134"/>
      <c r="AB13" s="1133"/>
      <c r="AC13" s="1862"/>
      <c r="AD13" s="1142"/>
      <c r="AE13" s="1860"/>
      <c r="AF13" s="1140"/>
    </row>
    <row r="14" spans="1:32" s="1130" customFormat="1" ht="21" customHeight="1" thickBot="1" x14ac:dyDescent="0.25">
      <c r="A14" s="1856">
        <v>2</v>
      </c>
      <c r="B14" s="1129" t="str">
        <f t="shared" ref="B14:B53" si="0">CONCATENATE($E$3,"EZ",A14)</f>
        <v>EZZZZEZ2</v>
      </c>
      <c r="C14" s="1867" t="str">
        <f>IFERROR(VLOOKUP(B14,'EZ list'!$C$4:$E$463,3,0),"")</f>
        <v/>
      </c>
      <c r="D14" s="1139"/>
      <c r="E14" s="1135"/>
      <c r="F14" s="1137"/>
      <c r="G14" s="1135"/>
      <c r="H14" s="1136"/>
      <c r="I14" s="1135"/>
      <c r="J14" s="1136"/>
      <c r="K14" s="1184" t="str">
        <f t="shared" ref="K14:K53" si="1">IF(C14="","",+E14+G14+I14)</f>
        <v/>
      </c>
      <c r="L14" s="1138"/>
      <c r="M14" s="1135"/>
      <c r="N14" s="1137"/>
      <c r="O14" s="1135"/>
      <c r="P14" s="1136"/>
      <c r="Q14" s="1135"/>
      <c r="R14" s="1136"/>
      <c r="S14" s="1184" t="str">
        <f t="shared" ref="S14:S53" si="2">IF(C14="","",IF(K14-M14+O14-Q14&lt;0,0,+K14-M14+O14-Q14))</f>
        <v/>
      </c>
      <c r="T14" s="1136"/>
      <c r="U14" s="1135"/>
      <c r="V14" s="1137"/>
      <c r="W14" s="1911" t="str">
        <f>IF(C14="","",IF(VLOOKUP('Part 1'!$L$17,TierSplit!$A$6:$AG$332,10,FALSE)&lt;1,U14,0))</f>
        <v/>
      </c>
      <c r="X14" s="1904"/>
      <c r="Y14" s="1184" t="str">
        <f t="shared" ref="Y14:Y53" si="3">IF(C14="","",U14)</f>
        <v/>
      </c>
      <c r="Z14" s="1136"/>
      <c r="AA14" s="1134"/>
      <c r="AB14" s="1133"/>
      <c r="AC14" s="1862"/>
      <c r="AD14" s="1142"/>
      <c r="AE14" s="1860"/>
      <c r="AF14" s="1140"/>
    </row>
    <row r="15" spans="1:32" s="1130" customFormat="1" ht="21" customHeight="1" thickBot="1" x14ac:dyDescent="0.25">
      <c r="A15" s="1856">
        <v>3</v>
      </c>
      <c r="B15" s="1129" t="str">
        <f t="shared" si="0"/>
        <v>EZZZZEZ3</v>
      </c>
      <c r="C15" s="1867" t="str">
        <f>IFERROR(VLOOKUP(B15,'EZ list'!$C$4:$E$463,3,0),"")</f>
        <v/>
      </c>
      <c r="D15" s="1139"/>
      <c r="E15" s="1135"/>
      <c r="F15" s="1137"/>
      <c r="G15" s="1135"/>
      <c r="H15" s="1136"/>
      <c r="I15" s="1135"/>
      <c r="J15" s="1136"/>
      <c r="K15" s="1184" t="str">
        <f t="shared" si="1"/>
        <v/>
      </c>
      <c r="L15" s="1138"/>
      <c r="M15" s="1135"/>
      <c r="N15" s="1137"/>
      <c r="O15" s="1135"/>
      <c r="P15" s="1136"/>
      <c r="Q15" s="1135"/>
      <c r="R15" s="1136"/>
      <c r="S15" s="1184" t="str">
        <f t="shared" si="2"/>
        <v/>
      </c>
      <c r="T15" s="1136"/>
      <c r="U15" s="1135"/>
      <c r="V15" s="1137"/>
      <c r="W15" s="1911" t="str">
        <f>IF(C15="","",IF(VLOOKUP('Part 1'!$L$17,TierSplit!$A$6:$AG$332,10,FALSE)&lt;1,U15,0))</f>
        <v/>
      </c>
      <c r="X15" s="1904"/>
      <c r="Y15" s="1184" t="str">
        <f t="shared" si="3"/>
        <v/>
      </c>
      <c r="Z15" s="1136"/>
      <c r="AA15" s="1134"/>
      <c r="AB15" s="1133"/>
      <c r="AC15" s="1862"/>
      <c r="AD15" s="1142"/>
      <c r="AE15" s="1860"/>
      <c r="AF15" s="1140"/>
    </row>
    <row r="16" spans="1:32" s="1130" customFormat="1" ht="21" customHeight="1" thickBot="1" x14ac:dyDescent="0.25">
      <c r="A16" s="1856">
        <v>4</v>
      </c>
      <c r="B16" s="1129" t="str">
        <f t="shared" si="0"/>
        <v>EZZZZEZ4</v>
      </c>
      <c r="C16" s="1867" t="str">
        <f>IFERROR(VLOOKUP(B16,'EZ list'!$C$4:$E$463,3,0),"")</f>
        <v/>
      </c>
      <c r="D16" s="1139"/>
      <c r="E16" s="1135"/>
      <c r="F16" s="1137"/>
      <c r="G16" s="1135"/>
      <c r="H16" s="1136"/>
      <c r="I16" s="1135"/>
      <c r="J16" s="1136"/>
      <c r="K16" s="1184" t="str">
        <f t="shared" si="1"/>
        <v/>
      </c>
      <c r="L16" s="1138"/>
      <c r="M16" s="1135"/>
      <c r="N16" s="1137"/>
      <c r="O16" s="1135"/>
      <c r="P16" s="1136"/>
      <c r="Q16" s="1135"/>
      <c r="R16" s="1136"/>
      <c r="S16" s="1184" t="str">
        <f t="shared" si="2"/>
        <v/>
      </c>
      <c r="T16" s="1136"/>
      <c r="U16" s="1135"/>
      <c r="V16" s="1137"/>
      <c r="W16" s="1911" t="str">
        <f>IF(C16="","",IF(VLOOKUP('Part 1'!$L$17,TierSplit!$A$6:$AG$332,10,FALSE)&lt;1,U16,0))</f>
        <v/>
      </c>
      <c r="X16" s="1904"/>
      <c r="Y16" s="1184" t="str">
        <f t="shared" si="3"/>
        <v/>
      </c>
      <c r="Z16" s="1136"/>
      <c r="AA16" s="1134"/>
      <c r="AB16" s="1133"/>
      <c r="AC16" s="1862"/>
      <c r="AD16" s="1142"/>
      <c r="AE16" s="1860"/>
      <c r="AF16" s="1140"/>
    </row>
    <row r="17" spans="1:32" s="1130" customFormat="1" ht="21" customHeight="1" thickBot="1" x14ac:dyDescent="0.25">
      <c r="A17" s="1856">
        <v>5</v>
      </c>
      <c r="B17" s="1129" t="str">
        <f t="shared" si="0"/>
        <v>EZZZZEZ5</v>
      </c>
      <c r="C17" s="1867" t="str">
        <f>IFERROR(VLOOKUP(B17,'EZ list'!$C$4:$E$463,3,0),"")</f>
        <v/>
      </c>
      <c r="D17" s="1139"/>
      <c r="E17" s="1135"/>
      <c r="F17" s="1137"/>
      <c r="G17" s="1135"/>
      <c r="H17" s="1136"/>
      <c r="I17" s="1135"/>
      <c r="J17" s="1136"/>
      <c r="K17" s="1184" t="str">
        <f t="shared" si="1"/>
        <v/>
      </c>
      <c r="L17" s="1138"/>
      <c r="M17" s="1135"/>
      <c r="N17" s="1137"/>
      <c r="O17" s="1135"/>
      <c r="P17" s="1136"/>
      <c r="Q17" s="1135"/>
      <c r="R17" s="1136"/>
      <c r="S17" s="1184" t="str">
        <f t="shared" si="2"/>
        <v/>
      </c>
      <c r="T17" s="1136"/>
      <c r="U17" s="1135"/>
      <c r="V17" s="1137"/>
      <c r="W17" s="1911" t="str">
        <f>IF(C17="","",IF(VLOOKUP('Part 1'!$L$17,TierSplit!$A$6:$AG$332,10,FALSE)&lt;1,U17,0))</f>
        <v/>
      </c>
      <c r="X17" s="1904"/>
      <c r="Y17" s="1184" t="str">
        <f t="shared" si="3"/>
        <v/>
      </c>
      <c r="Z17" s="1136"/>
      <c r="AA17" s="1134"/>
      <c r="AB17" s="1133"/>
      <c r="AC17" s="1862"/>
      <c r="AD17" s="1142"/>
      <c r="AE17" s="1860"/>
      <c r="AF17" s="1140"/>
    </row>
    <row r="18" spans="1:32" s="1130" customFormat="1" ht="21" customHeight="1" thickBot="1" x14ac:dyDescent="0.25">
      <c r="A18" s="1856">
        <v>6</v>
      </c>
      <c r="B18" s="1129" t="str">
        <f t="shared" si="0"/>
        <v>EZZZZEZ6</v>
      </c>
      <c r="C18" s="1867" t="str">
        <f>IFERROR(VLOOKUP(B18,'EZ list'!$C$4:$E$463,3,0),"")</f>
        <v/>
      </c>
      <c r="D18" s="1139"/>
      <c r="E18" s="1135"/>
      <c r="F18" s="1137"/>
      <c r="G18" s="1135"/>
      <c r="H18" s="1136"/>
      <c r="I18" s="1135"/>
      <c r="J18" s="1136"/>
      <c r="K18" s="1184" t="str">
        <f t="shared" si="1"/>
        <v/>
      </c>
      <c r="L18" s="1138"/>
      <c r="M18" s="1135"/>
      <c r="N18" s="1137"/>
      <c r="O18" s="1135"/>
      <c r="P18" s="1136"/>
      <c r="Q18" s="1135"/>
      <c r="R18" s="1136"/>
      <c r="S18" s="1184" t="str">
        <f t="shared" si="2"/>
        <v/>
      </c>
      <c r="T18" s="1136"/>
      <c r="U18" s="1135"/>
      <c r="V18" s="1137"/>
      <c r="W18" s="1911" t="str">
        <f>IF(C18="","",IF(VLOOKUP('Part 1'!$L$17,TierSplit!$A$6:$AG$332,10,FALSE)&lt;1,U18,0))</f>
        <v/>
      </c>
      <c r="X18" s="1904"/>
      <c r="Y18" s="1184" t="str">
        <f t="shared" si="3"/>
        <v/>
      </c>
      <c r="Z18" s="1136"/>
      <c r="AA18" s="1134"/>
      <c r="AB18" s="1133"/>
      <c r="AC18" s="1862"/>
      <c r="AD18" s="1142"/>
      <c r="AE18" s="1860"/>
      <c r="AF18" s="1140"/>
    </row>
    <row r="19" spans="1:32" s="1130" customFormat="1" ht="21" customHeight="1" thickBot="1" x14ac:dyDescent="0.25">
      <c r="A19" s="1856">
        <v>7</v>
      </c>
      <c r="B19" s="1129" t="str">
        <f t="shared" si="0"/>
        <v>EZZZZEZ7</v>
      </c>
      <c r="C19" s="1867" t="str">
        <f>IFERROR(VLOOKUP(B19,'EZ list'!$C$4:$E$463,3,0),"")</f>
        <v/>
      </c>
      <c r="D19" s="1139"/>
      <c r="E19" s="1135"/>
      <c r="F19" s="1137"/>
      <c r="G19" s="1135"/>
      <c r="H19" s="1136"/>
      <c r="I19" s="1135"/>
      <c r="J19" s="1136"/>
      <c r="K19" s="1184" t="str">
        <f t="shared" si="1"/>
        <v/>
      </c>
      <c r="L19" s="1138"/>
      <c r="M19" s="1135"/>
      <c r="N19" s="1137"/>
      <c r="O19" s="1135"/>
      <c r="P19" s="1136"/>
      <c r="Q19" s="1135"/>
      <c r="R19" s="1136"/>
      <c r="S19" s="1184" t="str">
        <f t="shared" si="2"/>
        <v/>
      </c>
      <c r="T19" s="1136"/>
      <c r="U19" s="1135"/>
      <c r="V19" s="1137"/>
      <c r="W19" s="1911" t="str">
        <f>IF(C19="","",IF(VLOOKUP('Part 1'!$L$17,TierSplit!$A$6:$AG$332,10,FALSE)&lt;1,U19,0))</f>
        <v/>
      </c>
      <c r="X19" s="1904"/>
      <c r="Y19" s="1184" t="str">
        <f t="shared" si="3"/>
        <v/>
      </c>
      <c r="Z19" s="1136"/>
      <c r="AA19" s="1134"/>
      <c r="AB19" s="1133"/>
      <c r="AC19" s="1862"/>
      <c r="AD19" s="1142"/>
      <c r="AE19" s="1860"/>
      <c r="AF19" s="1140"/>
    </row>
    <row r="20" spans="1:32" s="1130" customFormat="1" ht="21" customHeight="1" thickBot="1" x14ac:dyDescent="0.25">
      <c r="A20" s="1856">
        <v>8</v>
      </c>
      <c r="B20" s="1129" t="str">
        <f t="shared" si="0"/>
        <v>EZZZZEZ8</v>
      </c>
      <c r="C20" s="1867" t="str">
        <f>IFERROR(VLOOKUP(B20,'EZ list'!$C$4:$E$463,3,0),"")</f>
        <v/>
      </c>
      <c r="D20" s="1139"/>
      <c r="E20" s="1135"/>
      <c r="F20" s="1137"/>
      <c r="G20" s="1135"/>
      <c r="H20" s="1136"/>
      <c r="I20" s="1135"/>
      <c r="J20" s="1136"/>
      <c r="K20" s="1184" t="str">
        <f t="shared" si="1"/>
        <v/>
      </c>
      <c r="L20" s="1138"/>
      <c r="M20" s="1135"/>
      <c r="N20" s="1137"/>
      <c r="O20" s="1135"/>
      <c r="P20" s="1136"/>
      <c r="Q20" s="1135"/>
      <c r="R20" s="1136"/>
      <c r="S20" s="1184" t="str">
        <f t="shared" si="2"/>
        <v/>
      </c>
      <c r="T20" s="1136"/>
      <c r="U20" s="1135"/>
      <c r="V20" s="1137"/>
      <c r="W20" s="1911" t="str">
        <f>IF(C20="","",IF(VLOOKUP('Part 1'!$L$17,TierSplit!$A$6:$AG$332,10,FALSE)&lt;1,U20,0))</f>
        <v/>
      </c>
      <c r="X20" s="1904"/>
      <c r="Y20" s="1184" t="str">
        <f t="shared" si="3"/>
        <v/>
      </c>
      <c r="Z20" s="1136"/>
      <c r="AA20" s="1134"/>
      <c r="AB20" s="1133"/>
      <c r="AC20" s="1862"/>
      <c r="AD20" s="1142"/>
      <c r="AE20" s="1860"/>
      <c r="AF20" s="1140"/>
    </row>
    <row r="21" spans="1:32" s="1130" customFormat="1" ht="21" customHeight="1" thickBot="1" x14ac:dyDescent="0.25">
      <c r="A21" s="1856">
        <v>9</v>
      </c>
      <c r="B21" s="1129" t="str">
        <f t="shared" si="0"/>
        <v>EZZZZEZ9</v>
      </c>
      <c r="C21" s="1867" t="str">
        <f>IFERROR(VLOOKUP(B21,'EZ list'!$C$4:$E$463,3,0),"")</f>
        <v/>
      </c>
      <c r="D21" s="1139"/>
      <c r="E21" s="1135"/>
      <c r="F21" s="1137"/>
      <c r="G21" s="1135"/>
      <c r="H21" s="1136"/>
      <c r="I21" s="1135"/>
      <c r="J21" s="1136"/>
      <c r="K21" s="1184" t="str">
        <f t="shared" si="1"/>
        <v/>
      </c>
      <c r="L21" s="1138"/>
      <c r="M21" s="1135"/>
      <c r="N21" s="1137"/>
      <c r="O21" s="1135"/>
      <c r="P21" s="1136"/>
      <c r="Q21" s="1135"/>
      <c r="R21" s="1136"/>
      <c r="S21" s="1184" t="str">
        <f t="shared" si="2"/>
        <v/>
      </c>
      <c r="T21" s="1136"/>
      <c r="U21" s="1135"/>
      <c r="V21" s="1137"/>
      <c r="W21" s="1911" t="str">
        <f>IF(C21="","",IF(VLOOKUP('Part 1'!$L$17,TierSplit!$A$6:$AG$332,10,FALSE)&lt;1,U21,0))</f>
        <v/>
      </c>
      <c r="X21" s="1904"/>
      <c r="Y21" s="1184" t="str">
        <f t="shared" si="3"/>
        <v/>
      </c>
      <c r="Z21" s="1136"/>
      <c r="AA21" s="1134"/>
      <c r="AB21" s="1133"/>
      <c r="AC21" s="1862"/>
      <c r="AD21" s="1142"/>
      <c r="AE21" s="1860"/>
      <c r="AF21" s="1140"/>
    </row>
    <row r="22" spans="1:32" s="1130" customFormat="1" ht="21" customHeight="1" thickBot="1" x14ac:dyDescent="0.25">
      <c r="A22" s="1856">
        <v>10</v>
      </c>
      <c r="B22" s="1129" t="str">
        <f t="shared" si="0"/>
        <v>EZZZZEZ10</v>
      </c>
      <c r="C22" s="1867" t="str">
        <f>IFERROR(VLOOKUP(B22,'EZ list'!$C$4:$E$463,3,0),"")</f>
        <v/>
      </c>
      <c r="D22" s="1139"/>
      <c r="E22" s="1135"/>
      <c r="F22" s="1137"/>
      <c r="G22" s="1135"/>
      <c r="H22" s="1136"/>
      <c r="I22" s="1135"/>
      <c r="J22" s="1136"/>
      <c r="K22" s="1184" t="str">
        <f t="shared" si="1"/>
        <v/>
      </c>
      <c r="L22" s="1138"/>
      <c r="M22" s="1135"/>
      <c r="N22" s="1137"/>
      <c r="O22" s="1135"/>
      <c r="P22" s="1136"/>
      <c r="Q22" s="1135"/>
      <c r="R22" s="1136"/>
      <c r="S22" s="1184" t="str">
        <f t="shared" si="2"/>
        <v/>
      </c>
      <c r="T22" s="1136"/>
      <c r="U22" s="1135"/>
      <c r="V22" s="1137"/>
      <c r="W22" s="1911" t="str">
        <f>IF(C22="","",IF(VLOOKUP('Part 1'!$L$17,TierSplit!$A$6:$AG$332,10,FALSE)&lt;1,U22,0))</f>
        <v/>
      </c>
      <c r="X22" s="1904"/>
      <c r="Y22" s="1184" t="str">
        <f t="shared" si="3"/>
        <v/>
      </c>
      <c r="Z22" s="1136"/>
      <c r="AA22" s="1134"/>
      <c r="AB22" s="1133"/>
      <c r="AC22" s="1862"/>
      <c r="AD22" s="1142"/>
      <c r="AE22" s="1860"/>
      <c r="AF22" s="1140"/>
    </row>
    <row r="23" spans="1:32" s="1130" customFormat="1" ht="21" customHeight="1" thickBot="1" x14ac:dyDescent="0.25">
      <c r="A23" s="1856">
        <v>11</v>
      </c>
      <c r="B23" s="1129" t="str">
        <f t="shared" si="0"/>
        <v>EZZZZEZ11</v>
      </c>
      <c r="C23" s="1867" t="str">
        <f>IFERROR(VLOOKUP(B23,'EZ list'!$C$4:$E$463,3,0),"")</f>
        <v/>
      </c>
      <c r="D23" s="1139"/>
      <c r="E23" s="1135"/>
      <c r="F23" s="1137"/>
      <c r="G23" s="1135"/>
      <c r="H23" s="1136"/>
      <c r="I23" s="1135"/>
      <c r="J23" s="1136"/>
      <c r="K23" s="1184" t="str">
        <f t="shared" si="1"/>
        <v/>
      </c>
      <c r="L23" s="1138"/>
      <c r="M23" s="1135"/>
      <c r="N23" s="1137"/>
      <c r="O23" s="1135"/>
      <c r="P23" s="1136"/>
      <c r="Q23" s="1135"/>
      <c r="R23" s="1136"/>
      <c r="S23" s="1184" t="str">
        <f t="shared" si="2"/>
        <v/>
      </c>
      <c r="T23" s="1136"/>
      <c r="U23" s="1135"/>
      <c r="V23" s="1137"/>
      <c r="W23" s="1911" t="str">
        <f>IF(C23="","",IF(VLOOKUP('Part 1'!$L$17,TierSplit!$A$6:$AG$332,10,FALSE)&lt;1,U23,0))</f>
        <v/>
      </c>
      <c r="X23" s="1904"/>
      <c r="Y23" s="1184" t="str">
        <f t="shared" si="3"/>
        <v/>
      </c>
      <c r="Z23" s="1136"/>
      <c r="AA23" s="1134"/>
      <c r="AB23" s="1133"/>
      <c r="AC23" s="1862"/>
      <c r="AD23" s="1142"/>
      <c r="AE23" s="1860"/>
      <c r="AF23" s="1140"/>
    </row>
    <row r="24" spans="1:32" s="1130" customFormat="1" ht="21" customHeight="1" thickBot="1" x14ac:dyDescent="0.25">
      <c r="A24" s="1856">
        <v>12</v>
      </c>
      <c r="B24" s="1129" t="str">
        <f t="shared" si="0"/>
        <v>EZZZZEZ12</v>
      </c>
      <c r="C24" s="1867" t="str">
        <f>IFERROR(VLOOKUP(B24,'EZ list'!$C$4:$E$463,3,0),"")</f>
        <v/>
      </c>
      <c r="D24" s="1139"/>
      <c r="E24" s="1135"/>
      <c r="F24" s="1137"/>
      <c r="G24" s="1135"/>
      <c r="H24" s="1136"/>
      <c r="I24" s="1135"/>
      <c r="J24" s="1136"/>
      <c r="K24" s="1184" t="str">
        <f t="shared" si="1"/>
        <v/>
      </c>
      <c r="L24" s="1138"/>
      <c r="M24" s="1135"/>
      <c r="N24" s="1137"/>
      <c r="O24" s="1135"/>
      <c r="P24" s="1136"/>
      <c r="Q24" s="1135"/>
      <c r="R24" s="1136"/>
      <c r="S24" s="1184" t="str">
        <f t="shared" si="2"/>
        <v/>
      </c>
      <c r="T24" s="1136"/>
      <c r="U24" s="1135"/>
      <c r="V24" s="1137"/>
      <c r="W24" s="1911" t="str">
        <f>IF(C24="","",IF(VLOOKUP('Part 1'!$L$17,TierSplit!$A$6:$AG$332,10,FALSE)&lt;1,U24,0))</f>
        <v/>
      </c>
      <c r="X24" s="1904"/>
      <c r="Y24" s="1184" t="str">
        <f t="shared" si="3"/>
        <v/>
      </c>
      <c r="Z24" s="1136"/>
      <c r="AA24" s="1134"/>
      <c r="AB24" s="1133"/>
      <c r="AC24" s="1862"/>
      <c r="AD24" s="1142"/>
      <c r="AE24" s="1860"/>
      <c r="AF24" s="1140"/>
    </row>
    <row r="25" spans="1:32" s="1130" customFormat="1" ht="21" customHeight="1" thickBot="1" x14ac:dyDescent="0.25">
      <c r="A25" s="1856">
        <v>13</v>
      </c>
      <c r="B25" s="1129" t="str">
        <f t="shared" si="0"/>
        <v>EZZZZEZ13</v>
      </c>
      <c r="C25" s="1867" t="str">
        <f>IFERROR(VLOOKUP(B25,'EZ list'!$C$4:$E$463,3,0),"")</f>
        <v/>
      </c>
      <c r="D25" s="1139"/>
      <c r="E25" s="1135"/>
      <c r="F25" s="1137"/>
      <c r="G25" s="1135"/>
      <c r="H25" s="1136"/>
      <c r="I25" s="1135"/>
      <c r="J25" s="1136"/>
      <c r="K25" s="1184" t="str">
        <f t="shared" si="1"/>
        <v/>
      </c>
      <c r="L25" s="1138"/>
      <c r="M25" s="1135"/>
      <c r="N25" s="1137"/>
      <c r="O25" s="1135"/>
      <c r="P25" s="1136"/>
      <c r="Q25" s="1135"/>
      <c r="R25" s="1136"/>
      <c r="S25" s="1184" t="str">
        <f t="shared" si="2"/>
        <v/>
      </c>
      <c r="T25" s="1136"/>
      <c r="U25" s="1135"/>
      <c r="V25" s="1137"/>
      <c r="W25" s="1911" t="str">
        <f>IF(C25="","",IF(VLOOKUP('Part 1'!$L$17,TierSplit!$A$6:$AG$332,10,FALSE)&lt;1,U25,0))</f>
        <v/>
      </c>
      <c r="X25" s="1904"/>
      <c r="Y25" s="1184" t="str">
        <f t="shared" si="3"/>
        <v/>
      </c>
      <c r="Z25" s="1136"/>
      <c r="AA25" s="1134"/>
      <c r="AB25" s="1133"/>
      <c r="AC25" s="1862"/>
      <c r="AD25" s="1142"/>
      <c r="AE25" s="1860"/>
      <c r="AF25" s="1140"/>
    </row>
    <row r="26" spans="1:32" s="1130" customFormat="1" ht="21" customHeight="1" thickBot="1" x14ac:dyDescent="0.25">
      <c r="A26" s="1856">
        <v>14</v>
      </c>
      <c r="B26" s="1129" t="str">
        <f t="shared" si="0"/>
        <v>EZZZZEZ14</v>
      </c>
      <c r="C26" s="1867" t="str">
        <f>IFERROR(VLOOKUP(B26,'EZ list'!$C$4:$E$463,3,0),"")</f>
        <v/>
      </c>
      <c r="D26" s="1139"/>
      <c r="E26" s="1135"/>
      <c r="F26" s="1137"/>
      <c r="G26" s="1135"/>
      <c r="H26" s="1136"/>
      <c r="I26" s="1135"/>
      <c r="J26" s="1136"/>
      <c r="K26" s="1184" t="str">
        <f t="shared" si="1"/>
        <v/>
      </c>
      <c r="L26" s="1138"/>
      <c r="M26" s="1135"/>
      <c r="N26" s="1137"/>
      <c r="O26" s="1135"/>
      <c r="P26" s="1136"/>
      <c r="Q26" s="1135"/>
      <c r="R26" s="1136"/>
      <c r="S26" s="1184" t="str">
        <f t="shared" si="2"/>
        <v/>
      </c>
      <c r="T26" s="1136"/>
      <c r="U26" s="1135"/>
      <c r="V26" s="1137"/>
      <c r="W26" s="1911" t="str">
        <f>IF(C26="","",IF(VLOOKUP('Part 1'!$L$17,TierSplit!$A$6:$AG$332,10,FALSE)&lt;1,U26,0))</f>
        <v/>
      </c>
      <c r="X26" s="1904"/>
      <c r="Y26" s="1184" t="str">
        <f t="shared" si="3"/>
        <v/>
      </c>
      <c r="Z26" s="1136"/>
      <c r="AA26" s="1134"/>
      <c r="AB26" s="1133"/>
      <c r="AC26" s="1862"/>
      <c r="AD26" s="1142"/>
      <c r="AE26" s="1860"/>
      <c r="AF26" s="1140"/>
    </row>
    <row r="27" spans="1:32" s="1130" customFormat="1" ht="21" customHeight="1" thickBot="1" x14ac:dyDescent="0.25">
      <c r="A27" s="1856">
        <v>15</v>
      </c>
      <c r="B27" s="1129" t="str">
        <f t="shared" si="0"/>
        <v>EZZZZEZ15</v>
      </c>
      <c r="C27" s="1867" t="str">
        <f>IFERROR(VLOOKUP(B27,'EZ list'!$C$4:$E$463,3,0),"")</f>
        <v/>
      </c>
      <c r="D27" s="1139"/>
      <c r="E27" s="1135"/>
      <c r="F27" s="1137"/>
      <c r="G27" s="1135"/>
      <c r="H27" s="1136"/>
      <c r="I27" s="1135"/>
      <c r="J27" s="1136"/>
      <c r="K27" s="1184" t="str">
        <f t="shared" si="1"/>
        <v/>
      </c>
      <c r="L27" s="1138"/>
      <c r="M27" s="1135"/>
      <c r="N27" s="1137"/>
      <c r="O27" s="1135"/>
      <c r="P27" s="1136"/>
      <c r="Q27" s="1135"/>
      <c r="R27" s="1136"/>
      <c r="S27" s="1184" t="str">
        <f t="shared" si="2"/>
        <v/>
      </c>
      <c r="T27" s="1136"/>
      <c r="U27" s="1135"/>
      <c r="V27" s="1137"/>
      <c r="W27" s="1911" t="str">
        <f>IF(C27="","",IF(VLOOKUP('Part 1'!$L$17,TierSplit!$A$6:$AG$332,10,FALSE)&lt;1,U27,0))</f>
        <v/>
      </c>
      <c r="X27" s="1904"/>
      <c r="Y27" s="1184" t="str">
        <f t="shared" si="3"/>
        <v/>
      </c>
      <c r="Z27" s="1136"/>
      <c r="AA27" s="1134"/>
      <c r="AB27" s="1133"/>
      <c r="AC27" s="1862"/>
      <c r="AD27" s="1142"/>
      <c r="AE27" s="1860"/>
      <c r="AF27" s="1140"/>
    </row>
    <row r="28" spans="1:32" s="1130" customFormat="1" ht="21" customHeight="1" thickBot="1" x14ac:dyDescent="0.25">
      <c r="A28" s="1856">
        <v>16</v>
      </c>
      <c r="B28" s="1129" t="str">
        <f t="shared" si="0"/>
        <v>EZZZZEZ16</v>
      </c>
      <c r="C28" s="1867" t="str">
        <f>IFERROR(VLOOKUP(B28,'EZ list'!$C$4:$E$463,3,0),"")</f>
        <v/>
      </c>
      <c r="D28" s="1139"/>
      <c r="E28" s="1135"/>
      <c r="F28" s="1137"/>
      <c r="G28" s="1135"/>
      <c r="H28" s="1136"/>
      <c r="I28" s="1135"/>
      <c r="J28" s="1136"/>
      <c r="K28" s="1184" t="str">
        <f t="shared" si="1"/>
        <v/>
      </c>
      <c r="L28" s="1138"/>
      <c r="M28" s="1135"/>
      <c r="N28" s="1137"/>
      <c r="O28" s="1135"/>
      <c r="P28" s="1136"/>
      <c r="Q28" s="1135"/>
      <c r="R28" s="1136"/>
      <c r="S28" s="1184" t="str">
        <f t="shared" si="2"/>
        <v/>
      </c>
      <c r="T28" s="1136"/>
      <c r="U28" s="1135"/>
      <c r="V28" s="1137"/>
      <c r="W28" s="1911" t="str">
        <f>IF(C28="","",IF(VLOOKUP('Part 1'!$L$17,TierSplit!$A$6:$AG$332,10,FALSE)&lt;1,U28,0))</f>
        <v/>
      </c>
      <c r="X28" s="1904"/>
      <c r="Y28" s="1184" t="str">
        <f t="shared" si="3"/>
        <v/>
      </c>
      <c r="Z28" s="1136"/>
      <c r="AA28" s="1134"/>
      <c r="AB28" s="1133"/>
      <c r="AC28" s="1862"/>
      <c r="AD28" s="1142"/>
      <c r="AE28" s="1860"/>
      <c r="AF28" s="1140"/>
    </row>
    <row r="29" spans="1:32" s="1130" customFormat="1" ht="21" customHeight="1" thickBot="1" x14ac:dyDescent="0.25">
      <c r="A29" s="1856">
        <v>17</v>
      </c>
      <c r="B29" s="1129" t="str">
        <f t="shared" si="0"/>
        <v>EZZZZEZ17</v>
      </c>
      <c r="C29" s="1867" t="str">
        <f>IFERROR(VLOOKUP(B29,'EZ list'!$C$4:$E$463,3,0),"")</f>
        <v/>
      </c>
      <c r="D29" s="1139"/>
      <c r="E29" s="1135"/>
      <c r="F29" s="1137"/>
      <c r="G29" s="1135"/>
      <c r="H29" s="1136"/>
      <c r="I29" s="1135"/>
      <c r="J29" s="1136"/>
      <c r="K29" s="1184" t="str">
        <f t="shared" si="1"/>
        <v/>
      </c>
      <c r="L29" s="1138"/>
      <c r="M29" s="1135"/>
      <c r="N29" s="1137"/>
      <c r="O29" s="1135"/>
      <c r="P29" s="1136"/>
      <c r="Q29" s="1135"/>
      <c r="R29" s="1136"/>
      <c r="S29" s="1184" t="str">
        <f t="shared" si="2"/>
        <v/>
      </c>
      <c r="T29" s="1136"/>
      <c r="U29" s="1135"/>
      <c r="V29" s="1137"/>
      <c r="W29" s="1911" t="str">
        <f>IF(C29="","",IF(VLOOKUP('Part 1'!$L$17,TierSplit!$A$6:$AG$332,10,FALSE)&lt;1,U29,0))</f>
        <v/>
      </c>
      <c r="X29" s="1904"/>
      <c r="Y29" s="1184" t="str">
        <f t="shared" si="3"/>
        <v/>
      </c>
      <c r="Z29" s="1136"/>
      <c r="AA29" s="1134"/>
      <c r="AB29" s="1133"/>
      <c r="AC29" s="1862"/>
      <c r="AD29" s="1142"/>
      <c r="AE29" s="1860"/>
      <c r="AF29" s="1140"/>
    </row>
    <row r="30" spans="1:32" s="1130" customFormat="1" ht="21" customHeight="1" thickBot="1" x14ac:dyDescent="0.25">
      <c r="A30" s="1856">
        <v>18</v>
      </c>
      <c r="B30" s="1129" t="str">
        <f t="shared" si="0"/>
        <v>EZZZZEZ18</v>
      </c>
      <c r="C30" s="1867" t="str">
        <f>IFERROR(VLOOKUP(B30,'EZ list'!$C$4:$E$463,3,0),"")</f>
        <v/>
      </c>
      <c r="D30" s="1139"/>
      <c r="E30" s="1135"/>
      <c r="F30" s="1137"/>
      <c r="G30" s="1135"/>
      <c r="H30" s="1136"/>
      <c r="I30" s="1135"/>
      <c r="J30" s="1136"/>
      <c r="K30" s="1184" t="str">
        <f t="shared" si="1"/>
        <v/>
      </c>
      <c r="L30" s="1138"/>
      <c r="M30" s="1135"/>
      <c r="N30" s="1137"/>
      <c r="O30" s="1135"/>
      <c r="P30" s="1136"/>
      <c r="Q30" s="1135"/>
      <c r="R30" s="1136"/>
      <c r="S30" s="1184" t="str">
        <f t="shared" si="2"/>
        <v/>
      </c>
      <c r="T30" s="1136"/>
      <c r="U30" s="1135"/>
      <c r="V30" s="1137"/>
      <c r="W30" s="1911" t="str">
        <f>IF(C30="","",IF(VLOOKUP('Part 1'!$L$17,TierSplit!$A$6:$AG$332,10,FALSE)&lt;1,U30,0))</f>
        <v/>
      </c>
      <c r="X30" s="1904"/>
      <c r="Y30" s="1184" t="str">
        <f t="shared" si="3"/>
        <v/>
      </c>
      <c r="Z30" s="1136"/>
      <c r="AA30" s="1134"/>
      <c r="AB30" s="1133"/>
      <c r="AC30" s="1862"/>
      <c r="AD30" s="1142"/>
      <c r="AE30" s="1860"/>
      <c r="AF30" s="1140"/>
    </row>
    <row r="31" spans="1:32" s="1130" customFormat="1" ht="21" customHeight="1" thickBot="1" x14ac:dyDescent="0.25">
      <c r="A31" s="1856">
        <v>19</v>
      </c>
      <c r="B31" s="1129" t="str">
        <f t="shared" si="0"/>
        <v>EZZZZEZ19</v>
      </c>
      <c r="C31" s="1867" t="str">
        <f>IFERROR(VLOOKUP(B31,'EZ list'!$C$4:$E$463,3,0),"")</f>
        <v/>
      </c>
      <c r="D31" s="1139"/>
      <c r="E31" s="1135"/>
      <c r="F31" s="1137"/>
      <c r="G31" s="1135"/>
      <c r="H31" s="1136"/>
      <c r="I31" s="1135"/>
      <c r="J31" s="1136"/>
      <c r="K31" s="1184" t="str">
        <f t="shared" si="1"/>
        <v/>
      </c>
      <c r="L31" s="1138"/>
      <c r="M31" s="1135"/>
      <c r="N31" s="1137"/>
      <c r="O31" s="1135"/>
      <c r="P31" s="1136"/>
      <c r="Q31" s="1135"/>
      <c r="R31" s="1136"/>
      <c r="S31" s="1184" t="str">
        <f t="shared" si="2"/>
        <v/>
      </c>
      <c r="T31" s="1136"/>
      <c r="U31" s="1135"/>
      <c r="V31" s="1137"/>
      <c r="W31" s="1911" t="str">
        <f>IF(C31="","",IF(VLOOKUP('Part 1'!$L$17,TierSplit!$A$6:$AG$332,10,FALSE)&lt;1,U31,0))</f>
        <v/>
      </c>
      <c r="X31" s="1904"/>
      <c r="Y31" s="1184" t="str">
        <f t="shared" si="3"/>
        <v/>
      </c>
      <c r="Z31" s="1136"/>
      <c r="AA31" s="1134"/>
      <c r="AB31" s="1133"/>
      <c r="AC31" s="1862"/>
      <c r="AD31" s="1142"/>
      <c r="AE31" s="1860"/>
      <c r="AF31" s="1140"/>
    </row>
    <row r="32" spans="1:32" s="1130" customFormat="1" ht="21" customHeight="1" thickBot="1" x14ac:dyDescent="0.25">
      <c r="A32" s="1856">
        <v>20</v>
      </c>
      <c r="B32" s="1129" t="str">
        <f t="shared" si="0"/>
        <v>EZZZZEZ20</v>
      </c>
      <c r="C32" s="1867" t="str">
        <f>IFERROR(VLOOKUP(B32,'EZ list'!$C$4:$E$463,3,0),"")</f>
        <v/>
      </c>
      <c r="D32" s="1139"/>
      <c r="E32" s="1135"/>
      <c r="F32" s="1137"/>
      <c r="G32" s="1135"/>
      <c r="H32" s="1136"/>
      <c r="I32" s="1135"/>
      <c r="J32" s="1136"/>
      <c r="K32" s="1184" t="str">
        <f t="shared" si="1"/>
        <v/>
      </c>
      <c r="L32" s="1138"/>
      <c r="M32" s="1135"/>
      <c r="N32" s="1137"/>
      <c r="O32" s="1135"/>
      <c r="P32" s="1136"/>
      <c r="Q32" s="1135"/>
      <c r="R32" s="1136"/>
      <c r="S32" s="1184" t="str">
        <f t="shared" si="2"/>
        <v/>
      </c>
      <c r="T32" s="1136"/>
      <c r="U32" s="1135"/>
      <c r="V32" s="1137"/>
      <c r="W32" s="1911" t="str">
        <f>IF(C32="","",IF(VLOOKUP('Part 1'!$L$17,TierSplit!$A$6:$AG$332,10,FALSE)&lt;1,U32,0))</f>
        <v/>
      </c>
      <c r="X32" s="1904"/>
      <c r="Y32" s="1184" t="str">
        <f t="shared" si="3"/>
        <v/>
      </c>
      <c r="Z32" s="1136"/>
      <c r="AA32" s="1134"/>
      <c r="AB32" s="1133"/>
      <c r="AC32" s="1862"/>
      <c r="AD32" s="1142"/>
      <c r="AE32" s="1860"/>
      <c r="AF32" s="1140"/>
    </row>
    <row r="33" spans="1:32" s="1130" customFormat="1" ht="21" customHeight="1" thickBot="1" x14ac:dyDescent="0.25">
      <c r="A33" s="1856">
        <v>21</v>
      </c>
      <c r="B33" s="1129" t="str">
        <f t="shared" si="0"/>
        <v>EZZZZEZ21</v>
      </c>
      <c r="C33" s="1867" t="str">
        <f>IFERROR(VLOOKUP(B33,'EZ list'!$C$4:$E$463,3,0),"")</f>
        <v/>
      </c>
      <c r="D33" s="1139"/>
      <c r="E33" s="1135"/>
      <c r="F33" s="1137"/>
      <c r="G33" s="1135"/>
      <c r="H33" s="1136"/>
      <c r="I33" s="1135"/>
      <c r="J33" s="1136"/>
      <c r="K33" s="1184" t="str">
        <f t="shared" si="1"/>
        <v/>
      </c>
      <c r="L33" s="1138"/>
      <c r="M33" s="1135"/>
      <c r="N33" s="1137"/>
      <c r="O33" s="1135"/>
      <c r="P33" s="1136"/>
      <c r="Q33" s="1135"/>
      <c r="R33" s="1136"/>
      <c r="S33" s="1184" t="str">
        <f t="shared" si="2"/>
        <v/>
      </c>
      <c r="T33" s="1136"/>
      <c r="U33" s="1135"/>
      <c r="V33" s="1137"/>
      <c r="W33" s="1911" t="str">
        <f>IF(C33="","",IF(VLOOKUP('Part 1'!$L$17,TierSplit!$A$6:$AG$332,10,FALSE)&lt;1,U33,0))</f>
        <v/>
      </c>
      <c r="X33" s="1904"/>
      <c r="Y33" s="1184" t="str">
        <f t="shared" si="3"/>
        <v/>
      </c>
      <c r="Z33" s="1136"/>
      <c r="AA33" s="1134"/>
      <c r="AB33" s="1133"/>
      <c r="AC33" s="1862"/>
      <c r="AD33" s="1142"/>
      <c r="AE33" s="1860"/>
      <c r="AF33" s="1140"/>
    </row>
    <row r="34" spans="1:32" s="1130" customFormat="1" ht="21" customHeight="1" thickBot="1" x14ac:dyDescent="0.25">
      <c r="A34" s="1856">
        <v>22</v>
      </c>
      <c r="B34" s="1129" t="str">
        <f t="shared" si="0"/>
        <v>EZZZZEZ22</v>
      </c>
      <c r="C34" s="1867" t="str">
        <f>IFERROR(VLOOKUP(B34,'EZ list'!$C$4:$E$463,3,0),"")</f>
        <v/>
      </c>
      <c r="D34" s="1139"/>
      <c r="E34" s="1135"/>
      <c r="F34" s="1137"/>
      <c r="G34" s="1135"/>
      <c r="H34" s="1136"/>
      <c r="I34" s="1135"/>
      <c r="J34" s="1136"/>
      <c r="K34" s="1184" t="str">
        <f t="shared" si="1"/>
        <v/>
      </c>
      <c r="L34" s="1138"/>
      <c r="M34" s="1135"/>
      <c r="N34" s="1137"/>
      <c r="O34" s="1135"/>
      <c r="P34" s="1136"/>
      <c r="Q34" s="1135"/>
      <c r="R34" s="1136"/>
      <c r="S34" s="1184" t="str">
        <f t="shared" si="2"/>
        <v/>
      </c>
      <c r="T34" s="1136"/>
      <c r="U34" s="1135"/>
      <c r="V34" s="1137"/>
      <c r="W34" s="1911" t="str">
        <f>IF(C34="","",IF(VLOOKUP('Part 1'!$L$17,TierSplit!$A$6:$AG$332,10,FALSE)&lt;1,U34,0))</f>
        <v/>
      </c>
      <c r="X34" s="1904"/>
      <c r="Y34" s="1184" t="str">
        <f t="shared" si="3"/>
        <v/>
      </c>
      <c r="Z34" s="1136"/>
      <c r="AA34" s="1134"/>
      <c r="AB34" s="1133"/>
      <c r="AC34" s="1862"/>
      <c r="AD34" s="1142"/>
      <c r="AE34" s="1860"/>
      <c r="AF34" s="1140"/>
    </row>
    <row r="35" spans="1:32" s="1130" customFormat="1" ht="21" customHeight="1" thickBot="1" x14ac:dyDescent="0.25">
      <c r="A35" s="1856">
        <v>23</v>
      </c>
      <c r="B35" s="1129" t="str">
        <f t="shared" si="0"/>
        <v>EZZZZEZ23</v>
      </c>
      <c r="C35" s="1867" t="str">
        <f>IFERROR(VLOOKUP(B35,'EZ list'!$C$4:$E$463,3,0),"")</f>
        <v/>
      </c>
      <c r="D35" s="1139"/>
      <c r="E35" s="1135"/>
      <c r="F35" s="1137"/>
      <c r="G35" s="1135"/>
      <c r="H35" s="1136"/>
      <c r="I35" s="1135"/>
      <c r="J35" s="1136"/>
      <c r="K35" s="1184" t="str">
        <f t="shared" si="1"/>
        <v/>
      </c>
      <c r="L35" s="1138"/>
      <c r="M35" s="1135"/>
      <c r="N35" s="1137"/>
      <c r="O35" s="1135"/>
      <c r="P35" s="1136"/>
      <c r="Q35" s="1135"/>
      <c r="R35" s="1136"/>
      <c r="S35" s="1184" t="str">
        <f t="shared" si="2"/>
        <v/>
      </c>
      <c r="T35" s="1136"/>
      <c r="U35" s="1135"/>
      <c r="V35" s="1137"/>
      <c r="W35" s="1911" t="str">
        <f>IF(C35="","",IF(VLOOKUP('Part 1'!$L$17,TierSplit!$A$6:$AG$332,10,FALSE)&lt;1,U35,0))</f>
        <v/>
      </c>
      <c r="X35" s="1904"/>
      <c r="Y35" s="1184" t="str">
        <f t="shared" si="3"/>
        <v/>
      </c>
      <c r="Z35" s="1136"/>
      <c r="AA35" s="1134"/>
      <c r="AB35" s="1133"/>
      <c r="AC35" s="1862"/>
      <c r="AD35" s="1142"/>
      <c r="AE35" s="1860"/>
      <c r="AF35" s="1140"/>
    </row>
    <row r="36" spans="1:32" s="1130" customFormat="1" ht="21" customHeight="1" thickBot="1" x14ac:dyDescent="0.25">
      <c r="A36" s="1856">
        <v>24</v>
      </c>
      <c r="B36" s="1129" t="str">
        <f t="shared" si="0"/>
        <v>EZZZZEZ24</v>
      </c>
      <c r="C36" s="1867" t="str">
        <f>IFERROR(VLOOKUP(B36,'EZ list'!$C$4:$E$463,3,0),"")</f>
        <v/>
      </c>
      <c r="D36" s="1139"/>
      <c r="E36" s="1135"/>
      <c r="F36" s="1137"/>
      <c r="G36" s="1135"/>
      <c r="H36" s="1136"/>
      <c r="I36" s="1135"/>
      <c r="J36" s="1136"/>
      <c r="K36" s="1184" t="str">
        <f t="shared" si="1"/>
        <v/>
      </c>
      <c r="L36" s="1138"/>
      <c r="M36" s="1135"/>
      <c r="N36" s="1137"/>
      <c r="O36" s="1135"/>
      <c r="P36" s="1136"/>
      <c r="Q36" s="1135"/>
      <c r="R36" s="1136"/>
      <c r="S36" s="1184" t="str">
        <f t="shared" si="2"/>
        <v/>
      </c>
      <c r="T36" s="1136"/>
      <c r="U36" s="1135"/>
      <c r="V36" s="1137"/>
      <c r="W36" s="1911" t="str">
        <f>IF(C36="","",IF(VLOOKUP('Part 1'!$L$17,TierSplit!$A$6:$AG$332,10,FALSE)&lt;1,U36,0))</f>
        <v/>
      </c>
      <c r="X36" s="1904"/>
      <c r="Y36" s="1184" t="str">
        <f t="shared" si="3"/>
        <v/>
      </c>
      <c r="Z36" s="1136"/>
      <c r="AA36" s="1134"/>
      <c r="AB36" s="1133"/>
      <c r="AC36" s="1862"/>
      <c r="AD36" s="1141"/>
      <c r="AE36" s="1860"/>
      <c r="AF36" s="1140"/>
    </row>
    <row r="37" spans="1:32" s="1130" customFormat="1" ht="21" customHeight="1" thickBot="1" x14ac:dyDescent="0.25">
      <c r="A37" s="1856">
        <v>25</v>
      </c>
      <c r="B37" s="1129" t="str">
        <f t="shared" si="0"/>
        <v>EZZZZEZ25</v>
      </c>
      <c r="C37" s="1867" t="str">
        <f>IFERROR(VLOOKUP(B37,'EZ list'!$C$4:$E$463,3,0),"")</f>
        <v/>
      </c>
      <c r="D37" s="1139"/>
      <c r="E37" s="1135"/>
      <c r="F37" s="1137"/>
      <c r="G37" s="1135"/>
      <c r="H37" s="1136"/>
      <c r="I37" s="1135"/>
      <c r="J37" s="1136"/>
      <c r="K37" s="1184" t="str">
        <f t="shared" si="1"/>
        <v/>
      </c>
      <c r="L37" s="1138"/>
      <c r="M37" s="1135"/>
      <c r="N37" s="1137"/>
      <c r="O37" s="1135"/>
      <c r="P37" s="1136"/>
      <c r="Q37" s="1135"/>
      <c r="R37" s="1136"/>
      <c r="S37" s="1184" t="str">
        <f t="shared" si="2"/>
        <v/>
      </c>
      <c r="T37" s="1136"/>
      <c r="U37" s="1135"/>
      <c r="V37" s="1137"/>
      <c r="W37" s="1911" t="str">
        <f>IF(C37="","",IF(VLOOKUP('Part 1'!$L$17,TierSplit!$A$6:$AG$332,10,FALSE)&lt;1,U37,0))</f>
        <v/>
      </c>
      <c r="X37" s="1904"/>
      <c r="Y37" s="1184" t="str">
        <f t="shared" si="3"/>
        <v/>
      </c>
      <c r="Z37" s="1136"/>
      <c r="AA37" s="1134"/>
      <c r="AB37" s="1133"/>
      <c r="AC37" s="1862"/>
      <c r="AD37" s="1132"/>
      <c r="AE37" s="1860"/>
    </row>
    <row r="38" spans="1:32" s="1130" customFormat="1" ht="21" customHeight="1" thickBot="1" x14ac:dyDescent="0.25">
      <c r="A38" s="1856">
        <v>26</v>
      </c>
      <c r="B38" s="1129" t="str">
        <f t="shared" si="0"/>
        <v>EZZZZEZ26</v>
      </c>
      <c r="C38" s="1867" t="str">
        <f>IFERROR(VLOOKUP(B38,'EZ list'!$C$4:$E$463,3,0),"")</f>
        <v/>
      </c>
      <c r="D38" s="1139"/>
      <c r="E38" s="1135"/>
      <c r="F38" s="1137"/>
      <c r="G38" s="1135"/>
      <c r="H38" s="1136"/>
      <c r="I38" s="1135"/>
      <c r="J38" s="1136"/>
      <c r="K38" s="1184" t="str">
        <f t="shared" si="1"/>
        <v/>
      </c>
      <c r="L38" s="1138"/>
      <c r="M38" s="1135"/>
      <c r="N38" s="1137"/>
      <c r="O38" s="1135"/>
      <c r="P38" s="1136"/>
      <c r="Q38" s="1135"/>
      <c r="R38" s="1136"/>
      <c r="S38" s="1184" t="str">
        <f t="shared" si="2"/>
        <v/>
      </c>
      <c r="T38" s="1136"/>
      <c r="U38" s="1135"/>
      <c r="V38" s="1137"/>
      <c r="W38" s="1911" t="str">
        <f>IF(C38="","",IF(VLOOKUP('Part 1'!$L$17,TierSplit!$A$6:$AG$332,10,FALSE)&lt;1,U38,0))</f>
        <v/>
      </c>
      <c r="X38" s="1904"/>
      <c r="Y38" s="1184" t="str">
        <f t="shared" si="3"/>
        <v/>
      </c>
      <c r="Z38" s="1136"/>
      <c r="AA38" s="1134"/>
      <c r="AB38" s="1133"/>
      <c r="AC38" s="1862"/>
      <c r="AD38" s="1132"/>
      <c r="AE38" s="1860"/>
    </row>
    <row r="39" spans="1:32" s="1130" customFormat="1" ht="21" customHeight="1" thickBot="1" x14ac:dyDescent="0.25">
      <c r="A39" s="1856">
        <v>27</v>
      </c>
      <c r="B39" s="1129" t="str">
        <f t="shared" si="0"/>
        <v>EZZZZEZ27</v>
      </c>
      <c r="C39" s="1867" t="str">
        <f>IFERROR(VLOOKUP(B39,'EZ list'!$C$4:$E$463,3,0),"")</f>
        <v/>
      </c>
      <c r="D39" s="1139"/>
      <c r="E39" s="1135"/>
      <c r="F39" s="1137"/>
      <c r="G39" s="1135"/>
      <c r="H39" s="1136"/>
      <c r="I39" s="1135"/>
      <c r="J39" s="1136"/>
      <c r="K39" s="1184" t="str">
        <f t="shared" si="1"/>
        <v/>
      </c>
      <c r="L39" s="1138"/>
      <c r="M39" s="1135"/>
      <c r="N39" s="1137"/>
      <c r="O39" s="1135"/>
      <c r="P39" s="1136"/>
      <c r="Q39" s="1135"/>
      <c r="R39" s="1136"/>
      <c r="S39" s="1184" t="str">
        <f t="shared" si="2"/>
        <v/>
      </c>
      <c r="T39" s="1136"/>
      <c r="U39" s="1135"/>
      <c r="V39" s="1137"/>
      <c r="W39" s="1911" t="str">
        <f>IF(C39="","",IF(VLOOKUP('Part 1'!$L$17,TierSplit!$A$6:$AG$332,10,FALSE)&lt;1,U39,0))</f>
        <v/>
      </c>
      <c r="X39" s="1904"/>
      <c r="Y39" s="1184" t="str">
        <f t="shared" si="3"/>
        <v/>
      </c>
      <c r="Z39" s="1136"/>
      <c r="AA39" s="1134"/>
      <c r="AB39" s="1133"/>
      <c r="AC39" s="1862"/>
      <c r="AD39" s="1132"/>
      <c r="AE39" s="1860"/>
    </row>
    <row r="40" spans="1:32" s="1130" customFormat="1" ht="21" customHeight="1" thickBot="1" x14ac:dyDescent="0.25">
      <c r="A40" s="1856">
        <v>28</v>
      </c>
      <c r="B40" s="1129" t="str">
        <f t="shared" si="0"/>
        <v>EZZZZEZ28</v>
      </c>
      <c r="C40" s="1867" t="str">
        <f>IFERROR(VLOOKUP(B40,'EZ list'!$C$4:$E$463,3,0),"")</f>
        <v/>
      </c>
      <c r="D40" s="1139"/>
      <c r="E40" s="1135"/>
      <c r="F40" s="1137"/>
      <c r="G40" s="1135"/>
      <c r="H40" s="1136"/>
      <c r="I40" s="1135"/>
      <c r="J40" s="1136"/>
      <c r="K40" s="1184" t="str">
        <f t="shared" si="1"/>
        <v/>
      </c>
      <c r="L40" s="1138"/>
      <c r="M40" s="1135"/>
      <c r="N40" s="1137"/>
      <c r="O40" s="1135"/>
      <c r="P40" s="1136"/>
      <c r="Q40" s="1135"/>
      <c r="R40" s="1136"/>
      <c r="S40" s="1184" t="str">
        <f t="shared" si="2"/>
        <v/>
      </c>
      <c r="T40" s="1136"/>
      <c r="U40" s="1135"/>
      <c r="V40" s="1137"/>
      <c r="W40" s="1911" t="str">
        <f>IF(C40="","",IF(VLOOKUP('Part 1'!$L$17,TierSplit!$A$6:$AG$332,10,FALSE)&lt;1,U40,0))</f>
        <v/>
      </c>
      <c r="X40" s="1904"/>
      <c r="Y40" s="1184" t="str">
        <f t="shared" si="3"/>
        <v/>
      </c>
      <c r="Z40" s="1136"/>
      <c r="AA40" s="1134"/>
      <c r="AB40" s="1133"/>
      <c r="AC40" s="1862"/>
      <c r="AD40" s="1132"/>
      <c r="AE40" s="1860"/>
    </row>
    <row r="41" spans="1:32" s="1130" customFormat="1" ht="21" customHeight="1" thickBot="1" x14ac:dyDescent="0.25">
      <c r="A41" s="1856">
        <v>29</v>
      </c>
      <c r="B41" s="1129" t="str">
        <f t="shared" si="0"/>
        <v>EZZZZEZ29</v>
      </c>
      <c r="C41" s="1867" t="str">
        <f>IFERROR(VLOOKUP(B41,'EZ list'!$C$4:$E$463,3,0),"")</f>
        <v/>
      </c>
      <c r="D41" s="1139"/>
      <c r="E41" s="1135"/>
      <c r="F41" s="1137"/>
      <c r="G41" s="1135"/>
      <c r="H41" s="1136"/>
      <c r="I41" s="1135"/>
      <c r="J41" s="1136"/>
      <c r="K41" s="1184" t="str">
        <f t="shared" si="1"/>
        <v/>
      </c>
      <c r="L41" s="1138"/>
      <c r="M41" s="1135"/>
      <c r="N41" s="1137"/>
      <c r="O41" s="1135"/>
      <c r="P41" s="1136"/>
      <c r="Q41" s="1135"/>
      <c r="R41" s="1136"/>
      <c r="S41" s="1184" t="str">
        <f t="shared" si="2"/>
        <v/>
      </c>
      <c r="T41" s="1136"/>
      <c r="U41" s="1135"/>
      <c r="V41" s="1137"/>
      <c r="W41" s="1911" t="str">
        <f>IF(C41="","",IF(VLOOKUP('Part 1'!$L$17,TierSplit!$A$6:$AG$332,10,FALSE)&lt;1,U41,0))</f>
        <v/>
      </c>
      <c r="X41" s="1904"/>
      <c r="Y41" s="1184" t="str">
        <f t="shared" si="3"/>
        <v/>
      </c>
      <c r="Z41" s="1136"/>
      <c r="AA41" s="1134"/>
      <c r="AB41" s="1133"/>
      <c r="AC41" s="1862"/>
      <c r="AD41" s="1132"/>
      <c r="AE41" s="1860"/>
    </row>
    <row r="42" spans="1:32" s="1130" customFormat="1" ht="21" customHeight="1" thickBot="1" x14ac:dyDescent="0.25">
      <c r="A42" s="1856">
        <v>30</v>
      </c>
      <c r="B42" s="1129" t="str">
        <f t="shared" si="0"/>
        <v>EZZZZEZ30</v>
      </c>
      <c r="C42" s="1867" t="str">
        <f>IFERROR(VLOOKUP(B42,'EZ list'!$C$4:$E$463,3,0),"")</f>
        <v/>
      </c>
      <c r="D42" s="1139"/>
      <c r="E42" s="1135"/>
      <c r="F42" s="1137"/>
      <c r="G42" s="1135"/>
      <c r="H42" s="1136"/>
      <c r="I42" s="1135"/>
      <c r="J42" s="1136"/>
      <c r="K42" s="1184" t="str">
        <f t="shared" si="1"/>
        <v/>
      </c>
      <c r="L42" s="1138"/>
      <c r="M42" s="1135"/>
      <c r="N42" s="1137"/>
      <c r="O42" s="1135"/>
      <c r="P42" s="1136"/>
      <c r="Q42" s="1135"/>
      <c r="R42" s="1136"/>
      <c r="S42" s="1184" t="str">
        <f t="shared" si="2"/>
        <v/>
      </c>
      <c r="T42" s="1136"/>
      <c r="U42" s="1135"/>
      <c r="V42" s="1137"/>
      <c r="W42" s="1911" t="str">
        <f>IF(C42="","",IF(VLOOKUP('Part 1'!$L$17,TierSplit!$A$6:$AG$332,10,FALSE)&lt;1,U42,0))</f>
        <v/>
      </c>
      <c r="X42" s="1904"/>
      <c r="Y42" s="1184" t="str">
        <f t="shared" si="3"/>
        <v/>
      </c>
      <c r="Z42" s="1136"/>
      <c r="AA42" s="1134"/>
      <c r="AB42" s="1133"/>
      <c r="AC42" s="1862"/>
      <c r="AD42" s="1132"/>
      <c r="AE42" s="1860"/>
    </row>
    <row r="43" spans="1:32" s="1130" customFormat="1" ht="21" customHeight="1" thickBot="1" x14ac:dyDescent="0.25">
      <c r="A43" s="1856">
        <v>31</v>
      </c>
      <c r="B43" s="1129" t="str">
        <f t="shared" si="0"/>
        <v>EZZZZEZ31</v>
      </c>
      <c r="C43" s="1867" t="str">
        <f>IFERROR(VLOOKUP(B43,'EZ list'!$C$4:$E$463,3,0),"")</f>
        <v/>
      </c>
      <c r="D43" s="1139"/>
      <c r="E43" s="1135"/>
      <c r="F43" s="1137"/>
      <c r="G43" s="1135"/>
      <c r="H43" s="1136"/>
      <c r="I43" s="1135"/>
      <c r="J43" s="1136"/>
      <c r="K43" s="1184" t="str">
        <f t="shared" si="1"/>
        <v/>
      </c>
      <c r="L43" s="1138"/>
      <c r="M43" s="1135"/>
      <c r="N43" s="1137"/>
      <c r="O43" s="1135"/>
      <c r="P43" s="1136"/>
      <c r="Q43" s="1135"/>
      <c r="R43" s="1136"/>
      <c r="S43" s="1184" t="str">
        <f t="shared" si="2"/>
        <v/>
      </c>
      <c r="T43" s="1136"/>
      <c r="U43" s="1135"/>
      <c r="V43" s="1137"/>
      <c r="W43" s="1911" t="str">
        <f>IF(C43="","",IF(VLOOKUP('Part 1'!$L$17,TierSplit!$A$6:$AG$332,10,FALSE)&lt;1,U43,0))</f>
        <v/>
      </c>
      <c r="X43" s="1904"/>
      <c r="Y43" s="1184" t="str">
        <f t="shared" si="3"/>
        <v/>
      </c>
      <c r="Z43" s="1136"/>
      <c r="AA43" s="1134"/>
      <c r="AB43" s="1133"/>
      <c r="AC43" s="1862"/>
      <c r="AD43" s="1132"/>
      <c r="AE43" s="1860"/>
    </row>
    <row r="44" spans="1:32" s="1130" customFormat="1" ht="21" customHeight="1" thickBot="1" x14ac:dyDescent="0.25">
      <c r="A44" s="1856">
        <v>32</v>
      </c>
      <c r="B44" s="1129" t="str">
        <f t="shared" si="0"/>
        <v>EZZZZEZ32</v>
      </c>
      <c r="C44" s="1867" t="str">
        <f>IFERROR(VLOOKUP(B44,'EZ list'!$C$4:$E$463,3,0),"")</f>
        <v/>
      </c>
      <c r="D44" s="1139"/>
      <c r="E44" s="1135"/>
      <c r="F44" s="1137"/>
      <c r="G44" s="1135"/>
      <c r="H44" s="1136"/>
      <c r="I44" s="1135"/>
      <c r="J44" s="1136"/>
      <c r="K44" s="1184" t="str">
        <f t="shared" si="1"/>
        <v/>
      </c>
      <c r="L44" s="1138"/>
      <c r="M44" s="1135"/>
      <c r="N44" s="1137"/>
      <c r="O44" s="1135"/>
      <c r="P44" s="1136"/>
      <c r="Q44" s="1135"/>
      <c r="R44" s="1136"/>
      <c r="S44" s="1184" t="str">
        <f t="shared" si="2"/>
        <v/>
      </c>
      <c r="T44" s="1136"/>
      <c r="U44" s="1135"/>
      <c r="V44" s="1137"/>
      <c r="W44" s="1911" t="str">
        <f>IF(C44="","",IF(VLOOKUP('Part 1'!$L$17,TierSplit!$A$6:$AG$332,10,FALSE)&lt;1,U44,0))</f>
        <v/>
      </c>
      <c r="X44" s="1904"/>
      <c r="Y44" s="1184" t="str">
        <f t="shared" si="3"/>
        <v/>
      </c>
      <c r="Z44" s="1136"/>
      <c r="AA44" s="1134"/>
      <c r="AB44" s="1133"/>
      <c r="AC44" s="1862"/>
      <c r="AD44" s="1132"/>
      <c r="AE44" s="1860"/>
    </row>
    <row r="45" spans="1:32" s="1130" customFormat="1" ht="21" customHeight="1" thickBot="1" x14ac:dyDescent="0.25">
      <c r="A45" s="1856">
        <v>33</v>
      </c>
      <c r="B45" s="1129" t="str">
        <f t="shared" si="0"/>
        <v>EZZZZEZ33</v>
      </c>
      <c r="C45" s="1867" t="str">
        <f>IFERROR(VLOOKUP(B45,'EZ list'!$C$4:$E$463,3,0),"")</f>
        <v/>
      </c>
      <c r="D45" s="1139"/>
      <c r="E45" s="1135"/>
      <c r="F45" s="1137"/>
      <c r="G45" s="1135"/>
      <c r="H45" s="1136"/>
      <c r="I45" s="1135"/>
      <c r="J45" s="1136"/>
      <c r="K45" s="1184" t="str">
        <f t="shared" si="1"/>
        <v/>
      </c>
      <c r="L45" s="1138"/>
      <c r="M45" s="1135"/>
      <c r="N45" s="1137"/>
      <c r="O45" s="1135"/>
      <c r="P45" s="1136"/>
      <c r="Q45" s="1135"/>
      <c r="R45" s="1136"/>
      <c r="S45" s="1184" t="str">
        <f t="shared" si="2"/>
        <v/>
      </c>
      <c r="T45" s="1136"/>
      <c r="U45" s="1135"/>
      <c r="V45" s="1137"/>
      <c r="W45" s="1911" t="str">
        <f>IF(C45="","",IF(VLOOKUP('Part 1'!$L$17,TierSplit!$A$6:$AG$332,10,FALSE)&lt;1,U45,0))</f>
        <v/>
      </c>
      <c r="X45" s="1904"/>
      <c r="Y45" s="1184" t="str">
        <f t="shared" si="3"/>
        <v/>
      </c>
      <c r="Z45" s="1136"/>
      <c r="AA45" s="1134"/>
      <c r="AB45" s="1133"/>
      <c r="AC45" s="1862"/>
      <c r="AD45" s="1132"/>
      <c r="AE45" s="1860"/>
    </row>
    <row r="46" spans="1:32" s="1130" customFormat="1" ht="21" customHeight="1" thickBot="1" x14ac:dyDescent="0.25">
      <c r="A46" s="1856">
        <v>34</v>
      </c>
      <c r="B46" s="1129" t="str">
        <f t="shared" si="0"/>
        <v>EZZZZEZ34</v>
      </c>
      <c r="C46" s="1867" t="str">
        <f>IFERROR(VLOOKUP(B46,'EZ list'!$C$4:$E$463,3,0),"")</f>
        <v/>
      </c>
      <c r="D46" s="1139"/>
      <c r="E46" s="1135"/>
      <c r="F46" s="1137"/>
      <c r="G46" s="1135"/>
      <c r="H46" s="1136"/>
      <c r="I46" s="1135"/>
      <c r="J46" s="1136"/>
      <c r="K46" s="1184" t="str">
        <f t="shared" si="1"/>
        <v/>
      </c>
      <c r="L46" s="1138"/>
      <c r="M46" s="1135"/>
      <c r="N46" s="1137"/>
      <c r="O46" s="1135"/>
      <c r="P46" s="1136"/>
      <c r="Q46" s="1135"/>
      <c r="R46" s="1136"/>
      <c r="S46" s="1184" t="str">
        <f t="shared" si="2"/>
        <v/>
      </c>
      <c r="T46" s="1136"/>
      <c r="U46" s="1135"/>
      <c r="V46" s="1137"/>
      <c r="W46" s="1911" t="str">
        <f>IF(C46="","",IF(VLOOKUP('Part 1'!$L$17,TierSplit!$A$6:$AG$332,10,FALSE)&lt;1,U46,0))</f>
        <v/>
      </c>
      <c r="X46" s="1904"/>
      <c r="Y46" s="1184" t="str">
        <f t="shared" si="3"/>
        <v/>
      </c>
      <c r="Z46" s="1136"/>
      <c r="AA46" s="1134"/>
      <c r="AB46" s="1133"/>
      <c r="AC46" s="1862"/>
      <c r="AD46" s="1132"/>
      <c r="AE46" s="1860"/>
    </row>
    <row r="47" spans="1:32" s="1130" customFormat="1" ht="21" customHeight="1" thickBot="1" x14ac:dyDescent="0.25">
      <c r="A47" s="1856">
        <v>35</v>
      </c>
      <c r="B47" s="1129" t="str">
        <f t="shared" si="0"/>
        <v>EZZZZEZ35</v>
      </c>
      <c r="C47" s="1867" t="str">
        <f>IFERROR(VLOOKUP(B47,'EZ list'!$C$4:$E$463,3,0),"")</f>
        <v/>
      </c>
      <c r="D47" s="1139"/>
      <c r="E47" s="1135"/>
      <c r="F47" s="1137"/>
      <c r="G47" s="1135"/>
      <c r="H47" s="1136"/>
      <c r="I47" s="1135"/>
      <c r="J47" s="1136"/>
      <c r="K47" s="1184" t="str">
        <f t="shared" si="1"/>
        <v/>
      </c>
      <c r="L47" s="1138"/>
      <c r="M47" s="1135"/>
      <c r="N47" s="1137"/>
      <c r="O47" s="1135"/>
      <c r="P47" s="1136"/>
      <c r="Q47" s="1135"/>
      <c r="R47" s="1136"/>
      <c r="S47" s="1184" t="str">
        <f t="shared" si="2"/>
        <v/>
      </c>
      <c r="T47" s="1136"/>
      <c r="U47" s="1135"/>
      <c r="V47" s="1137"/>
      <c r="W47" s="1911" t="str">
        <f>IF(C47="","",IF(VLOOKUP('Part 1'!$L$17,TierSplit!$A$6:$AG$332,10,FALSE)&lt;1,U47,0))</f>
        <v/>
      </c>
      <c r="X47" s="1904"/>
      <c r="Y47" s="1184" t="str">
        <f t="shared" si="3"/>
        <v/>
      </c>
      <c r="Z47" s="1136"/>
      <c r="AA47" s="1134"/>
      <c r="AB47" s="1133"/>
      <c r="AC47" s="1862"/>
      <c r="AD47" s="1132"/>
      <c r="AE47" s="1860"/>
    </row>
    <row r="48" spans="1:32" s="1130" customFormat="1" ht="21" customHeight="1" thickBot="1" x14ac:dyDescent="0.25">
      <c r="A48" s="1856">
        <v>36</v>
      </c>
      <c r="B48" s="1129" t="str">
        <f t="shared" si="0"/>
        <v>EZZZZEZ36</v>
      </c>
      <c r="C48" s="1867" t="str">
        <f>IFERROR(VLOOKUP(B48,'EZ list'!$C$4:$E$463,3,0),"")</f>
        <v/>
      </c>
      <c r="D48" s="1139"/>
      <c r="E48" s="1135"/>
      <c r="F48" s="1137"/>
      <c r="G48" s="1135"/>
      <c r="H48" s="1136"/>
      <c r="I48" s="1135"/>
      <c r="J48" s="1136"/>
      <c r="K48" s="1184" t="str">
        <f t="shared" si="1"/>
        <v/>
      </c>
      <c r="L48" s="1138"/>
      <c r="M48" s="1135"/>
      <c r="N48" s="1137"/>
      <c r="O48" s="1135"/>
      <c r="P48" s="1136"/>
      <c r="Q48" s="1135"/>
      <c r="R48" s="1136"/>
      <c r="S48" s="1184" t="str">
        <f t="shared" si="2"/>
        <v/>
      </c>
      <c r="T48" s="1136"/>
      <c r="U48" s="1135"/>
      <c r="V48" s="1137"/>
      <c r="W48" s="1911" t="str">
        <f>IF(C48="","",IF(VLOOKUP('Part 1'!$L$17,TierSplit!$A$6:$AG$332,10,FALSE)&lt;1,U48,0))</f>
        <v/>
      </c>
      <c r="X48" s="1904"/>
      <c r="Y48" s="1184" t="str">
        <f t="shared" si="3"/>
        <v/>
      </c>
      <c r="Z48" s="1136"/>
      <c r="AA48" s="1134"/>
      <c r="AB48" s="1133"/>
      <c r="AC48" s="1862"/>
      <c r="AD48" s="1132"/>
      <c r="AE48" s="1860"/>
    </row>
    <row r="49" spans="1:31" s="1130" customFormat="1" ht="21" customHeight="1" thickBot="1" x14ac:dyDescent="0.25">
      <c r="A49" s="1856">
        <v>37</v>
      </c>
      <c r="B49" s="1129" t="str">
        <f t="shared" si="0"/>
        <v>EZZZZEZ37</v>
      </c>
      <c r="C49" s="1867" t="str">
        <f>IFERROR(VLOOKUP(B49,'EZ list'!$C$4:$E$463,3,0),"")</f>
        <v/>
      </c>
      <c r="D49" s="1139"/>
      <c r="E49" s="1135"/>
      <c r="F49" s="1137"/>
      <c r="G49" s="1135"/>
      <c r="H49" s="1136"/>
      <c r="I49" s="1135"/>
      <c r="J49" s="1136"/>
      <c r="K49" s="1184" t="str">
        <f t="shared" si="1"/>
        <v/>
      </c>
      <c r="L49" s="1138"/>
      <c r="M49" s="1135"/>
      <c r="N49" s="1137"/>
      <c r="O49" s="1135"/>
      <c r="P49" s="1136"/>
      <c r="Q49" s="1135"/>
      <c r="R49" s="1136"/>
      <c r="S49" s="1184" t="str">
        <f t="shared" si="2"/>
        <v/>
      </c>
      <c r="T49" s="1136"/>
      <c r="U49" s="1135"/>
      <c r="V49" s="1137"/>
      <c r="W49" s="1911" t="str">
        <f>IF(C49="","",IF(VLOOKUP('Part 1'!$L$17,TierSplit!$A$6:$AG$332,10,FALSE)&lt;1,U49,0))</f>
        <v/>
      </c>
      <c r="X49" s="1904"/>
      <c r="Y49" s="1184" t="str">
        <f t="shared" si="3"/>
        <v/>
      </c>
      <c r="Z49" s="1136"/>
      <c r="AA49" s="1134"/>
      <c r="AB49" s="1133"/>
      <c r="AC49" s="1862"/>
      <c r="AD49" s="1132"/>
      <c r="AE49" s="1860"/>
    </row>
    <row r="50" spans="1:31" s="1130" customFormat="1" ht="21" customHeight="1" thickBot="1" x14ac:dyDescent="0.25">
      <c r="A50" s="1856">
        <v>38</v>
      </c>
      <c r="B50" s="1129" t="str">
        <f t="shared" si="0"/>
        <v>EZZZZEZ38</v>
      </c>
      <c r="C50" s="1867" t="str">
        <f>IFERROR(VLOOKUP(B50,'EZ list'!$C$4:$E$463,3,0),"")</f>
        <v/>
      </c>
      <c r="D50" s="1139"/>
      <c r="E50" s="1135"/>
      <c r="F50" s="1137"/>
      <c r="G50" s="1135"/>
      <c r="H50" s="1136"/>
      <c r="I50" s="1135"/>
      <c r="J50" s="1136"/>
      <c r="K50" s="1184" t="str">
        <f t="shared" si="1"/>
        <v/>
      </c>
      <c r="L50" s="1138"/>
      <c r="M50" s="1135"/>
      <c r="N50" s="1137"/>
      <c r="O50" s="1135"/>
      <c r="P50" s="1136"/>
      <c r="Q50" s="1135"/>
      <c r="R50" s="1136"/>
      <c r="S50" s="1184" t="str">
        <f t="shared" si="2"/>
        <v/>
      </c>
      <c r="T50" s="1136"/>
      <c r="U50" s="1135"/>
      <c r="V50" s="1137"/>
      <c r="W50" s="1911" t="str">
        <f>IF(C50="","",IF(VLOOKUP('Part 1'!$L$17,TierSplit!$A$6:$AG$332,10,FALSE)&lt;1,U50,0))</f>
        <v/>
      </c>
      <c r="X50" s="1904"/>
      <c r="Y50" s="1184" t="str">
        <f t="shared" si="3"/>
        <v/>
      </c>
      <c r="Z50" s="1136"/>
      <c r="AA50" s="1134"/>
      <c r="AB50" s="1133"/>
      <c r="AC50" s="1862"/>
      <c r="AD50" s="1132"/>
      <c r="AE50" s="1860"/>
    </row>
    <row r="51" spans="1:31" s="1130" customFormat="1" ht="21" customHeight="1" thickBot="1" x14ac:dyDescent="0.25">
      <c r="A51" s="1856">
        <v>39</v>
      </c>
      <c r="B51" s="1129" t="str">
        <f t="shared" si="0"/>
        <v>EZZZZEZ39</v>
      </c>
      <c r="C51" s="1867" t="str">
        <f>IFERROR(VLOOKUP(B51,'EZ list'!$C$4:$E$463,3,0),"")</f>
        <v/>
      </c>
      <c r="D51" s="1139"/>
      <c r="E51" s="1135"/>
      <c r="F51" s="1137"/>
      <c r="G51" s="1135"/>
      <c r="H51" s="1136"/>
      <c r="I51" s="1135"/>
      <c r="J51" s="1136"/>
      <c r="K51" s="1184" t="str">
        <f t="shared" si="1"/>
        <v/>
      </c>
      <c r="L51" s="1138"/>
      <c r="M51" s="1135"/>
      <c r="N51" s="1137"/>
      <c r="O51" s="1135"/>
      <c r="P51" s="1136"/>
      <c r="Q51" s="1135"/>
      <c r="R51" s="1136"/>
      <c r="S51" s="1184" t="str">
        <f t="shared" si="2"/>
        <v/>
      </c>
      <c r="T51" s="1136"/>
      <c r="U51" s="1135"/>
      <c r="V51" s="1137"/>
      <c r="W51" s="1911" t="str">
        <f>IF(C51="","",IF(VLOOKUP('Part 1'!$L$17,TierSplit!$A$6:$AG$332,10,FALSE)&lt;1,U51,0))</f>
        <v/>
      </c>
      <c r="X51" s="1904"/>
      <c r="Y51" s="1184" t="str">
        <f t="shared" si="3"/>
        <v/>
      </c>
      <c r="Z51" s="1136"/>
      <c r="AA51" s="1134"/>
      <c r="AB51" s="1133"/>
      <c r="AC51" s="1862"/>
      <c r="AD51" s="1132"/>
      <c r="AE51" s="1860"/>
    </row>
    <row r="52" spans="1:31" s="1130" customFormat="1" ht="21" customHeight="1" thickBot="1" x14ac:dyDescent="0.25">
      <c r="A52" s="1856">
        <v>40</v>
      </c>
      <c r="B52" s="1129" t="str">
        <f t="shared" si="0"/>
        <v>EZZZZEZ40</v>
      </c>
      <c r="C52" s="1867" t="str">
        <f>IFERROR(VLOOKUP(B52,'EZ list'!$C$4:$E$463,3,0),"")</f>
        <v/>
      </c>
      <c r="D52" s="1139"/>
      <c r="E52" s="1135"/>
      <c r="F52" s="1137"/>
      <c r="G52" s="1135"/>
      <c r="H52" s="1136"/>
      <c r="I52" s="1135"/>
      <c r="J52" s="1136"/>
      <c r="K52" s="1184" t="str">
        <f t="shared" si="1"/>
        <v/>
      </c>
      <c r="L52" s="1138"/>
      <c r="M52" s="1135"/>
      <c r="N52" s="1137"/>
      <c r="O52" s="1135"/>
      <c r="P52" s="1136"/>
      <c r="Q52" s="1135"/>
      <c r="R52" s="1136"/>
      <c r="S52" s="1184" t="str">
        <f t="shared" si="2"/>
        <v/>
      </c>
      <c r="T52" s="1136"/>
      <c r="U52" s="1135"/>
      <c r="V52" s="1137"/>
      <c r="W52" s="1911" t="str">
        <f>IF(C52="","",IF(VLOOKUP('Part 1'!$L$17,TierSplit!$A$6:$AG$332,10,FALSE)&lt;1,U52,0))</f>
        <v/>
      </c>
      <c r="X52" s="1904"/>
      <c r="Y52" s="1184" t="str">
        <f t="shared" si="3"/>
        <v/>
      </c>
      <c r="Z52" s="1136"/>
      <c r="AA52" s="1134"/>
      <c r="AB52" s="1133"/>
      <c r="AC52" s="1862"/>
      <c r="AD52" s="1132"/>
      <c r="AE52" s="1860"/>
    </row>
    <row r="53" spans="1:31" s="1130" customFormat="1" ht="21" customHeight="1" thickBot="1" x14ac:dyDescent="0.25">
      <c r="A53" s="1856">
        <v>41</v>
      </c>
      <c r="B53" s="1129" t="str">
        <f t="shared" si="0"/>
        <v>EZZZZEZ41</v>
      </c>
      <c r="C53" s="1867" t="str">
        <f>IFERROR(VLOOKUP(B53,'EZ list'!$C$4:$E$463,3,0),"")</f>
        <v/>
      </c>
      <c r="D53" s="1139"/>
      <c r="E53" s="1135"/>
      <c r="F53" s="1137"/>
      <c r="G53" s="1135"/>
      <c r="H53" s="1136"/>
      <c r="I53" s="1135"/>
      <c r="J53" s="1136"/>
      <c r="K53" s="1184" t="str">
        <f t="shared" si="1"/>
        <v/>
      </c>
      <c r="L53" s="1138"/>
      <c r="M53" s="1135"/>
      <c r="N53" s="1137"/>
      <c r="O53" s="1135"/>
      <c r="P53" s="1136"/>
      <c r="Q53" s="1135"/>
      <c r="R53" s="1136"/>
      <c r="S53" s="1184" t="str">
        <f t="shared" si="2"/>
        <v/>
      </c>
      <c r="T53" s="1136"/>
      <c r="U53" s="1135"/>
      <c r="V53" s="1137"/>
      <c r="W53" s="1911" t="str">
        <f>IF(C53="","",IF(VLOOKUP('Part 1'!$L$17,TierSplit!$A$6:$AG$332,10,FALSE)&lt;1,U53,0))</f>
        <v/>
      </c>
      <c r="X53" s="1904"/>
      <c r="Y53" s="1184" t="str">
        <f t="shared" si="3"/>
        <v/>
      </c>
      <c r="Z53" s="1136"/>
      <c r="AA53" s="1134"/>
      <c r="AB53" s="1133"/>
      <c r="AC53" s="1862"/>
      <c r="AD53" s="1132"/>
      <c r="AE53" s="1860"/>
    </row>
    <row r="54" spans="1:31" ht="18.75" thickBot="1" x14ac:dyDescent="0.25">
      <c r="A54" s="1897"/>
      <c r="B54" s="1895"/>
      <c r="C54" s="1895"/>
      <c r="D54" s="1895"/>
      <c r="E54" s="1895"/>
      <c r="F54" s="1895"/>
      <c r="G54" s="1895"/>
      <c r="H54" s="1895"/>
      <c r="I54" s="1895"/>
      <c r="J54" s="1895"/>
      <c r="K54" s="1895"/>
      <c r="L54" s="1895"/>
      <c r="M54" s="1895"/>
      <c r="N54" s="1895"/>
      <c r="O54" s="1895"/>
      <c r="P54" s="1895"/>
      <c r="Q54" s="1895"/>
      <c r="R54" s="1895"/>
      <c r="S54" s="1895"/>
      <c r="T54" s="1895"/>
      <c r="U54" s="1895"/>
      <c r="V54" s="1895"/>
      <c r="W54" s="1912"/>
      <c r="X54" s="1912"/>
      <c r="Y54" s="1895"/>
      <c r="Z54" s="1895"/>
      <c r="AA54" s="1896"/>
      <c r="AB54" s="1128"/>
    </row>
    <row r="55" spans="1:31" ht="18" x14ac:dyDescent="0.2">
      <c r="A55" s="1129"/>
      <c r="B55" s="1129"/>
      <c r="C55" s="1129"/>
      <c r="D55" s="1129"/>
      <c r="E55" s="1129"/>
      <c r="F55" s="1129"/>
      <c r="G55" s="1129"/>
      <c r="H55" s="1129"/>
      <c r="I55" s="1129"/>
      <c r="J55" s="1129"/>
      <c r="K55" s="1129"/>
      <c r="L55" s="1129"/>
      <c r="M55" s="1129"/>
      <c r="N55" s="1129"/>
      <c r="O55" s="1129"/>
      <c r="P55" s="1129"/>
      <c r="Q55" s="1129"/>
      <c r="R55" s="1129"/>
      <c r="S55" s="1129"/>
      <c r="T55" s="1129"/>
      <c r="U55" s="1129"/>
      <c r="V55" s="1129"/>
      <c r="W55" s="1913"/>
      <c r="X55" s="1913"/>
      <c r="Y55" s="1129"/>
      <c r="Z55" s="1129"/>
      <c r="AA55" s="1894"/>
      <c r="AB55" s="1128"/>
    </row>
    <row r="56" spans="1:31" ht="15.75" thickBot="1" x14ac:dyDescent="0.25">
      <c r="A56" s="1129"/>
      <c r="B56" s="1129"/>
      <c r="C56" s="1129"/>
      <c r="D56" s="1129"/>
      <c r="E56" s="1129"/>
      <c r="F56" s="1129"/>
      <c r="G56" s="1129"/>
      <c r="H56" s="1129"/>
      <c r="I56" s="1129"/>
      <c r="J56" s="1129"/>
      <c r="K56" s="1129"/>
      <c r="L56" s="1129"/>
      <c r="M56" s="1129"/>
      <c r="N56" s="1129"/>
      <c r="O56" s="1129"/>
      <c r="P56" s="1129"/>
      <c r="Q56" s="1129"/>
      <c r="R56" s="1129"/>
      <c r="S56" s="1129"/>
      <c r="T56" s="1129"/>
      <c r="U56" s="1129"/>
      <c r="V56" s="1129"/>
      <c r="W56" s="1913"/>
      <c r="X56" s="1913"/>
      <c r="Y56" s="1129"/>
      <c r="Z56" s="1129"/>
      <c r="AA56" s="1129"/>
      <c r="AB56" s="1128"/>
    </row>
    <row r="57" spans="1:31" ht="16.5" thickBot="1" x14ac:dyDescent="0.3">
      <c r="A57" s="1129"/>
      <c r="B57" s="1129"/>
      <c r="C57" s="1129"/>
      <c r="D57" s="1129"/>
      <c r="E57" s="150"/>
      <c r="F57" s="150"/>
      <c r="G57" s="150"/>
      <c r="H57" s="652" t="s">
        <v>1077</v>
      </c>
      <c r="I57" s="1857"/>
      <c r="J57" s="1858"/>
      <c r="K57" s="1858"/>
      <c r="L57" s="1858"/>
      <c r="M57" s="1858"/>
      <c r="N57" s="1858"/>
      <c r="O57" s="1858"/>
      <c r="P57" s="1858"/>
      <c r="Q57" s="1858"/>
      <c r="R57" s="1859"/>
      <c r="S57" s="1129"/>
      <c r="T57" s="1129"/>
      <c r="U57" s="1129"/>
      <c r="V57" s="1129"/>
      <c r="W57" s="1913"/>
      <c r="X57" s="1913"/>
      <c r="Y57" s="1129"/>
      <c r="Z57" s="1129"/>
      <c r="AA57" s="1129"/>
      <c r="AB57" s="1128"/>
    </row>
    <row r="58" spans="1:31" x14ac:dyDescent="0.2">
      <c r="A58" s="1129"/>
      <c r="B58" s="1129"/>
      <c r="C58" s="1129"/>
      <c r="D58" s="1129"/>
      <c r="E58" s="1129"/>
      <c r="F58" s="1129"/>
      <c r="G58" s="1129"/>
      <c r="H58" s="1129"/>
      <c r="I58" s="1129"/>
      <c r="J58" s="1129"/>
      <c r="K58" s="1129"/>
      <c r="L58" s="1129"/>
      <c r="M58" s="1129"/>
      <c r="N58" s="1129"/>
      <c r="O58" s="1129"/>
      <c r="P58" s="1129"/>
      <c r="Q58" s="1129"/>
      <c r="R58" s="1129"/>
      <c r="S58" s="1129"/>
      <c r="T58" s="1129"/>
      <c r="U58" s="1129"/>
      <c r="V58" s="1129"/>
      <c r="W58" s="1913"/>
      <c r="X58" s="1913"/>
      <c r="Y58" s="1129"/>
      <c r="Z58" s="1129"/>
      <c r="AA58" s="1129"/>
      <c r="AB58" s="1128"/>
    </row>
    <row r="59" spans="1:31" x14ac:dyDescent="0.2">
      <c r="A59" s="1127"/>
      <c r="B59" s="1863"/>
      <c r="C59" s="1864"/>
      <c r="D59" s="1864"/>
      <c r="E59" s="1864"/>
      <c r="F59" s="1864"/>
      <c r="G59" s="1864"/>
      <c r="H59" s="1864"/>
      <c r="I59" s="1865"/>
      <c r="M59" s="1864"/>
      <c r="N59" s="1864"/>
      <c r="O59" s="1864"/>
      <c r="P59" s="1864"/>
      <c r="Q59" s="1865"/>
      <c r="U59" s="1864"/>
      <c r="V59" s="1864"/>
      <c r="W59" s="1914"/>
      <c r="X59" s="1914"/>
      <c r="Y59" s="1865"/>
    </row>
    <row r="60" spans="1:31" x14ac:dyDescent="0.2">
      <c r="A60" s="1127"/>
      <c r="B60" s="1866"/>
      <c r="C60" s="1866"/>
      <c r="D60" s="1866"/>
      <c r="E60" s="1866"/>
      <c r="F60" s="1866"/>
      <c r="G60" s="1866"/>
      <c r="H60" s="1866"/>
      <c r="I60" s="1866"/>
      <c r="M60" s="1866"/>
      <c r="N60" s="1866"/>
      <c r="O60" s="1866"/>
      <c r="P60" s="1866"/>
      <c r="Q60" s="1866"/>
      <c r="U60" s="1866"/>
      <c r="V60" s="1866"/>
      <c r="W60" s="1915"/>
      <c r="X60" s="1915"/>
      <c r="Y60" s="1866"/>
    </row>
    <row r="61" spans="1:31" x14ac:dyDescent="0.2">
      <c r="A61" s="1127"/>
      <c r="B61" s="2242"/>
      <c r="C61" s="2243"/>
      <c r="D61" s="2243"/>
      <c r="E61" s="2243"/>
      <c r="F61" s="2243"/>
      <c r="G61" s="2243"/>
      <c r="H61" s="2243"/>
      <c r="I61" s="2243"/>
      <c r="M61" s="1127"/>
      <c r="N61" s="1127"/>
      <c r="O61" s="1127"/>
      <c r="P61" s="1127"/>
      <c r="Q61" s="1127"/>
    </row>
  </sheetData>
  <sheetProtection sheet="1" objects="1" scenarios="1"/>
  <mergeCells count="12">
    <mergeCell ref="M9:S9"/>
    <mergeCell ref="U9:W9"/>
    <mergeCell ref="B61:I61"/>
    <mergeCell ref="A1:AA1"/>
    <mergeCell ref="B12:C12"/>
    <mergeCell ref="W7:Z7"/>
    <mergeCell ref="G9:I9"/>
    <mergeCell ref="G12:I12"/>
    <mergeCell ref="E4:K4"/>
    <mergeCell ref="M4:S4"/>
    <mergeCell ref="U4:Y4"/>
    <mergeCell ref="U7:U8"/>
  </mergeCells>
  <dataValidations disablePrompts="1" count="5">
    <dataValidation type="custom" operator="equal" allowBlank="1" showInputMessage="1" showErrorMessage="1" error="The number setting their own council tax precept exceeds the sum of parishes and Charter Trustees" sqref="AA13:AA55">
      <formula1>#REF!=0</formula1>
    </dataValidation>
    <dataValidation type="whole" operator="greaterThanOrEqual" allowBlank="1" showInputMessage="1" showErrorMessage="1" errorTitle="Must be positive" sqref="E13:E53 Q13:Q53">
      <formula1>0</formula1>
    </dataValidation>
    <dataValidation type="whole" operator="lessThanOrEqual" allowBlank="1" showInputMessage="1" showErrorMessage="1" errorTitle="Must be negative" sqref="G13:G53 I13:I53">
      <formula1>0</formula1>
    </dataValidation>
    <dataValidation type="whole" operator="greaterThanOrEqual" allowBlank="1" showInputMessage="1" showErrorMessage="1" sqref="M13:M53 U13:U53">
      <formula1>0</formula1>
    </dataValidation>
    <dataValidation type="whole" allowBlank="1" showInputMessage="1" showErrorMessage="1" sqref="O13:O53">
      <formula1>-100000000000</formula1>
      <formula2>100000000000</formula2>
    </dataValidation>
  </dataValidations>
  <printOptions horizontalCentered="1"/>
  <pageMargins left="0.39370078740157483" right="0.39370078740157483" top="0.59055118110236227" bottom="0.59055118110236227" header="0.31496062992125984" footer="0.31496062992125984"/>
  <pageSetup paperSize="9" scale="23" fitToHeight="5" orientation="portrait"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Y79"/>
  <sheetViews>
    <sheetView showGridLines="0" workbookViewId="0"/>
  </sheetViews>
  <sheetFormatPr defaultRowHeight="15" x14ac:dyDescent="0.2"/>
  <cols>
    <col min="1" max="2" width="1.7109375" customWidth="1"/>
    <col min="3" max="4" width="14.28515625" customWidth="1"/>
    <col min="5" max="5" width="47.42578125" customWidth="1"/>
    <col min="6" max="7" width="14.28515625" customWidth="1"/>
    <col min="8" max="8" width="3.7109375" customWidth="1"/>
    <col min="9" max="10" width="11.42578125" customWidth="1"/>
    <col min="11" max="11" width="5.28515625" customWidth="1"/>
    <col min="12" max="13" width="11.5703125" customWidth="1"/>
    <col min="14" max="15" width="1.7109375" customWidth="1"/>
    <col min="16" max="16" width="10.140625" bestFit="1" customWidth="1"/>
    <col min="18" max="18" width="11.7109375" style="497" hidden="1" customWidth="1"/>
  </cols>
  <sheetData>
    <row r="1" spans="1:15" x14ac:dyDescent="0.2">
      <c r="A1" s="144"/>
      <c r="B1" s="145"/>
      <c r="C1" s="145"/>
      <c r="D1" s="145"/>
      <c r="E1" s="145"/>
      <c r="F1" s="145"/>
      <c r="G1" s="145"/>
      <c r="H1" s="145"/>
      <c r="I1" s="145"/>
      <c r="J1" s="145"/>
      <c r="K1" s="145"/>
      <c r="L1" s="145"/>
      <c r="M1" s="145"/>
      <c r="N1" s="145"/>
      <c r="O1" s="146"/>
    </row>
    <row r="2" spans="1:15" ht="15.75" x14ac:dyDescent="0.25">
      <c r="A2" s="2181" t="s">
        <v>36</v>
      </c>
      <c r="B2" s="2182"/>
      <c r="C2" s="2182"/>
      <c r="D2" s="2182"/>
      <c r="E2" s="2182"/>
      <c r="F2" s="2182"/>
      <c r="G2" s="2182"/>
      <c r="H2" s="2182"/>
      <c r="I2" s="2182"/>
      <c r="J2" s="2182"/>
      <c r="K2" s="2182"/>
      <c r="L2" s="2182"/>
      <c r="M2" s="2182"/>
      <c r="N2" s="2182"/>
      <c r="O2" s="2183"/>
    </row>
    <row r="3" spans="1:15" ht="15.75" x14ac:dyDescent="0.25">
      <c r="A3" s="2105" t="s">
        <v>2119</v>
      </c>
      <c r="B3" s="2184"/>
      <c r="C3" s="2184"/>
      <c r="D3" s="2184"/>
      <c r="E3" s="2184"/>
      <c r="F3" s="2184"/>
      <c r="G3" s="2184"/>
      <c r="H3" s="2184"/>
      <c r="I3" s="2184"/>
      <c r="J3" s="2184"/>
      <c r="K3" s="2184"/>
      <c r="L3" s="2184"/>
      <c r="M3" s="2184"/>
      <c r="N3" s="2184"/>
      <c r="O3" s="2185"/>
    </row>
    <row r="4" spans="1:15" ht="15.75" x14ac:dyDescent="0.25">
      <c r="A4" s="627"/>
      <c r="B4" s="335"/>
      <c r="C4" s="335"/>
      <c r="D4" s="335"/>
      <c r="E4" s="335"/>
      <c r="F4" s="335"/>
      <c r="G4" s="335"/>
      <c r="H4" s="335"/>
      <c r="I4" s="335"/>
      <c r="J4" s="335"/>
      <c r="K4" s="335"/>
      <c r="L4" s="335"/>
      <c r="M4" s="335"/>
      <c r="N4" s="335"/>
      <c r="O4" s="336"/>
    </row>
    <row r="5" spans="1:15" x14ac:dyDescent="0.2">
      <c r="A5" s="2085" t="s">
        <v>1070</v>
      </c>
      <c r="B5" s="2086"/>
      <c r="C5" s="2086"/>
      <c r="D5" s="2086"/>
      <c r="E5" s="2086"/>
      <c r="F5" s="2086"/>
      <c r="G5" s="2086"/>
      <c r="H5" s="2086"/>
      <c r="I5" s="2086"/>
      <c r="J5" s="2086"/>
      <c r="K5" s="2086"/>
      <c r="L5" s="2086"/>
      <c r="M5" s="2086"/>
      <c r="N5" s="2086"/>
      <c r="O5" s="2087"/>
    </row>
    <row r="6" spans="1:15" x14ac:dyDescent="0.2">
      <c r="A6" s="626"/>
      <c r="B6" s="335"/>
      <c r="C6" s="335"/>
      <c r="D6" s="335"/>
      <c r="E6" s="335"/>
      <c r="F6" s="335"/>
      <c r="G6" s="335"/>
      <c r="H6" s="335"/>
      <c r="I6" s="335"/>
      <c r="J6" s="335"/>
      <c r="K6" s="335"/>
      <c r="L6" s="335"/>
      <c r="M6" s="335"/>
      <c r="N6" s="335"/>
      <c r="O6" s="336"/>
    </row>
    <row r="7" spans="1:15" x14ac:dyDescent="0.2">
      <c r="A7" s="2085" t="str">
        <f>+IF('Main Validation'!M48=0,"If you are content with your answers please return this form to DCLG as soon as possible","Please check the Validation tab and answer the validation queries that need to be answered")</f>
        <v>Please check the Validation tab and answer the validation queries that need to be answered</v>
      </c>
      <c r="B7" s="2086"/>
      <c r="C7" s="2086"/>
      <c r="D7" s="2086"/>
      <c r="E7" s="2086"/>
      <c r="F7" s="2086"/>
      <c r="G7" s="2086"/>
      <c r="H7" s="2086"/>
      <c r="I7" s="2086"/>
      <c r="J7" s="2086"/>
      <c r="K7" s="2086"/>
      <c r="L7" s="2086"/>
      <c r="M7" s="2086"/>
      <c r="N7" s="2086"/>
      <c r="O7" s="2087"/>
    </row>
    <row r="8" spans="1:15" ht="15.75" thickBot="1" x14ac:dyDescent="0.25">
      <c r="A8" s="147"/>
      <c r="B8" s="148"/>
      <c r="C8" s="148"/>
      <c r="D8" s="148"/>
      <c r="E8" s="148"/>
      <c r="F8" s="148"/>
      <c r="G8" s="148"/>
      <c r="H8" s="148"/>
      <c r="I8" s="148"/>
      <c r="J8" s="148"/>
      <c r="K8" s="148"/>
      <c r="L8" s="971" t="s">
        <v>1195</v>
      </c>
      <c r="M8" s="972">
        <f>+'Part 1'!X21</f>
        <v>1</v>
      </c>
      <c r="N8" s="148"/>
      <c r="O8" s="149"/>
    </row>
    <row r="9" spans="1:15" x14ac:dyDescent="0.2">
      <c r="A9" s="23"/>
      <c r="B9" s="2"/>
      <c r="C9" s="2228"/>
      <c r="D9" s="2228"/>
      <c r="E9" s="641"/>
      <c r="F9" s="641"/>
      <c r="G9" s="2"/>
      <c r="H9" s="2"/>
      <c r="I9" s="2"/>
      <c r="J9" s="2"/>
      <c r="K9" s="2"/>
      <c r="L9" s="2"/>
      <c r="M9" s="2"/>
      <c r="N9" s="2"/>
      <c r="O9" s="125"/>
    </row>
    <row r="10" spans="1:15" ht="18" x14ac:dyDescent="0.25">
      <c r="A10" s="45"/>
      <c r="B10" s="27"/>
      <c r="C10" s="151" t="str">
        <f>+CONCATENATE("Local Authority : ",+'Part 1'!L16)</f>
        <v>Local Authority : ZZZZ</v>
      </c>
      <c r="D10" s="151"/>
      <c r="E10" s="151"/>
      <c r="F10" s="151"/>
      <c r="G10" s="27"/>
      <c r="H10" s="27"/>
      <c r="I10" s="27"/>
      <c r="J10" s="27"/>
      <c r="K10" s="27"/>
      <c r="L10" s="27"/>
      <c r="M10" s="27"/>
      <c r="N10" s="27"/>
      <c r="O10" s="28"/>
    </row>
    <row r="11" spans="1:15" ht="15.75" x14ac:dyDescent="0.25">
      <c r="A11" s="41"/>
      <c r="B11" s="607"/>
      <c r="C11" s="607"/>
      <c r="D11" s="607"/>
      <c r="E11" s="607"/>
      <c r="F11" s="607"/>
      <c r="G11" s="44"/>
      <c r="H11" s="27"/>
      <c r="I11" s="27"/>
      <c r="J11" s="27"/>
      <c r="K11" s="27"/>
      <c r="L11" s="27"/>
      <c r="M11" s="27"/>
      <c r="N11" s="27"/>
      <c r="O11" s="28"/>
    </row>
    <row r="12" spans="1:15" ht="15.75" x14ac:dyDescent="0.25">
      <c r="A12" s="23"/>
      <c r="B12" s="2"/>
      <c r="C12" s="26" t="s">
        <v>825</v>
      </c>
      <c r="D12" s="27"/>
      <c r="E12" s="27"/>
      <c r="F12" s="27"/>
      <c r="G12" s="27"/>
      <c r="H12" s="27"/>
      <c r="I12" s="27"/>
      <c r="J12" s="27"/>
      <c r="K12" s="27"/>
      <c r="L12" s="27"/>
      <c r="M12" s="27"/>
      <c r="N12" s="27"/>
      <c r="O12" s="28"/>
    </row>
    <row r="13" spans="1:15" ht="15.75" x14ac:dyDescent="0.25">
      <c r="A13" s="23"/>
      <c r="B13" s="2"/>
      <c r="C13" s="26"/>
      <c r="D13" s="27"/>
      <c r="E13" s="27"/>
      <c r="F13" s="27"/>
      <c r="G13" s="27"/>
      <c r="H13" s="27"/>
      <c r="I13" s="27"/>
      <c r="J13" s="27"/>
      <c r="K13" s="27"/>
      <c r="L13" s="27"/>
      <c r="M13" s="27"/>
      <c r="N13" s="27"/>
      <c r="O13" s="28"/>
    </row>
    <row r="14" spans="1:15" ht="16.5" thickBot="1" x14ac:dyDescent="0.3">
      <c r="A14" s="23"/>
      <c r="B14" s="2"/>
      <c r="C14" s="26" t="s">
        <v>273</v>
      </c>
      <c r="D14" s="27"/>
      <c r="E14" s="27"/>
      <c r="F14" s="27"/>
      <c r="G14" s="27"/>
      <c r="H14" s="27"/>
      <c r="I14" s="2206" t="s">
        <v>786</v>
      </c>
      <c r="J14" s="2206"/>
      <c r="K14" s="27"/>
      <c r="L14" s="2146" t="s">
        <v>786</v>
      </c>
      <c r="M14" s="2146"/>
      <c r="N14" s="27"/>
      <c r="O14" s="28"/>
    </row>
    <row r="15" spans="1:15" ht="16.5" thickBot="1" x14ac:dyDescent="0.25">
      <c r="A15" s="23"/>
      <c r="B15" s="2"/>
      <c r="C15" s="27" t="s">
        <v>20</v>
      </c>
      <c r="D15" s="27"/>
      <c r="E15" s="27"/>
      <c r="F15" s="27"/>
      <c r="G15" s="27"/>
      <c r="H15" s="27"/>
      <c r="I15" s="134"/>
      <c r="J15" s="134"/>
      <c r="K15" s="134"/>
      <c r="L15" s="2072">
        <v>0</v>
      </c>
      <c r="M15" s="2073"/>
      <c r="N15" s="27"/>
      <c r="O15" s="28"/>
    </row>
    <row r="16" spans="1:15" ht="15.75" x14ac:dyDescent="0.25">
      <c r="A16" s="23"/>
      <c r="B16" s="2"/>
      <c r="C16" s="26"/>
      <c r="D16" s="27"/>
      <c r="E16" s="27"/>
      <c r="F16" s="27"/>
      <c r="G16" s="27"/>
      <c r="H16" s="27"/>
      <c r="I16" s="27"/>
      <c r="J16" s="27"/>
      <c r="K16" s="27"/>
      <c r="L16" s="27"/>
      <c r="M16" s="27"/>
      <c r="N16" s="27"/>
      <c r="O16" s="28"/>
    </row>
    <row r="17" spans="1:20" ht="16.5" thickBot="1" x14ac:dyDescent="0.3">
      <c r="A17" s="23"/>
      <c r="B17" s="2"/>
      <c r="C17" s="13" t="s">
        <v>1084</v>
      </c>
      <c r="D17" s="27"/>
      <c r="E17" s="27"/>
      <c r="F17" s="27"/>
      <c r="G17" s="27"/>
      <c r="H17" s="27"/>
      <c r="I17" s="27"/>
      <c r="J17" s="27"/>
      <c r="K17" s="27"/>
      <c r="L17" s="27"/>
      <c r="M17" s="27"/>
      <c r="N17" s="27"/>
      <c r="O17" s="28"/>
    </row>
    <row r="18" spans="1:20" ht="16.5" thickBot="1" x14ac:dyDescent="0.25">
      <c r="A18" s="23"/>
      <c r="B18" s="2"/>
      <c r="C18" s="10" t="s">
        <v>2149</v>
      </c>
      <c r="D18" s="27"/>
      <c r="E18" s="27"/>
      <c r="F18" s="27"/>
      <c r="G18" s="27"/>
      <c r="H18" s="27"/>
      <c r="I18" s="2072">
        <v>0</v>
      </c>
      <c r="J18" s="2073"/>
      <c r="K18" s="27"/>
      <c r="L18" s="27"/>
      <c r="M18" s="27"/>
      <c r="N18" s="27"/>
      <c r="O18" s="28"/>
      <c r="R18" s="2265" t="s">
        <v>1090</v>
      </c>
    </row>
    <row r="19" spans="1:20" ht="15.75" customHeight="1" thickBot="1" x14ac:dyDescent="0.3">
      <c r="A19" s="23"/>
      <c r="B19" s="2"/>
      <c r="C19" s="13"/>
      <c r="D19" s="27"/>
      <c r="E19" s="27"/>
      <c r="F19" s="27"/>
      <c r="G19" s="27"/>
      <c r="H19" s="27"/>
      <c r="I19" s="27"/>
      <c r="J19" s="27"/>
      <c r="K19" s="27"/>
      <c r="L19" s="27"/>
      <c r="M19" s="27"/>
      <c r="N19" s="27"/>
      <c r="O19" s="28"/>
      <c r="R19" s="2265"/>
    </row>
    <row r="20" spans="1:20" ht="16.5" thickBot="1" x14ac:dyDescent="0.25">
      <c r="A20" s="23"/>
      <c r="B20" s="2"/>
      <c r="C20" s="10" t="s">
        <v>1126</v>
      </c>
      <c r="D20" s="27"/>
      <c r="E20" s="27"/>
      <c r="F20" s="27"/>
      <c r="G20" s="27"/>
      <c r="H20" s="27"/>
      <c r="I20" s="2072">
        <v>0</v>
      </c>
      <c r="J20" s="2073"/>
      <c r="K20" s="27"/>
      <c r="L20" s="27"/>
      <c r="M20" s="27"/>
      <c r="N20" s="27"/>
      <c r="O20" s="28"/>
    </row>
    <row r="21" spans="1:20" ht="16.5" thickBot="1" x14ac:dyDescent="0.3">
      <c r="A21" s="23"/>
      <c r="B21" s="2"/>
      <c r="C21" s="13"/>
      <c r="D21" s="27"/>
      <c r="E21" s="27"/>
      <c r="F21" s="27"/>
      <c r="G21" s="27"/>
      <c r="H21" s="27"/>
      <c r="I21" s="27"/>
      <c r="J21" s="27"/>
      <c r="K21" s="27"/>
      <c r="L21" s="27"/>
      <c r="M21" s="27"/>
      <c r="N21" s="27"/>
      <c r="O21" s="28"/>
    </row>
    <row r="22" spans="1:20" ht="16.5" thickBot="1" x14ac:dyDescent="0.25">
      <c r="A22" s="23"/>
      <c r="B22" s="2"/>
      <c r="C22" s="10" t="s">
        <v>1127</v>
      </c>
      <c r="D22" s="27"/>
      <c r="E22" s="27"/>
      <c r="F22" s="27"/>
      <c r="G22" s="27"/>
      <c r="H22" s="27"/>
      <c r="I22" s="2072">
        <v>0</v>
      </c>
      <c r="J22" s="2073"/>
      <c r="K22" s="27"/>
      <c r="L22" s="27"/>
      <c r="M22" s="27"/>
      <c r="N22" s="27"/>
      <c r="O22" s="28"/>
    </row>
    <row r="23" spans="1:20" ht="16.5" thickBot="1" x14ac:dyDescent="0.3">
      <c r="A23" s="23"/>
      <c r="B23" s="2"/>
      <c r="C23" s="13"/>
      <c r="D23" s="27"/>
      <c r="E23" s="27"/>
      <c r="F23" s="27"/>
      <c r="G23" s="27"/>
      <c r="H23" s="27"/>
      <c r="I23" s="27"/>
      <c r="J23" s="27"/>
      <c r="K23" s="27"/>
      <c r="L23" s="27"/>
      <c r="M23" s="27"/>
      <c r="N23" s="27"/>
      <c r="O23" s="28"/>
    </row>
    <row r="24" spans="1:20" ht="16.5" thickBot="1" x14ac:dyDescent="0.25">
      <c r="A24" s="23"/>
      <c r="B24" s="2"/>
      <c r="C24" s="10" t="s">
        <v>1128</v>
      </c>
      <c r="D24" s="27"/>
      <c r="E24" s="27"/>
      <c r="F24" s="27"/>
      <c r="G24" s="27"/>
      <c r="H24" s="27"/>
      <c r="I24" s="2072">
        <v>0</v>
      </c>
      <c r="J24" s="2073"/>
      <c r="K24" s="27"/>
      <c r="L24" s="27"/>
      <c r="M24" s="27"/>
      <c r="N24" s="27"/>
      <c r="O24" s="28"/>
    </row>
    <row r="25" spans="1:20" ht="16.5" thickBot="1" x14ac:dyDescent="0.3">
      <c r="A25" s="23"/>
      <c r="B25" s="2"/>
      <c r="C25" s="13"/>
      <c r="D25" s="27"/>
      <c r="E25" s="27"/>
      <c r="F25" s="27"/>
      <c r="G25" s="27"/>
      <c r="H25" s="27"/>
      <c r="I25" s="27"/>
      <c r="J25" s="27"/>
      <c r="K25" s="27"/>
      <c r="L25" s="27"/>
      <c r="M25" s="27"/>
      <c r="N25" s="27"/>
      <c r="O25" s="28"/>
      <c r="R25" s="498" t="s">
        <v>73</v>
      </c>
    </row>
    <row r="26" spans="1:20" ht="16.5" thickBot="1" x14ac:dyDescent="0.25">
      <c r="A26" s="23"/>
      <c r="B26" s="2"/>
      <c r="C26" s="10" t="s">
        <v>1129</v>
      </c>
      <c r="D26" s="27"/>
      <c r="E26" s="27"/>
      <c r="F26" s="27"/>
      <c r="G26" s="27"/>
      <c r="H26" s="27"/>
      <c r="I26" s="2072">
        <v>0</v>
      </c>
      <c r="J26" s="2073"/>
      <c r="K26" s="27"/>
      <c r="L26" s="27"/>
      <c r="M26" s="27"/>
      <c r="N26" s="27"/>
      <c r="O26" s="28"/>
      <c r="R26" s="499" t="s">
        <v>71</v>
      </c>
    </row>
    <row r="27" spans="1:20" ht="15.75" thickBot="1" x14ac:dyDescent="0.25">
      <c r="A27" s="23"/>
      <c r="B27" s="2"/>
      <c r="C27" s="10"/>
      <c r="D27" s="27"/>
      <c r="E27" s="27"/>
      <c r="F27" s="27"/>
      <c r="G27" s="27"/>
      <c r="H27" s="27"/>
      <c r="I27" s="27"/>
      <c r="J27" s="27"/>
      <c r="K27" s="27"/>
      <c r="L27" s="27"/>
      <c r="M27" s="27"/>
      <c r="N27" s="27"/>
      <c r="O27" s="28"/>
      <c r="R27" s="499"/>
    </row>
    <row r="28" spans="1:20" ht="16.5" thickBot="1" x14ac:dyDescent="0.3">
      <c r="A28" s="23"/>
      <c r="B28" s="2"/>
      <c r="C28" s="13" t="s">
        <v>1130</v>
      </c>
      <c r="D28" s="27"/>
      <c r="E28" s="27"/>
      <c r="F28" s="27"/>
      <c r="G28" s="27"/>
      <c r="H28" s="27"/>
      <c r="I28" s="671"/>
      <c r="J28" s="671"/>
      <c r="K28" s="27"/>
      <c r="L28" s="2139">
        <f>SUM(I18:I26)</f>
        <v>0</v>
      </c>
      <c r="M28" s="2140"/>
      <c r="N28" s="27"/>
      <c r="O28" s="125"/>
      <c r="R28" s="499">
        <f>IF(+I18+I20+I22+I24+I26-L28=0,0,1)</f>
        <v>0</v>
      </c>
    </row>
    <row r="29" spans="1:20" ht="15.75" x14ac:dyDescent="0.25">
      <c r="A29" s="23"/>
      <c r="B29" s="2"/>
      <c r="C29" s="13"/>
      <c r="D29" s="27"/>
      <c r="E29" s="27"/>
      <c r="F29" s="27"/>
      <c r="G29" s="27"/>
      <c r="H29" s="27"/>
      <c r="I29" s="27"/>
      <c r="J29" s="27"/>
      <c r="K29" s="27"/>
      <c r="L29" s="10"/>
      <c r="M29" s="27"/>
      <c r="N29" s="27"/>
      <c r="O29" s="28"/>
      <c r="R29" s="499"/>
    </row>
    <row r="30" spans="1:20" ht="16.5" thickBot="1" x14ac:dyDescent="0.3">
      <c r="A30" s="23"/>
      <c r="B30" s="2"/>
      <c r="C30" s="13" t="s">
        <v>1091</v>
      </c>
      <c r="D30" s="27"/>
      <c r="E30" s="27"/>
      <c r="F30" s="27"/>
      <c r="G30" s="27"/>
      <c r="H30" s="27"/>
      <c r="I30" s="134"/>
      <c r="J30" s="134"/>
      <c r="K30" s="134"/>
      <c r="L30" s="134"/>
      <c r="M30" s="134"/>
      <c r="N30" s="27"/>
      <c r="O30" s="28"/>
      <c r="R30" s="499"/>
    </row>
    <row r="31" spans="1:20" ht="16.5" thickBot="1" x14ac:dyDescent="0.25">
      <c r="A31" s="23"/>
      <c r="B31" s="2"/>
      <c r="C31" s="10" t="s">
        <v>2150</v>
      </c>
      <c r="D31" s="27"/>
      <c r="E31" s="27"/>
      <c r="F31" s="27"/>
      <c r="G31" s="27"/>
      <c r="H31" s="27"/>
      <c r="I31" s="2072">
        <v>0</v>
      </c>
      <c r="J31" s="2073"/>
      <c r="K31" s="134"/>
      <c r="L31" s="134"/>
      <c r="M31" s="134"/>
      <c r="N31" s="27"/>
      <c r="O31" s="28"/>
      <c r="R31" s="499"/>
      <c r="T31" s="468"/>
    </row>
    <row r="32" spans="1:20" ht="15.75" thickBot="1" x14ac:dyDescent="0.25">
      <c r="A32" s="23"/>
      <c r="B32" s="2"/>
      <c r="C32" s="10"/>
      <c r="D32" s="27"/>
      <c r="E32" s="27"/>
      <c r="F32" s="27"/>
      <c r="G32" s="27"/>
      <c r="H32" s="27"/>
      <c r="I32" s="134"/>
      <c r="J32" s="134"/>
      <c r="K32" s="134"/>
      <c r="L32" s="134"/>
      <c r="M32" s="134"/>
      <c r="N32" s="27"/>
      <c r="O32" s="28"/>
      <c r="R32" s="499"/>
    </row>
    <row r="33" spans="1:20" ht="16.5" thickBot="1" x14ac:dyDescent="0.25">
      <c r="A33" s="23"/>
      <c r="B33" s="2"/>
      <c r="C33" s="10" t="s">
        <v>1131</v>
      </c>
      <c r="D33" s="27"/>
      <c r="E33" s="27"/>
      <c r="F33" s="27"/>
      <c r="G33" s="27"/>
      <c r="H33" s="27"/>
      <c r="I33" s="2072">
        <v>0</v>
      </c>
      <c r="J33" s="2073"/>
      <c r="K33" s="134"/>
      <c r="L33" s="134"/>
      <c r="M33" s="134"/>
      <c r="N33" s="27"/>
      <c r="O33" s="28"/>
      <c r="R33" s="499"/>
      <c r="T33" s="468"/>
    </row>
    <row r="34" spans="1:20" ht="16.5" thickBot="1" x14ac:dyDescent="0.25">
      <c r="A34" s="23"/>
      <c r="B34" s="2"/>
      <c r="C34" s="10"/>
      <c r="D34" s="27"/>
      <c r="E34" s="27"/>
      <c r="F34" s="27"/>
      <c r="G34" s="27"/>
      <c r="H34" s="27"/>
      <c r="I34" s="135"/>
      <c r="J34" s="135"/>
      <c r="K34" s="134"/>
      <c r="L34" s="134"/>
      <c r="M34" s="134"/>
      <c r="N34" s="27"/>
      <c r="O34" s="28"/>
      <c r="R34" s="499"/>
    </row>
    <row r="35" spans="1:20" ht="16.5" thickBot="1" x14ac:dyDescent="0.25">
      <c r="A35" s="23"/>
      <c r="B35" s="2"/>
      <c r="C35" s="10" t="s">
        <v>2151</v>
      </c>
      <c r="D35" s="27"/>
      <c r="E35" s="27"/>
      <c r="F35" s="27"/>
      <c r="G35" s="27"/>
      <c r="H35" s="27"/>
      <c r="I35" s="2072">
        <v>0</v>
      </c>
      <c r="J35" s="2073"/>
      <c r="K35" s="134"/>
      <c r="L35" s="134"/>
      <c r="M35" s="134"/>
      <c r="N35" s="27"/>
      <c r="O35" s="28"/>
      <c r="R35" s="499"/>
      <c r="T35" s="468"/>
    </row>
    <row r="36" spans="1:20" ht="16.5" thickBot="1" x14ac:dyDescent="0.25">
      <c r="A36" s="23"/>
      <c r="B36" s="2"/>
      <c r="C36" s="10"/>
      <c r="D36" s="27"/>
      <c r="E36" s="27"/>
      <c r="F36" s="27"/>
      <c r="G36" s="27"/>
      <c r="H36" s="27"/>
      <c r="I36" s="135"/>
      <c r="J36" s="135"/>
      <c r="K36" s="134"/>
      <c r="L36" s="134"/>
      <c r="M36" s="134"/>
      <c r="N36" s="27"/>
      <c r="O36" s="28"/>
      <c r="R36" s="499"/>
    </row>
    <row r="37" spans="1:20" ht="16.5" thickBot="1" x14ac:dyDescent="0.3">
      <c r="A37" s="23"/>
      <c r="B37" s="2"/>
      <c r="C37" s="13" t="s">
        <v>1132</v>
      </c>
      <c r="D37" s="27"/>
      <c r="E37" s="27"/>
      <c r="F37" s="27"/>
      <c r="G37" s="27"/>
      <c r="H37" s="27"/>
      <c r="I37" s="134"/>
      <c r="J37" s="134"/>
      <c r="K37" s="134"/>
      <c r="L37" s="2139">
        <f>+I31+I33+I35</f>
        <v>0</v>
      </c>
      <c r="M37" s="2140"/>
      <c r="N37" s="27"/>
      <c r="O37" s="125"/>
      <c r="R37" s="499">
        <f>IF(+I31+I33+I35-L37=0,0,1)</f>
        <v>0</v>
      </c>
      <c r="T37" s="468"/>
    </row>
    <row r="38" spans="1:20" x14ac:dyDescent="0.2">
      <c r="A38" s="23"/>
      <c r="B38" s="2"/>
      <c r="C38" s="27"/>
      <c r="D38" s="27"/>
      <c r="E38" s="27"/>
      <c r="F38" s="27"/>
      <c r="G38" s="27"/>
      <c r="H38" s="27"/>
      <c r="I38" s="134"/>
      <c r="J38" s="134"/>
      <c r="K38" s="134"/>
      <c r="L38" s="134"/>
      <c r="M38" s="134"/>
      <c r="N38" s="27"/>
      <c r="O38" s="28"/>
      <c r="R38" s="499"/>
    </row>
    <row r="39" spans="1:20" ht="16.5" thickBot="1" x14ac:dyDescent="0.3">
      <c r="A39" s="23"/>
      <c r="B39" s="2"/>
      <c r="C39" s="13" t="s">
        <v>1085</v>
      </c>
      <c r="D39" s="27"/>
      <c r="E39" s="27"/>
      <c r="F39" s="27"/>
      <c r="G39" s="27"/>
      <c r="H39" s="27"/>
      <c r="I39" s="134"/>
      <c r="J39" s="134"/>
      <c r="K39" s="134"/>
      <c r="L39" s="134"/>
      <c r="M39" s="134"/>
      <c r="N39" s="27"/>
      <c r="O39" s="28"/>
      <c r="R39" s="499"/>
    </row>
    <row r="40" spans="1:20" ht="16.5" thickBot="1" x14ac:dyDescent="0.25">
      <c r="A40" s="23"/>
      <c r="B40" s="2"/>
      <c r="C40" s="10" t="s">
        <v>2152</v>
      </c>
      <c r="D40" s="10"/>
      <c r="E40" s="10"/>
      <c r="F40" s="10"/>
      <c r="G40" s="10"/>
      <c r="H40" s="27"/>
      <c r="I40" s="2072"/>
      <c r="J40" s="2073"/>
      <c r="K40" s="134"/>
      <c r="L40" s="134"/>
      <c r="M40" s="134"/>
      <c r="N40" s="27"/>
      <c r="O40" s="28"/>
      <c r="R40" s="499"/>
      <c r="T40" s="468"/>
    </row>
    <row r="41" spans="1:20" ht="15.75" thickBot="1" x14ac:dyDescent="0.25">
      <c r="A41" s="23"/>
      <c r="B41" s="2"/>
      <c r="C41" s="10"/>
      <c r="D41" s="10"/>
      <c r="E41" s="10"/>
      <c r="F41" s="10"/>
      <c r="G41" s="10"/>
      <c r="H41" s="27"/>
      <c r="I41" s="134"/>
      <c r="J41" s="134"/>
      <c r="K41" s="134"/>
      <c r="L41" s="134"/>
      <c r="M41" s="134"/>
      <c r="N41" s="27"/>
      <c r="O41" s="28"/>
      <c r="R41" s="499"/>
    </row>
    <row r="42" spans="1:20" ht="16.5" thickBot="1" x14ac:dyDescent="0.25">
      <c r="A42" s="23"/>
      <c r="B42" s="2"/>
      <c r="C42" s="2067" t="s">
        <v>2153</v>
      </c>
      <c r="D42" s="2067"/>
      <c r="E42" s="2067"/>
      <c r="F42" s="2067"/>
      <c r="G42" s="2067"/>
      <c r="H42" s="27"/>
      <c r="I42" s="2072"/>
      <c r="J42" s="2073"/>
      <c r="K42" s="134"/>
      <c r="L42" s="134"/>
      <c r="M42" s="134"/>
      <c r="N42" s="27"/>
      <c r="O42" s="28"/>
      <c r="R42" s="499"/>
      <c r="T42" s="468"/>
    </row>
    <row r="43" spans="1:20" x14ac:dyDescent="0.2">
      <c r="A43" s="23"/>
      <c r="B43" s="2"/>
      <c r="C43" s="2067"/>
      <c r="D43" s="2067"/>
      <c r="E43" s="2067"/>
      <c r="F43" s="2067"/>
      <c r="G43" s="2067"/>
      <c r="H43" s="27"/>
      <c r="I43" s="134"/>
      <c r="J43" s="134"/>
      <c r="K43" s="134"/>
      <c r="L43" s="134"/>
      <c r="M43" s="134"/>
      <c r="N43" s="27"/>
      <c r="O43" s="28"/>
      <c r="R43" s="499"/>
    </row>
    <row r="44" spans="1:20" ht="15.75" thickBot="1" x14ac:dyDescent="0.25">
      <c r="A44" s="23"/>
      <c r="B44" s="2"/>
      <c r="C44" s="10"/>
      <c r="D44" s="10"/>
      <c r="E44" s="10"/>
      <c r="F44" s="10"/>
      <c r="G44" s="10"/>
      <c r="H44" s="27"/>
      <c r="I44" s="134"/>
      <c r="J44" s="134"/>
      <c r="K44" s="134"/>
      <c r="L44" s="134"/>
      <c r="M44" s="134"/>
      <c r="N44" s="27"/>
      <c r="O44" s="28"/>
      <c r="R44" s="499"/>
    </row>
    <row r="45" spans="1:20" ht="16.5" thickBot="1" x14ac:dyDescent="0.25">
      <c r="A45" s="23"/>
      <c r="B45" s="2"/>
      <c r="C45" s="10" t="s">
        <v>1133</v>
      </c>
      <c r="D45" s="10"/>
      <c r="E45" s="10"/>
      <c r="F45" s="10"/>
      <c r="G45" s="10"/>
      <c r="H45" s="27"/>
      <c r="I45" s="2072"/>
      <c r="J45" s="2073"/>
      <c r="K45" s="134"/>
      <c r="L45" s="134"/>
      <c r="M45" s="134"/>
      <c r="N45" s="27"/>
      <c r="O45" s="28"/>
      <c r="R45" s="499"/>
      <c r="T45" s="468"/>
    </row>
    <row r="46" spans="1:20" x14ac:dyDescent="0.2">
      <c r="A46" s="23"/>
      <c r="B46" s="2"/>
      <c r="C46" s="10" t="s">
        <v>2154</v>
      </c>
      <c r="D46" s="10"/>
      <c r="E46" s="10"/>
      <c r="F46" s="10"/>
      <c r="G46" s="10"/>
      <c r="H46" s="27"/>
      <c r="I46" s="27"/>
      <c r="J46" s="27"/>
      <c r="K46" s="27"/>
      <c r="L46" s="134"/>
      <c r="M46" s="134"/>
      <c r="N46" s="27"/>
      <c r="O46" s="28"/>
      <c r="R46" s="499"/>
    </row>
    <row r="47" spans="1:20" ht="15.75" thickBot="1" x14ac:dyDescent="0.25">
      <c r="A47" s="23"/>
      <c r="B47" s="2"/>
      <c r="C47" s="10"/>
      <c r="D47" s="10"/>
      <c r="E47" s="10"/>
      <c r="F47" s="10"/>
      <c r="G47" s="10"/>
      <c r="H47" s="27"/>
      <c r="I47" s="134"/>
      <c r="J47" s="134"/>
      <c r="K47" s="134"/>
      <c r="L47" s="134"/>
      <c r="M47" s="134"/>
      <c r="N47" s="27"/>
      <c r="O47" s="28"/>
      <c r="R47" s="499"/>
    </row>
    <row r="48" spans="1:20" ht="16.5" thickBot="1" x14ac:dyDescent="0.25">
      <c r="A48" s="23"/>
      <c r="B48" s="2"/>
      <c r="C48" s="2067" t="s">
        <v>2356</v>
      </c>
      <c r="D48" s="2067"/>
      <c r="E48" s="2067"/>
      <c r="F48" s="2067"/>
      <c r="G48" s="2067"/>
      <c r="H48" s="27"/>
      <c r="I48" s="2072"/>
      <c r="J48" s="2073"/>
      <c r="K48" s="134"/>
      <c r="L48" s="134"/>
      <c r="M48" s="134"/>
      <c r="N48" s="27"/>
      <c r="O48" s="28"/>
      <c r="R48" s="499"/>
      <c r="T48" s="468"/>
    </row>
    <row r="49" spans="1:25" x14ac:dyDescent="0.2">
      <c r="A49" s="23"/>
      <c r="B49" s="2"/>
      <c r="C49" s="2067"/>
      <c r="D49" s="2067"/>
      <c r="E49" s="2067"/>
      <c r="F49" s="2067"/>
      <c r="G49" s="2067"/>
      <c r="H49" s="27"/>
      <c r="I49" s="134"/>
      <c r="J49" s="134"/>
      <c r="K49" s="134"/>
      <c r="L49" s="134"/>
      <c r="M49" s="134"/>
      <c r="N49" s="27"/>
      <c r="O49" s="28"/>
      <c r="R49" s="499"/>
    </row>
    <row r="50" spans="1:25" ht="15.75" thickBot="1" x14ac:dyDescent="0.25">
      <c r="A50" s="23"/>
      <c r="B50" s="2"/>
      <c r="C50" s="678"/>
      <c r="D50" s="678"/>
      <c r="E50" s="678"/>
      <c r="F50" s="678"/>
      <c r="G50" s="678"/>
      <c r="H50" s="27"/>
      <c r="I50" s="134"/>
      <c r="J50" s="134"/>
      <c r="K50" s="134"/>
      <c r="L50" s="134"/>
      <c r="M50" s="134"/>
      <c r="N50" s="27"/>
      <c r="O50" s="28"/>
      <c r="R50" s="499"/>
    </row>
    <row r="51" spans="1:25" ht="16.5" thickBot="1" x14ac:dyDescent="0.25">
      <c r="A51" s="23"/>
      <c r="B51" s="2"/>
      <c r="C51" s="672" t="s">
        <v>1135</v>
      </c>
      <c r="D51" s="678"/>
      <c r="E51" s="678"/>
      <c r="F51" s="678"/>
      <c r="G51" s="678"/>
      <c r="H51" s="27"/>
      <c r="I51" s="2072"/>
      <c r="J51" s="2073"/>
      <c r="K51" s="134"/>
      <c r="L51" s="134"/>
      <c r="M51" s="134"/>
      <c r="N51" s="27"/>
      <c r="O51" s="28"/>
      <c r="R51" s="499"/>
      <c r="T51" s="468"/>
    </row>
    <row r="52" spans="1:25" x14ac:dyDescent="0.2">
      <c r="A52" s="23"/>
      <c r="B52" s="2"/>
      <c r="C52" s="672" t="s">
        <v>2155</v>
      </c>
      <c r="D52" s="678"/>
      <c r="E52" s="678"/>
      <c r="F52" s="678"/>
      <c r="G52" s="678"/>
      <c r="H52" s="27"/>
      <c r="I52" s="134"/>
      <c r="J52" s="134"/>
      <c r="K52" s="134"/>
      <c r="L52" s="134"/>
      <c r="M52" s="134"/>
      <c r="N52" s="27"/>
      <c r="O52" s="28"/>
      <c r="R52" s="499"/>
    </row>
    <row r="53" spans="1:25" ht="15.75" thickBot="1" x14ac:dyDescent="0.25">
      <c r="A53" s="23"/>
      <c r="B53" s="2"/>
      <c r="C53" s="672"/>
      <c r="D53" s="678"/>
      <c r="E53" s="678"/>
      <c r="F53" s="678"/>
      <c r="G53" s="678"/>
      <c r="H53" s="27"/>
      <c r="I53" s="134"/>
      <c r="J53" s="134"/>
      <c r="K53" s="134"/>
      <c r="L53" s="134"/>
      <c r="M53" s="134"/>
      <c r="N53" s="27"/>
      <c r="O53" s="28"/>
      <c r="R53" s="499"/>
    </row>
    <row r="54" spans="1:25" ht="16.5" thickBot="1" x14ac:dyDescent="0.25">
      <c r="A54" s="23"/>
      <c r="B54" s="963"/>
      <c r="C54" s="10" t="s">
        <v>1136</v>
      </c>
      <c r="D54" s="10"/>
      <c r="E54" s="10"/>
      <c r="F54" s="10"/>
      <c r="G54" s="10"/>
      <c r="H54" s="27"/>
      <c r="I54" s="2072"/>
      <c r="J54" s="2073"/>
      <c r="K54" s="2"/>
      <c r="L54" s="134"/>
      <c r="M54" s="134"/>
      <c r="N54" s="27"/>
      <c r="O54" s="28"/>
      <c r="R54" s="499"/>
      <c r="T54" s="468"/>
    </row>
    <row r="55" spans="1:25" ht="16.5" thickBot="1" x14ac:dyDescent="0.25">
      <c r="A55" s="23"/>
      <c r="B55" s="2"/>
      <c r="C55" s="10"/>
      <c r="D55" s="10"/>
      <c r="E55" s="10"/>
      <c r="F55" s="10"/>
      <c r="G55" s="10"/>
      <c r="H55" s="27"/>
      <c r="I55" s="135"/>
      <c r="J55" s="135"/>
      <c r="K55" s="134"/>
      <c r="L55" s="134"/>
      <c r="M55" s="134"/>
      <c r="N55" s="27"/>
      <c r="O55" s="28"/>
      <c r="R55" s="499"/>
    </row>
    <row r="56" spans="1:25" ht="16.5" thickBot="1" x14ac:dyDescent="0.25">
      <c r="A56" s="23"/>
      <c r="B56" s="2"/>
      <c r="C56" s="10" t="s">
        <v>2156</v>
      </c>
      <c r="D56" s="10"/>
      <c r="E56" s="10"/>
      <c r="F56" s="10"/>
      <c r="G56" s="10"/>
      <c r="H56" s="27"/>
      <c r="I56" s="2072"/>
      <c r="J56" s="2073"/>
      <c r="K56" s="134"/>
      <c r="L56" s="134"/>
      <c r="M56" s="134"/>
      <c r="N56" s="27"/>
      <c r="O56" s="28"/>
      <c r="R56" s="499"/>
      <c r="T56" s="468"/>
    </row>
    <row r="57" spans="1:25" ht="16.5" thickBot="1" x14ac:dyDescent="0.25">
      <c r="A57" s="23"/>
      <c r="B57" s="2"/>
      <c r="C57" s="10"/>
      <c r="D57" s="10"/>
      <c r="E57" s="10"/>
      <c r="F57" s="10"/>
      <c r="G57" s="10"/>
      <c r="H57" s="27"/>
      <c r="I57" s="135"/>
      <c r="J57" s="135"/>
      <c r="K57" s="134"/>
      <c r="L57" s="134"/>
      <c r="M57" s="134"/>
      <c r="N57" s="27"/>
      <c r="O57" s="28"/>
      <c r="R57" s="499"/>
    </row>
    <row r="58" spans="1:25" ht="16.5" thickBot="1" x14ac:dyDescent="0.3">
      <c r="A58" s="23"/>
      <c r="B58" s="2"/>
      <c r="C58" s="13" t="s">
        <v>1137</v>
      </c>
      <c r="D58" s="10"/>
      <c r="E58" s="10"/>
      <c r="F58" s="10"/>
      <c r="G58" s="10"/>
      <c r="H58" s="27"/>
      <c r="I58" s="134"/>
      <c r="J58" s="134"/>
      <c r="K58" s="134"/>
      <c r="L58" s="2139">
        <f>+I40+I42+I45+I48+I51+I54+I56</f>
        <v>0</v>
      </c>
      <c r="M58" s="2140"/>
      <c r="N58" s="133"/>
      <c r="O58" s="125"/>
      <c r="R58" s="500">
        <f>IF(+I40+I42+I45+I48+I51+I54+I56-L58=0,0,1)</f>
        <v>0</v>
      </c>
      <c r="T58" s="468"/>
    </row>
    <row r="59" spans="1:25" ht="16.5" thickBot="1" x14ac:dyDescent="0.3">
      <c r="A59" s="23"/>
      <c r="B59" s="2"/>
      <c r="C59" s="26"/>
      <c r="D59" s="27"/>
      <c r="E59" s="27"/>
      <c r="F59" s="27"/>
      <c r="G59" s="27"/>
      <c r="H59" s="27"/>
      <c r="I59" s="134"/>
      <c r="J59" s="134"/>
      <c r="K59" s="134"/>
      <c r="L59" s="134"/>
      <c r="M59" s="134"/>
      <c r="N59" s="133"/>
      <c r="O59" s="28"/>
      <c r="R59" s="499"/>
      <c r="S59" s="334"/>
    </row>
    <row r="60" spans="1:25" ht="15.75" x14ac:dyDescent="0.25">
      <c r="A60" s="23"/>
      <c r="B60" s="293"/>
      <c r="C60" s="294"/>
      <c r="D60" s="295"/>
      <c r="E60" s="295"/>
      <c r="F60" s="295"/>
      <c r="G60" s="295"/>
      <c r="H60" s="295"/>
      <c r="I60" s="296"/>
      <c r="J60" s="296"/>
      <c r="K60" s="296"/>
      <c r="L60" s="296"/>
      <c r="M60" s="296"/>
      <c r="N60" s="297"/>
      <c r="O60" s="28"/>
      <c r="R60" s="499"/>
    </row>
    <row r="61" spans="1:25" ht="15.75" x14ac:dyDescent="0.25">
      <c r="A61" s="23"/>
      <c r="B61" s="298"/>
      <c r="C61" s="20" t="s">
        <v>2157</v>
      </c>
      <c r="D61" s="34"/>
      <c r="E61" s="34"/>
      <c r="F61" s="34"/>
      <c r="G61" s="34"/>
      <c r="H61" s="34"/>
      <c r="I61" s="142"/>
      <c r="J61" s="142"/>
      <c r="K61" s="142"/>
      <c r="L61" s="142"/>
      <c r="M61" s="142"/>
      <c r="N61" s="299"/>
      <c r="O61" s="28"/>
      <c r="R61" s="499"/>
    </row>
    <row r="62" spans="1:25" ht="16.5" thickBot="1" x14ac:dyDescent="0.3">
      <c r="A62" s="23"/>
      <c r="B62" s="298"/>
      <c r="C62" s="20"/>
      <c r="D62" s="34"/>
      <c r="E62" s="34"/>
      <c r="F62" s="34"/>
      <c r="G62" s="34"/>
      <c r="H62" s="34"/>
      <c r="I62" s="142"/>
      <c r="J62" s="142"/>
      <c r="K62" s="142"/>
      <c r="L62" s="2173" t="s">
        <v>786</v>
      </c>
      <c r="M62" s="2173"/>
      <c r="N62" s="299"/>
      <c r="O62" s="28"/>
      <c r="R62" s="499"/>
    </row>
    <row r="63" spans="1:25" ht="16.5" thickBot="1" x14ac:dyDescent="0.25">
      <c r="A63" s="23"/>
      <c r="B63" s="298"/>
      <c r="C63" s="8" t="s">
        <v>2183</v>
      </c>
      <c r="D63" s="34"/>
      <c r="E63" s="34"/>
      <c r="F63" s="34"/>
      <c r="G63" s="34"/>
      <c r="H63" s="34"/>
      <c r="I63" s="142"/>
      <c r="J63" s="142"/>
      <c r="K63" s="142"/>
      <c r="L63" s="2212">
        <f>+L15+L28+L37+L58</f>
        <v>0</v>
      </c>
      <c r="M63" s="2213"/>
      <c r="N63" s="300"/>
      <c r="O63" s="125"/>
      <c r="P63" s="334"/>
      <c r="R63" s="501">
        <f>IF(+L15+L28+L37+L58-L63=0,0,1)</f>
        <v>0</v>
      </c>
      <c r="Y63" s="683"/>
    </row>
    <row r="64" spans="1:25" ht="16.5" thickBot="1" x14ac:dyDescent="0.3">
      <c r="A64" s="23"/>
      <c r="B64" s="301"/>
      <c r="C64" s="302"/>
      <c r="D64" s="303"/>
      <c r="E64" s="303"/>
      <c r="F64" s="303"/>
      <c r="G64" s="303"/>
      <c r="H64" s="303"/>
      <c r="I64" s="303"/>
      <c r="J64" s="303"/>
      <c r="K64" s="303"/>
      <c r="L64" s="673"/>
      <c r="M64" s="303"/>
      <c r="N64" s="304"/>
      <c r="O64" s="28"/>
    </row>
    <row r="65" spans="1:18" ht="16.5" thickBot="1" x14ac:dyDescent="0.3">
      <c r="A65" s="23"/>
      <c r="B65" s="2"/>
      <c r="C65" s="26"/>
      <c r="D65" s="27"/>
      <c r="E65" s="27"/>
      <c r="F65" s="27"/>
      <c r="G65" s="27"/>
      <c r="H65" s="27"/>
      <c r="I65" s="27"/>
      <c r="J65" s="27"/>
      <c r="K65" s="27"/>
      <c r="L65" s="27"/>
      <c r="M65" s="27"/>
      <c r="N65" s="27"/>
      <c r="O65" s="28"/>
    </row>
    <row r="66" spans="1:18" ht="15.75" x14ac:dyDescent="0.25">
      <c r="A66" s="122"/>
      <c r="B66" s="123"/>
      <c r="C66" s="849"/>
      <c r="D66" s="850"/>
      <c r="E66" s="850"/>
      <c r="F66" s="850"/>
      <c r="G66" s="850"/>
      <c r="H66" s="850"/>
      <c r="I66" s="850"/>
      <c r="J66" s="850"/>
      <c r="K66" s="850"/>
      <c r="L66" s="850"/>
      <c r="M66" s="850"/>
      <c r="N66" s="850"/>
      <c r="O66" s="851"/>
    </row>
    <row r="67" spans="1:18" ht="15.75" x14ac:dyDescent="0.25">
      <c r="A67" s="23"/>
      <c r="B67" s="2"/>
      <c r="C67" s="2264" t="str">
        <f>+IF(R69&gt;0,"There are errors in the calculations in this form.  Have you over written some of the pre-filled calculations? Please check.","")</f>
        <v/>
      </c>
      <c r="D67" s="2264"/>
      <c r="E67" s="2264"/>
      <c r="F67" s="2264"/>
      <c r="G67" s="2264"/>
      <c r="H67" s="2264"/>
      <c r="I67" s="2264"/>
      <c r="J67" s="2264"/>
      <c r="K67" s="2264"/>
      <c r="L67" s="2264"/>
      <c r="M67" s="2264"/>
      <c r="N67" s="835"/>
      <c r="O67" s="305"/>
      <c r="R67" s="497" t="s">
        <v>34</v>
      </c>
    </row>
    <row r="68" spans="1:18" ht="16.5" thickBot="1" x14ac:dyDescent="0.3">
      <c r="A68" s="23"/>
      <c r="B68" s="2"/>
      <c r="C68" s="841"/>
      <c r="D68" s="841"/>
      <c r="E68" s="841"/>
      <c r="F68" s="841"/>
      <c r="G68" s="841"/>
      <c r="H68" s="841"/>
      <c r="I68" s="841"/>
      <c r="J68" s="841"/>
      <c r="K68" s="841"/>
      <c r="L68" s="841"/>
      <c r="M68" s="841"/>
      <c r="N68" s="835"/>
      <c r="O68" s="305"/>
    </row>
    <row r="69" spans="1:18" ht="16.5" thickBot="1" x14ac:dyDescent="0.3">
      <c r="A69" s="23"/>
      <c r="B69" s="2"/>
      <c r="C69" s="835"/>
      <c r="D69" s="835"/>
      <c r="E69" s="652" t="s">
        <v>1077</v>
      </c>
      <c r="F69" s="306"/>
      <c r="G69" s="307"/>
      <c r="H69" s="307"/>
      <c r="I69" s="307"/>
      <c r="J69" s="307"/>
      <c r="K69" s="307"/>
      <c r="L69" s="307"/>
      <c r="M69" s="308"/>
      <c r="N69" s="835"/>
      <c r="O69" s="305"/>
      <c r="R69" s="502">
        <f>SUM(R37:R63)</f>
        <v>0</v>
      </c>
    </row>
    <row r="70" spans="1:18" ht="15.75" thickBot="1" x14ac:dyDescent="0.25">
      <c r="A70" s="24"/>
      <c r="B70" s="25"/>
      <c r="C70" s="25"/>
      <c r="D70" s="25"/>
      <c r="E70" s="25"/>
      <c r="F70" s="25"/>
      <c r="G70" s="25"/>
      <c r="H70" s="25"/>
      <c r="I70" s="25"/>
      <c r="J70" s="25"/>
      <c r="K70" s="25"/>
      <c r="L70" s="25"/>
      <c r="M70" s="25"/>
      <c r="N70" s="25"/>
      <c r="O70" s="126"/>
    </row>
    <row r="72" spans="1:18" x14ac:dyDescent="0.2">
      <c r="C72" s="550"/>
      <c r="D72" s="550"/>
    </row>
    <row r="73" spans="1:18" x14ac:dyDescent="0.2">
      <c r="C73" s="503"/>
      <c r="D73" s="550"/>
    </row>
    <row r="74" spans="1:18" ht="15.75" x14ac:dyDescent="0.2">
      <c r="C74" s="2263">
        <f>VLOOKUP(+'Part 1'!$L$17,TierSplit!$A$6:$W$332,15,FALSE)</f>
        <v>0</v>
      </c>
      <c r="D74" s="2263"/>
    </row>
    <row r="75" spans="1:18" x14ac:dyDescent="0.2">
      <c r="C75" s="503"/>
      <c r="D75" s="550"/>
    </row>
    <row r="76" spans="1:18" x14ac:dyDescent="0.2">
      <c r="C76" s="550"/>
      <c r="D76" s="550"/>
    </row>
    <row r="77" spans="1:18" x14ac:dyDescent="0.2">
      <c r="C77" s="550"/>
      <c r="D77" s="550"/>
    </row>
    <row r="78" spans="1:18" x14ac:dyDescent="0.2">
      <c r="C78" s="550"/>
      <c r="D78" s="550"/>
    </row>
    <row r="79" spans="1:18" x14ac:dyDescent="0.2">
      <c r="C79" s="550"/>
      <c r="D79" s="550"/>
    </row>
  </sheetData>
  <sheetProtection sheet="1" objects="1" scenarios="1"/>
  <mergeCells count="33">
    <mergeCell ref="R18:R19"/>
    <mergeCell ref="A2:O2"/>
    <mergeCell ref="A7:O7"/>
    <mergeCell ref="C9:D9"/>
    <mergeCell ref="C42:G43"/>
    <mergeCell ref="I40:J40"/>
    <mergeCell ref="I42:J42"/>
    <mergeCell ref="A3:O3"/>
    <mergeCell ref="I31:J31"/>
    <mergeCell ref="A5:O5"/>
    <mergeCell ref="L14:M14"/>
    <mergeCell ref="I14:J14"/>
    <mergeCell ref="L15:M15"/>
    <mergeCell ref="I35:J35"/>
    <mergeCell ref="I33:J33"/>
    <mergeCell ref="L37:M37"/>
    <mergeCell ref="I45:J45"/>
    <mergeCell ref="I48:J48"/>
    <mergeCell ref="I51:J51"/>
    <mergeCell ref="I56:J56"/>
    <mergeCell ref="I20:J20"/>
    <mergeCell ref="L28:M28"/>
    <mergeCell ref="I26:J26"/>
    <mergeCell ref="I24:J24"/>
    <mergeCell ref="I22:J22"/>
    <mergeCell ref="I18:J18"/>
    <mergeCell ref="C74:D74"/>
    <mergeCell ref="C67:M67"/>
    <mergeCell ref="I54:J54"/>
    <mergeCell ref="L63:M63"/>
    <mergeCell ref="C48:G49"/>
    <mergeCell ref="L62:M62"/>
    <mergeCell ref="L58:M58"/>
  </mergeCells>
  <phoneticPr fontId="5" type="noConversion"/>
  <conditionalFormatting sqref="O63">
    <cfRule type="expression" dxfId="209" priority="6">
      <formula>AND($R63=0)=FALSE</formula>
    </cfRule>
  </conditionalFormatting>
  <conditionalFormatting sqref="O58">
    <cfRule type="expression" dxfId="208" priority="5">
      <formula>AND($R58=0)=FALSE</formula>
    </cfRule>
  </conditionalFormatting>
  <conditionalFormatting sqref="O37">
    <cfRule type="expression" dxfId="207" priority="4">
      <formula>AND($R37=0)=FALSE</formula>
    </cfRule>
  </conditionalFormatting>
  <conditionalFormatting sqref="O28">
    <cfRule type="expression" dxfId="206" priority="3">
      <formula>AND($R28=0)=FALSE</formula>
    </cfRule>
  </conditionalFormatting>
  <dataValidations count="7">
    <dataValidation type="custom" allowBlank="1" showInputMessage="1" showErrorMessage="1" sqref="C74:D74">
      <formula1>"if(c65&lt;&gt;0)"</formula1>
    </dataValidation>
    <dataValidation type="custom" allowBlank="1" showInputMessage="1" showErrorMessage="1" errorTitle="Data entry prohibited" error="You cannot amend this cell" sqref="L37:M37">
      <formula1>"if(P50=""n/a"")"</formula1>
    </dataValidation>
    <dataValidation type="custom" allowBlank="1" showInputMessage="1" showErrorMessage="1" errorTitle="Data entry prohibited" error="You cannot amend this cell_x000a_" sqref="L58:M58">
      <formula1>"if(P50=""n/a"")"</formula1>
    </dataValidation>
    <dataValidation type="whole" operator="lessThanOrEqual" allowBlank="1" showInputMessage="1" showErrorMessage="1" errorTitle="Negative whole number required" error="This number MUST be a negative whole number" sqref="I20:J20 I54:J54 I40:J40 I42:J42 I45:J45 I48:J48 I51:J51 I56:J56">
      <formula1>0</formula1>
    </dataValidation>
    <dataValidation type="whole" operator="greaterThanOrEqual" allowBlank="1" showInputMessage="1" showErrorMessage="1" errorTitle="Positive whole number required" error="This number MUST be a positive whole number" sqref="I18:J18">
      <formula1>0</formula1>
    </dataValidation>
    <dataValidation type="whole" allowBlank="1" showInputMessage="1" showErrorMessage="1" error="Whole numbers only allowed" sqref="L15:M15 I22:J22 I26:J26">
      <formula1>-100000000000000000000</formula1>
      <formula2>100000000000000000000</formula2>
    </dataValidation>
    <dataValidation type="whole" operator="greaterThanOrEqual" allowBlank="1" showInputMessage="1" showErrorMessage="1" errorTitle="Positive number required here" error="This MUST be a positive whole number" sqref="I24:J24 I31:J31 I33:J33 I35:J35">
      <formula1>0</formula1>
    </dataValidation>
  </dataValidations>
  <printOptions horizontalCentered="1" verticalCentered="1"/>
  <pageMargins left="0.39370078740157483" right="0.39370078740157483" top="0.59055118110236227" bottom="0.59055118110236227" header="0.51181102362204722" footer="0.51181102362204722"/>
  <pageSetup paperSize="9" scale="5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123"/>
  <sheetViews>
    <sheetView showGridLines="0" workbookViewId="0"/>
  </sheetViews>
  <sheetFormatPr defaultRowHeight="12.75" x14ac:dyDescent="0.2"/>
  <cols>
    <col min="1" max="1" width="4.7109375" customWidth="1"/>
    <col min="2" max="2" width="22.5703125" style="120" customWidth="1"/>
    <col min="3" max="3" width="53.7109375" style="120" customWidth="1"/>
    <col min="4" max="4" width="4.7109375" style="120" customWidth="1"/>
    <col min="5" max="5" width="24.7109375" style="120" customWidth="1"/>
    <col min="6" max="7" width="2.7109375" style="120" customWidth="1"/>
    <col min="8" max="8" width="24.7109375" style="120" customWidth="1"/>
    <col min="9" max="9" width="6.42578125" style="120" customWidth="1"/>
    <col min="10" max="10" width="15" style="95" bestFit="1" customWidth="1"/>
  </cols>
  <sheetData>
    <row r="1" spans="1:10" s="88" customFormat="1" ht="18" x14ac:dyDescent="0.25">
      <c r="A1" s="207"/>
      <c r="B1" s="207"/>
      <c r="C1" s="207"/>
      <c r="D1" s="207"/>
      <c r="E1" s="207"/>
      <c r="F1" s="207"/>
      <c r="G1" s="207"/>
      <c r="H1" s="207"/>
      <c r="I1" s="208"/>
      <c r="J1" s="87"/>
    </row>
    <row r="2" spans="1:10" s="90" customFormat="1" ht="24" customHeight="1" x14ac:dyDescent="0.25">
      <c r="A2" s="2276" t="s">
        <v>274</v>
      </c>
      <c r="B2" s="2277"/>
      <c r="C2" s="2277"/>
      <c r="D2" s="2277"/>
      <c r="E2" s="2277"/>
      <c r="F2" s="2277"/>
      <c r="G2" s="2277"/>
      <c r="H2" s="2277"/>
      <c r="I2" s="2278"/>
      <c r="J2" s="89"/>
    </row>
    <row r="3" spans="1:10" s="90" customFormat="1" ht="24" customHeight="1" x14ac:dyDescent="0.25">
      <c r="A3" s="2279"/>
      <c r="B3" s="2280"/>
      <c r="C3" s="2280"/>
      <c r="D3" s="2280"/>
      <c r="E3" s="2280"/>
      <c r="F3" s="2280"/>
      <c r="G3" s="2280"/>
      <c r="H3" s="2280"/>
      <c r="I3" s="2281"/>
      <c r="J3" s="89"/>
    </row>
    <row r="4" spans="1:10" s="88" customFormat="1" ht="18" x14ac:dyDescent="0.25">
      <c r="A4" s="209"/>
      <c r="B4" s="2277" t="s">
        <v>275</v>
      </c>
      <c r="C4" s="2280"/>
      <c r="D4" s="2280"/>
      <c r="E4" s="2280"/>
      <c r="F4" s="2280"/>
      <c r="G4" s="2280"/>
      <c r="H4" s="2280"/>
      <c r="I4" s="211"/>
      <c r="J4" s="87"/>
    </row>
    <row r="5" spans="1:10" s="88" customFormat="1" ht="18" x14ac:dyDescent="0.25">
      <c r="A5" s="209"/>
      <c r="B5" s="2280"/>
      <c r="C5" s="2280"/>
      <c r="D5" s="2280"/>
      <c r="E5" s="2280"/>
      <c r="F5" s="2280"/>
      <c r="G5" s="2280"/>
      <c r="H5" s="2280"/>
      <c r="I5" s="211"/>
      <c r="J5" s="87"/>
    </row>
    <row r="6" spans="1:10" s="88" customFormat="1" ht="18" x14ac:dyDescent="0.25">
      <c r="A6" s="209"/>
      <c r="B6" s="91"/>
      <c r="C6" s="91"/>
      <c r="D6" s="91"/>
      <c r="E6" s="91"/>
      <c r="F6" s="91"/>
      <c r="G6" s="91"/>
      <c r="H6" s="91"/>
      <c r="I6" s="211"/>
      <c r="J6" s="87"/>
    </row>
    <row r="7" spans="1:10" s="88" customFormat="1" ht="18" x14ac:dyDescent="0.25">
      <c r="A7" s="209"/>
      <c r="B7" s="2283" t="s">
        <v>580</v>
      </c>
      <c r="C7" s="2283"/>
      <c r="D7" s="2283"/>
      <c r="E7" s="2283"/>
      <c r="F7" s="2283"/>
      <c r="G7" s="2283"/>
      <c r="H7" s="2283"/>
      <c r="I7" s="210"/>
      <c r="J7" s="87"/>
    </row>
    <row r="8" spans="1:10" s="88" customFormat="1" ht="18" x14ac:dyDescent="0.25">
      <c r="A8" s="209"/>
      <c r="B8" s="2283" t="s">
        <v>574</v>
      </c>
      <c r="C8" s="2283"/>
      <c r="D8" s="2283"/>
      <c r="E8" s="2283"/>
      <c r="F8" s="2283"/>
      <c r="G8" s="2283"/>
      <c r="H8" s="2283"/>
      <c r="I8" s="210"/>
      <c r="J8" s="87"/>
    </row>
    <row r="9" spans="1:10" s="88" customFormat="1" ht="18" x14ac:dyDescent="0.25">
      <c r="A9" s="2286"/>
      <c r="B9" s="2283"/>
      <c r="C9" s="2283"/>
      <c r="D9" s="2283"/>
      <c r="E9" s="2283"/>
      <c r="F9" s="2283"/>
      <c r="G9" s="2283"/>
      <c r="H9" s="2283"/>
      <c r="I9" s="2287"/>
      <c r="J9" s="87"/>
    </row>
    <row r="10" spans="1:10" s="88" customFormat="1" ht="18" x14ac:dyDescent="0.25">
      <c r="A10" s="212"/>
      <c r="B10" s="2284" t="s">
        <v>2158</v>
      </c>
      <c r="C10" s="2285"/>
      <c r="D10" s="2285"/>
      <c r="E10" s="2285"/>
      <c r="F10" s="2285"/>
      <c r="G10" s="2285"/>
      <c r="H10" s="2285"/>
      <c r="I10" s="211"/>
      <c r="J10" s="320"/>
    </row>
    <row r="11" spans="1:10" s="88" customFormat="1" ht="18" x14ac:dyDescent="0.25">
      <c r="A11" s="212"/>
      <c r="B11" s="2285"/>
      <c r="C11" s="2285"/>
      <c r="D11" s="2285"/>
      <c r="E11" s="2285"/>
      <c r="F11" s="2285"/>
      <c r="G11" s="2285"/>
      <c r="H11" s="2285"/>
      <c r="I11" s="211"/>
      <c r="J11" s="320"/>
    </row>
    <row r="12" spans="1:10" s="37" customFormat="1" ht="15.75" x14ac:dyDescent="0.25">
      <c r="A12" s="213"/>
      <c r="B12" s="63"/>
      <c r="C12" s="63"/>
      <c r="D12" s="63"/>
      <c r="E12" s="63"/>
      <c r="F12" s="63"/>
      <c r="G12" s="63"/>
      <c r="H12" s="63"/>
      <c r="I12" s="214"/>
      <c r="J12" s="92"/>
    </row>
    <row r="13" spans="1:10" s="37" customFormat="1" ht="15.75" x14ac:dyDescent="0.25">
      <c r="A13" s="213"/>
      <c r="B13" s="93" t="s">
        <v>789</v>
      </c>
      <c r="C13" s="2289" t="str">
        <f>+'Part 1'!L16</f>
        <v>ZZZZ</v>
      </c>
      <c r="D13" s="2290"/>
      <c r="E13" s="93"/>
      <c r="F13" s="93"/>
      <c r="G13" s="93"/>
      <c r="H13" s="94"/>
      <c r="I13" s="214"/>
      <c r="J13" s="92"/>
    </row>
    <row r="14" spans="1:10" s="37" customFormat="1" ht="15.75" x14ac:dyDescent="0.25">
      <c r="A14" s="213"/>
      <c r="B14" s="93" t="s">
        <v>790</v>
      </c>
      <c r="C14" s="2289" t="str">
        <f>+'Part 1'!L17</f>
        <v>EZZZZ</v>
      </c>
      <c r="D14" s="2290"/>
      <c r="E14" s="93"/>
      <c r="F14" s="93"/>
      <c r="G14" s="93"/>
      <c r="H14" s="94"/>
      <c r="I14" s="214"/>
      <c r="J14" s="92"/>
    </row>
    <row r="15" spans="1:10" s="37" customFormat="1" ht="15.75" x14ac:dyDescent="0.25">
      <c r="A15" s="213"/>
      <c r="B15" s="93" t="s">
        <v>571</v>
      </c>
      <c r="C15" s="2269">
        <f>+'Part 1'!L18</f>
        <v>0</v>
      </c>
      <c r="D15" s="2270"/>
      <c r="E15" s="93"/>
      <c r="F15" s="93"/>
      <c r="G15" s="93"/>
      <c r="H15" s="94"/>
      <c r="I15" s="214"/>
      <c r="J15" s="92"/>
    </row>
    <row r="16" spans="1:10" s="37" customFormat="1" ht="15.75" x14ac:dyDescent="0.25">
      <c r="A16" s="213"/>
      <c r="B16" s="93" t="s">
        <v>572</v>
      </c>
      <c r="C16" s="2269">
        <f>+'Part 1'!L19</f>
        <v>0</v>
      </c>
      <c r="D16" s="2270"/>
      <c r="E16" s="93"/>
      <c r="F16" s="93"/>
      <c r="G16" s="93"/>
      <c r="H16" s="94"/>
      <c r="I16" s="214"/>
      <c r="J16" s="92"/>
    </row>
    <row r="17" spans="1:10" s="37" customFormat="1" ht="15.75" x14ac:dyDescent="0.25">
      <c r="A17" s="213"/>
      <c r="B17" s="93" t="s">
        <v>573</v>
      </c>
      <c r="C17" s="2267">
        <f>+'Part 1'!L20</f>
        <v>0</v>
      </c>
      <c r="D17" s="2268"/>
      <c r="E17" s="93"/>
      <c r="F17" s="93"/>
      <c r="G17" s="93"/>
      <c r="H17" s="94"/>
      <c r="I17" s="214"/>
      <c r="J17" s="92"/>
    </row>
    <row r="18" spans="1:10" s="37" customFormat="1" ht="15.75" thickBot="1" x14ac:dyDescent="0.25">
      <c r="A18" s="215"/>
      <c r="B18" s="216"/>
      <c r="C18" s="216"/>
      <c r="D18" s="216"/>
      <c r="E18" s="216"/>
      <c r="F18" s="216"/>
      <c r="G18" s="216"/>
      <c r="H18" s="217" t="s">
        <v>1196</v>
      </c>
      <c r="I18" s="974">
        <v>1</v>
      </c>
      <c r="J18" s="92"/>
    </row>
    <row r="19" spans="1:10" ht="21.95" hidden="1" customHeight="1" x14ac:dyDescent="0.2">
      <c r="A19" s="218"/>
      <c r="B19" s="2271" t="s">
        <v>1023</v>
      </c>
      <c r="C19" s="2272"/>
      <c r="D19" s="2272"/>
      <c r="E19" s="2272"/>
      <c r="F19" s="2272"/>
      <c r="G19" s="2272"/>
      <c r="H19" s="2272"/>
      <c r="I19" s="219"/>
    </row>
    <row r="20" spans="1:10" ht="21.95" hidden="1" customHeight="1" thickBot="1" x14ac:dyDescent="0.25">
      <c r="A20" s="220"/>
      <c r="B20" s="2273"/>
      <c r="C20" s="2273"/>
      <c r="D20" s="2273"/>
      <c r="E20" s="2273"/>
      <c r="F20" s="2273"/>
      <c r="G20" s="2273"/>
      <c r="H20" s="2273"/>
      <c r="I20" s="221"/>
    </row>
    <row r="21" spans="1:10" ht="13.5" thickBot="1" x14ac:dyDescent="0.25">
      <c r="A21" s="222"/>
      <c r="B21" s="96"/>
      <c r="C21" s="96"/>
      <c r="D21" s="96"/>
      <c r="E21" s="96"/>
      <c r="F21" s="96"/>
      <c r="G21" s="96"/>
      <c r="H21" s="96"/>
      <c r="I21" s="223"/>
    </row>
    <row r="22" spans="1:10" s="37" customFormat="1" ht="75.75" thickBot="1" x14ac:dyDescent="0.3">
      <c r="A22" s="224"/>
      <c r="B22" s="2288" t="s">
        <v>2159</v>
      </c>
      <c r="C22" s="2288"/>
      <c r="D22" s="2288"/>
      <c r="E22" s="2288"/>
      <c r="F22" s="34"/>
      <c r="G22" s="34"/>
      <c r="H22" s="601" t="s">
        <v>2160</v>
      </c>
      <c r="I22" s="225"/>
      <c r="J22" s="167"/>
    </row>
    <row r="23" spans="1:10" ht="18.75" thickBot="1" x14ac:dyDescent="0.3">
      <c r="A23" s="226"/>
      <c r="B23" s="33" t="s">
        <v>581</v>
      </c>
      <c r="C23" s="34"/>
      <c r="D23" s="34"/>
      <c r="E23" s="96"/>
      <c r="F23" s="96"/>
      <c r="G23" s="96"/>
      <c r="H23" s="34"/>
      <c r="I23" s="223"/>
      <c r="J23" s="322"/>
    </row>
    <row r="24" spans="1:10" ht="18.75" thickBot="1" x14ac:dyDescent="0.3">
      <c r="A24" s="226"/>
      <c r="B24" s="679" t="s">
        <v>2161</v>
      </c>
      <c r="C24" s="98"/>
      <c r="D24" s="99"/>
      <c r="E24" s="99"/>
      <c r="F24" s="96"/>
      <c r="G24" s="100"/>
      <c r="H24" s="227"/>
      <c r="I24" s="223"/>
      <c r="J24" s="323"/>
    </row>
    <row r="25" spans="1:10" s="85" customFormat="1" ht="12" customHeight="1" thickBot="1" x14ac:dyDescent="0.3">
      <c r="A25" s="226"/>
      <c r="B25" s="101"/>
      <c r="C25" s="101"/>
      <c r="D25" s="102"/>
      <c r="E25" s="102"/>
      <c r="F25" s="103"/>
      <c r="G25" s="104"/>
      <c r="H25" s="324"/>
      <c r="I25" s="228"/>
      <c r="J25" s="325"/>
    </row>
    <row r="26" spans="1:10" ht="18.75" thickBot="1" x14ac:dyDescent="0.3">
      <c r="A26" s="226"/>
      <c r="B26" s="2179" t="s">
        <v>2162</v>
      </c>
      <c r="C26" s="2274"/>
      <c r="D26" s="2275"/>
      <c r="E26" s="2275"/>
      <c r="F26" s="105"/>
      <c r="G26" s="100"/>
      <c r="H26" s="227"/>
      <c r="I26" s="223"/>
      <c r="J26" s="323"/>
    </row>
    <row r="27" spans="1:10" ht="18.75" thickBot="1" x14ac:dyDescent="0.3">
      <c r="A27" s="226"/>
      <c r="B27" s="2274"/>
      <c r="C27" s="2274"/>
      <c r="D27" s="2275"/>
      <c r="E27" s="2275"/>
      <c r="F27" s="103"/>
      <c r="G27" s="100"/>
      <c r="H27" s="324"/>
      <c r="I27" s="223"/>
      <c r="J27" s="323"/>
    </row>
    <row r="28" spans="1:10" ht="18.75" thickBot="1" x14ac:dyDescent="0.3">
      <c r="A28" s="226"/>
      <c r="B28" s="2179" t="s">
        <v>2163</v>
      </c>
      <c r="C28" s="2274"/>
      <c r="D28" s="2275"/>
      <c r="E28" s="2275"/>
      <c r="F28" s="105"/>
      <c r="G28" s="100"/>
      <c r="H28" s="227"/>
      <c r="I28" s="223"/>
      <c r="J28" s="323"/>
    </row>
    <row r="29" spans="1:10" ht="18.75" thickBot="1" x14ac:dyDescent="0.3">
      <c r="A29" s="226"/>
      <c r="B29" s="2274"/>
      <c r="C29" s="2274"/>
      <c r="D29" s="2275"/>
      <c r="E29" s="2275"/>
      <c r="F29" s="103"/>
      <c r="G29" s="106"/>
      <c r="H29" s="324"/>
      <c r="I29" s="223"/>
    </row>
    <row r="30" spans="1:10" ht="18.75" thickBot="1" x14ac:dyDescent="0.3">
      <c r="A30" s="226"/>
      <c r="B30" s="2179" t="s">
        <v>2164</v>
      </c>
      <c r="C30" s="2274"/>
      <c r="D30" s="2275"/>
      <c r="E30" s="2275"/>
      <c r="F30" s="105"/>
      <c r="G30" s="100"/>
      <c r="H30" s="227"/>
      <c r="I30" s="223"/>
      <c r="J30" s="323"/>
    </row>
    <row r="31" spans="1:10" ht="18.75" thickBot="1" x14ac:dyDescent="0.3">
      <c r="A31" s="226"/>
      <c r="B31" s="2274"/>
      <c r="C31" s="2274"/>
      <c r="D31" s="2275"/>
      <c r="E31" s="2275"/>
      <c r="F31" s="103"/>
      <c r="G31" s="100"/>
      <c r="H31" s="324"/>
      <c r="I31" s="223"/>
    </row>
    <row r="32" spans="1:10" ht="18.75" thickBot="1" x14ac:dyDescent="0.3">
      <c r="A32" s="226"/>
      <c r="B32" s="594" t="s">
        <v>2165</v>
      </c>
      <c r="C32" s="107"/>
      <c r="D32" s="102"/>
      <c r="E32" s="102"/>
      <c r="F32" s="103"/>
      <c r="G32" s="100"/>
      <c r="H32" s="229">
        <f>+H34+H36+H38+H40+H42+H44</f>
        <v>0</v>
      </c>
      <c r="I32" s="223"/>
      <c r="J32" s="323"/>
    </row>
    <row r="33" spans="1:10" ht="18.75" thickBot="1" x14ac:dyDescent="0.3">
      <c r="A33" s="226"/>
      <c r="B33" s="107" t="s">
        <v>821</v>
      </c>
      <c r="C33" s="102"/>
      <c r="D33" s="102"/>
      <c r="E33" s="102"/>
      <c r="F33" s="230"/>
      <c r="G33" s="107"/>
      <c r="H33" s="231"/>
      <c r="I33" s="223"/>
      <c r="J33" s="323"/>
    </row>
    <row r="34" spans="1:10" ht="18.75" thickBot="1" x14ac:dyDescent="0.3">
      <c r="A34" s="226"/>
      <c r="B34" s="232" t="s">
        <v>582</v>
      </c>
      <c r="C34" s="232"/>
      <c r="D34" s="107"/>
      <c r="E34" s="102"/>
      <c r="F34" s="233"/>
      <c r="G34" s="108"/>
      <c r="H34" s="227"/>
      <c r="I34" s="223"/>
      <c r="J34" s="323"/>
    </row>
    <row r="35" spans="1:10" s="277" customFormat="1" ht="12" customHeight="1" thickBot="1" x14ac:dyDescent="0.25">
      <c r="A35" s="595"/>
      <c r="B35" s="596"/>
      <c r="C35" s="596"/>
      <c r="D35" s="597"/>
      <c r="E35" s="597"/>
      <c r="F35" s="233"/>
      <c r="G35" s="598"/>
      <c r="H35" s="599"/>
      <c r="I35" s="600"/>
      <c r="J35" s="323"/>
    </row>
    <row r="36" spans="1:10" ht="18.75" thickBot="1" x14ac:dyDescent="0.3">
      <c r="A36" s="226"/>
      <c r="B36" s="232" t="s">
        <v>583</v>
      </c>
      <c r="C36" s="232"/>
      <c r="D36" s="107"/>
      <c r="E36" s="102"/>
      <c r="F36" s="233"/>
      <c r="G36" s="108"/>
      <c r="H36" s="227"/>
      <c r="I36" s="223"/>
      <c r="J36" s="323"/>
    </row>
    <row r="37" spans="1:10" ht="12" customHeight="1" thickBot="1" x14ac:dyDescent="0.3">
      <c r="A37" s="226"/>
      <c r="B37" s="232"/>
      <c r="C37" s="232"/>
      <c r="D37" s="107"/>
      <c r="E37" s="102"/>
      <c r="F37" s="233"/>
      <c r="G37" s="108"/>
      <c r="H37" s="105"/>
      <c r="I37" s="223"/>
      <c r="J37" s="323"/>
    </row>
    <row r="38" spans="1:10" ht="18.75" thickBot="1" x14ac:dyDescent="0.3">
      <c r="A38" s="226"/>
      <c r="B38" s="232" t="s">
        <v>584</v>
      </c>
      <c r="C38" s="232"/>
      <c r="D38" s="107"/>
      <c r="E38" s="102"/>
      <c r="F38" s="233"/>
      <c r="G38" s="108"/>
      <c r="H38" s="227"/>
      <c r="I38" s="223"/>
      <c r="J38" s="323"/>
    </row>
    <row r="39" spans="1:10" ht="12" customHeight="1" thickBot="1" x14ac:dyDescent="0.3">
      <c r="A39" s="226"/>
      <c r="B39" s="232"/>
      <c r="C39" s="232"/>
      <c r="D39" s="107"/>
      <c r="E39" s="102"/>
      <c r="F39" s="233"/>
      <c r="G39" s="108"/>
      <c r="H39" s="105"/>
      <c r="I39" s="223"/>
      <c r="J39" s="323"/>
    </row>
    <row r="40" spans="1:10" ht="18.75" thickBot="1" x14ac:dyDescent="0.3">
      <c r="A40" s="226"/>
      <c r="B40" s="232" t="s">
        <v>585</v>
      </c>
      <c r="C40" s="232"/>
      <c r="D40" s="107"/>
      <c r="E40" s="102"/>
      <c r="F40" s="233"/>
      <c r="G40" s="108"/>
      <c r="H40" s="227"/>
      <c r="I40" s="223"/>
      <c r="J40" s="323"/>
    </row>
    <row r="41" spans="1:10" ht="12" customHeight="1" thickBot="1" x14ac:dyDescent="0.3">
      <c r="A41" s="226"/>
      <c r="B41" s="234"/>
      <c r="C41" s="232"/>
      <c r="D41" s="107"/>
      <c r="E41" s="102"/>
      <c r="F41" s="233"/>
      <c r="G41" s="235"/>
      <c r="H41" s="236"/>
      <c r="I41" s="223"/>
      <c r="J41" s="323"/>
    </row>
    <row r="42" spans="1:10" ht="18.75" thickBot="1" x14ac:dyDescent="0.3">
      <c r="A42" s="226"/>
      <c r="B42" s="2266" t="s">
        <v>836</v>
      </c>
      <c r="C42" s="2266"/>
      <c r="D42" s="2266"/>
      <c r="E42" s="2266"/>
      <c r="F42" s="109"/>
      <c r="G42" s="34"/>
      <c r="H42" s="227"/>
      <c r="I42" s="223"/>
      <c r="J42" s="323"/>
    </row>
    <row r="43" spans="1:10" ht="12" customHeight="1" thickBot="1" x14ac:dyDescent="0.3">
      <c r="A43" s="226"/>
      <c r="B43" s="206"/>
      <c r="C43" s="206"/>
      <c r="D43" s="206"/>
      <c r="E43" s="206"/>
      <c r="F43" s="109"/>
      <c r="G43" s="34"/>
      <c r="H43" s="105"/>
      <c r="I43" s="223"/>
      <c r="J43" s="323"/>
    </row>
    <row r="44" spans="1:10" ht="18.75" thickBot="1" x14ac:dyDescent="0.3">
      <c r="A44" s="237"/>
      <c r="B44" s="2266" t="s">
        <v>586</v>
      </c>
      <c r="C44" s="2266"/>
      <c r="D44" s="2266"/>
      <c r="E44" s="2266"/>
      <c r="F44" s="103"/>
      <c r="G44" s="238"/>
      <c r="H44" s="227"/>
      <c r="I44" s="239"/>
      <c r="J44" s="323"/>
    </row>
    <row r="45" spans="1:10" ht="18.75" customHeight="1" x14ac:dyDescent="0.25">
      <c r="A45" s="237"/>
      <c r="B45" s="206"/>
      <c r="C45" s="206"/>
      <c r="D45" s="206"/>
      <c r="E45" s="206"/>
      <c r="F45" s="2291" t="str">
        <f>IF((AND(H32-H34-H36-H38-H40-H42-H44&lt;&gt;0)),"Ei to Evi do not sum to E total","")</f>
        <v/>
      </c>
      <c r="G45" s="2292"/>
      <c r="H45" s="2292"/>
      <c r="I45" s="239"/>
      <c r="J45" s="323"/>
    </row>
    <row r="46" spans="1:10" ht="18.75" thickBot="1" x14ac:dyDescent="0.3">
      <c r="A46" s="226"/>
      <c r="B46" s="110" t="s">
        <v>587</v>
      </c>
      <c r="C46" s="98"/>
      <c r="D46" s="108"/>
      <c r="E46" s="96"/>
      <c r="F46" s="105"/>
      <c r="G46" s="100"/>
      <c r="H46" s="324"/>
      <c r="I46" s="223"/>
    </row>
    <row r="47" spans="1:10" ht="18.75" thickBot="1" x14ac:dyDescent="0.3">
      <c r="A47" s="226"/>
      <c r="B47" s="2179" t="s">
        <v>2166</v>
      </c>
      <c r="C47" s="2023"/>
      <c r="D47" s="2023"/>
      <c r="E47" s="2023"/>
      <c r="F47" s="103"/>
      <c r="G47" s="34"/>
      <c r="H47" s="227"/>
      <c r="I47" s="223"/>
      <c r="J47" s="323"/>
    </row>
    <row r="48" spans="1:10" ht="15" customHeight="1" thickBot="1" x14ac:dyDescent="0.3">
      <c r="A48" s="226"/>
      <c r="B48" s="101"/>
      <c r="C48" s="101"/>
      <c r="D48" s="97"/>
      <c r="E48" s="97"/>
      <c r="F48" s="103"/>
      <c r="G48" s="34"/>
      <c r="H48" s="324"/>
      <c r="I48" s="223"/>
    </row>
    <row r="49" spans="1:10" ht="18.75" thickBot="1" x14ac:dyDescent="0.3">
      <c r="A49" s="226"/>
      <c r="B49" s="2179" t="s">
        <v>2167</v>
      </c>
      <c r="C49" s="2274"/>
      <c r="D49" s="2275"/>
      <c r="E49" s="2275"/>
      <c r="F49" s="99"/>
      <c r="G49" s="34"/>
      <c r="H49" s="227"/>
      <c r="I49" s="223"/>
      <c r="J49" s="323"/>
    </row>
    <row r="50" spans="1:10" ht="18.75" thickBot="1" x14ac:dyDescent="0.3">
      <c r="A50" s="226"/>
      <c r="B50" s="2274"/>
      <c r="C50" s="2274"/>
      <c r="D50" s="2275"/>
      <c r="E50" s="2275"/>
      <c r="F50" s="111"/>
      <c r="G50" s="100"/>
      <c r="H50" s="324"/>
      <c r="I50" s="223"/>
    </row>
    <row r="51" spans="1:10" ht="18.75" thickBot="1" x14ac:dyDescent="0.3">
      <c r="A51" s="226"/>
      <c r="B51" s="2179" t="s">
        <v>2168</v>
      </c>
      <c r="C51" s="2274"/>
      <c r="D51" s="2275"/>
      <c r="E51" s="2275"/>
      <c r="F51" s="105"/>
      <c r="G51" s="100"/>
      <c r="H51" s="227"/>
      <c r="I51" s="223"/>
      <c r="J51" s="323"/>
    </row>
    <row r="52" spans="1:10" ht="18.75" thickBot="1" x14ac:dyDescent="0.3">
      <c r="A52" s="226"/>
      <c r="B52" s="2274"/>
      <c r="C52" s="2274"/>
      <c r="D52" s="2275"/>
      <c r="E52" s="2275"/>
      <c r="F52" s="109"/>
      <c r="G52" s="100"/>
      <c r="H52" s="324"/>
      <c r="I52" s="223"/>
    </row>
    <row r="53" spans="1:10" ht="18.75" thickBot="1" x14ac:dyDescent="0.3">
      <c r="A53" s="226"/>
      <c r="B53" s="2179" t="s">
        <v>2169</v>
      </c>
      <c r="C53" s="2274"/>
      <c r="D53" s="2274"/>
      <c r="E53" s="2274"/>
      <c r="F53" s="105"/>
      <c r="G53" s="100"/>
      <c r="H53" s="227"/>
      <c r="I53" s="223"/>
      <c r="J53" s="323"/>
    </row>
    <row r="54" spans="1:10" ht="18.75" thickBot="1" x14ac:dyDescent="0.3">
      <c r="A54" s="226"/>
      <c r="B54" s="2282"/>
      <c r="C54" s="2282"/>
      <c r="D54" s="2282"/>
      <c r="E54" s="2282"/>
      <c r="F54" s="109"/>
      <c r="G54" s="100"/>
      <c r="H54" s="324"/>
      <c r="I54" s="223"/>
    </row>
    <row r="55" spans="1:10" ht="18.75" thickBot="1" x14ac:dyDescent="0.3">
      <c r="A55" s="226"/>
      <c r="B55" s="2179" t="s">
        <v>2170</v>
      </c>
      <c r="C55" s="2274"/>
      <c r="D55" s="2275"/>
      <c r="E55" s="2275"/>
      <c r="F55" s="105"/>
      <c r="G55" s="100"/>
      <c r="H55" s="227"/>
      <c r="I55" s="223"/>
      <c r="J55" s="323"/>
    </row>
    <row r="56" spans="1:10" ht="18.75" thickBot="1" x14ac:dyDescent="0.3">
      <c r="A56" s="226"/>
      <c r="B56" s="2274"/>
      <c r="C56" s="2274"/>
      <c r="D56" s="2275"/>
      <c r="E56" s="2275"/>
      <c r="F56" s="105"/>
      <c r="G56" s="100"/>
      <c r="H56" s="324"/>
      <c r="I56" s="223"/>
      <c r="J56" s="323"/>
    </row>
    <row r="57" spans="1:10" ht="18.75" thickBot="1" x14ac:dyDescent="0.3">
      <c r="A57" s="226"/>
      <c r="B57" s="594" t="s">
        <v>2171</v>
      </c>
      <c r="C57" s="107"/>
      <c r="D57" s="102"/>
      <c r="E57" s="102"/>
      <c r="F57" s="109"/>
      <c r="G57" s="100"/>
      <c r="H57" s="227"/>
      <c r="I57" s="223"/>
      <c r="J57" s="323"/>
    </row>
    <row r="58" spans="1:10" ht="15" customHeight="1" thickBot="1" x14ac:dyDescent="0.3">
      <c r="A58" s="226"/>
      <c r="B58" s="107"/>
      <c r="C58" s="107"/>
      <c r="D58" s="102"/>
      <c r="E58" s="102"/>
      <c r="F58" s="109"/>
      <c r="G58" s="100"/>
      <c r="H58" s="105"/>
      <c r="I58" s="223"/>
      <c r="J58" s="323"/>
    </row>
    <row r="59" spans="1:10" ht="18.75" thickBot="1" x14ac:dyDescent="0.3">
      <c r="A59" s="226"/>
      <c r="B59" s="594" t="s">
        <v>2172</v>
      </c>
      <c r="C59" s="107"/>
      <c r="D59" s="102"/>
      <c r="E59" s="102"/>
      <c r="F59" s="109"/>
      <c r="G59" s="100"/>
      <c r="H59" s="227"/>
      <c r="I59" s="223"/>
      <c r="J59" s="323"/>
    </row>
    <row r="60" spans="1:10" ht="15" customHeight="1" x14ac:dyDescent="0.25">
      <c r="A60" s="226"/>
      <c r="B60" s="107"/>
      <c r="C60" s="107"/>
      <c r="D60" s="102"/>
      <c r="E60" s="102"/>
      <c r="F60" s="109"/>
      <c r="G60" s="100"/>
      <c r="H60" s="105"/>
      <c r="I60" s="223"/>
      <c r="J60" s="323"/>
    </row>
    <row r="61" spans="1:10" ht="18.75" thickBot="1" x14ac:dyDescent="0.3">
      <c r="A61" s="226"/>
      <c r="B61" s="593" t="s">
        <v>1059</v>
      </c>
      <c r="C61" s="107"/>
      <c r="D61" s="102"/>
      <c r="E61" s="102"/>
      <c r="F61" s="109"/>
      <c r="G61" s="100"/>
      <c r="H61" s="105"/>
      <c r="I61" s="223"/>
      <c r="J61" s="323"/>
    </row>
    <row r="62" spans="1:10" ht="18.75" thickBot="1" x14ac:dyDescent="0.3">
      <c r="A62" s="226"/>
      <c r="B62" s="594" t="s">
        <v>2173</v>
      </c>
      <c r="C62" s="107"/>
      <c r="D62" s="102"/>
      <c r="E62" s="102"/>
      <c r="F62" s="109"/>
      <c r="G62" s="100"/>
      <c r="H62" s="227"/>
      <c r="I62" s="223"/>
      <c r="J62" s="323"/>
    </row>
    <row r="63" spans="1:10" ht="15" customHeight="1" thickBot="1" x14ac:dyDescent="0.3">
      <c r="A63" s="226"/>
      <c r="B63" s="107"/>
      <c r="C63" s="107"/>
      <c r="D63" s="102"/>
      <c r="E63" s="102"/>
      <c r="F63" s="109"/>
      <c r="G63" s="100"/>
      <c r="H63" s="105"/>
      <c r="I63" s="223"/>
      <c r="J63" s="323"/>
    </row>
    <row r="64" spans="1:10" ht="18.75" thickBot="1" x14ac:dyDescent="0.3">
      <c r="A64" s="226"/>
      <c r="B64" s="594" t="s">
        <v>2174</v>
      </c>
      <c r="C64" s="107"/>
      <c r="D64" s="102"/>
      <c r="E64" s="102"/>
      <c r="F64" s="109"/>
      <c r="G64" s="100"/>
      <c r="H64" s="227"/>
      <c r="I64" s="223"/>
      <c r="J64" s="323"/>
    </row>
    <row r="65" spans="1:11" ht="13.5" customHeight="1" x14ac:dyDescent="0.25">
      <c r="A65" s="226"/>
      <c r="B65" s="107"/>
      <c r="C65" s="107"/>
      <c r="D65" s="102"/>
      <c r="E65" s="102"/>
      <c r="F65" s="109"/>
      <c r="G65" s="100"/>
      <c r="H65" s="105"/>
      <c r="I65" s="223"/>
      <c r="J65" s="323"/>
    </row>
    <row r="66" spans="1:11" s="1811" customFormat="1" ht="18" hidden="1" customHeight="1" thickBot="1" x14ac:dyDescent="0.3">
      <c r="A66" s="1808"/>
      <c r="B66" s="1802" t="s">
        <v>2357</v>
      </c>
      <c r="C66" s="1803"/>
      <c r="D66" s="1804"/>
      <c r="E66" s="1804"/>
      <c r="F66" s="1805"/>
      <c r="G66" s="1806"/>
      <c r="H66" s="1807"/>
      <c r="I66" s="1809"/>
      <c r="J66" s="1810"/>
    </row>
    <row r="67" spans="1:11" ht="15" customHeight="1" x14ac:dyDescent="0.25">
      <c r="A67" s="226"/>
      <c r="B67" s="107"/>
      <c r="C67" s="107"/>
      <c r="D67" s="102"/>
      <c r="E67" s="102"/>
      <c r="F67" s="111"/>
      <c r="G67" s="100"/>
      <c r="H67" s="324"/>
      <c r="I67" s="223"/>
    </row>
    <row r="68" spans="1:11" ht="18.75" thickBot="1" x14ac:dyDescent="0.3">
      <c r="A68" s="226"/>
      <c r="B68" s="33" t="s">
        <v>588</v>
      </c>
      <c r="C68" s="34"/>
      <c r="D68" s="112"/>
      <c r="E68" s="112"/>
      <c r="F68" s="109"/>
      <c r="G68" s="100"/>
      <c r="H68" s="105"/>
      <c r="I68" s="223"/>
    </row>
    <row r="69" spans="1:11" ht="18.75" thickBot="1" x14ac:dyDescent="0.3">
      <c r="A69" s="226"/>
      <c r="B69" s="2179" t="s">
        <v>2358</v>
      </c>
      <c r="C69" s="2068"/>
      <c r="D69" s="2068"/>
      <c r="E69" s="2068"/>
      <c r="F69" s="109"/>
      <c r="G69" s="113"/>
      <c r="H69" s="227"/>
      <c r="I69" s="240"/>
      <c r="J69" s="323"/>
    </row>
    <row r="70" spans="1:11" ht="18.75" thickBot="1" x14ac:dyDescent="0.3">
      <c r="A70" s="226"/>
      <c r="B70" s="2068"/>
      <c r="C70" s="2068"/>
      <c r="D70" s="2068"/>
      <c r="E70" s="2068"/>
      <c r="F70" s="112"/>
      <c r="G70" s="112"/>
      <c r="H70" s="109" t="str">
        <f>IF((AND(H69=0)),"How many hereditaments contributing?","")</f>
        <v>How many hereditaments contributing?</v>
      </c>
      <c r="I70" s="240"/>
    </row>
    <row r="71" spans="1:11" ht="18.75" thickBot="1" x14ac:dyDescent="0.3">
      <c r="A71" s="226"/>
      <c r="B71" s="2179" t="s">
        <v>2359</v>
      </c>
      <c r="C71" s="2274"/>
      <c r="D71" s="2282"/>
      <c r="E71" s="2282"/>
      <c r="F71" s="112"/>
      <c r="G71" s="112"/>
      <c r="H71" s="229">
        <f>+H74+H76</f>
        <v>0</v>
      </c>
      <c r="I71" s="240"/>
    </row>
    <row r="72" spans="1:11" ht="18" x14ac:dyDescent="0.25">
      <c r="A72" s="226"/>
      <c r="B72" s="2274"/>
      <c r="C72" s="2274"/>
      <c r="D72" s="2282"/>
      <c r="E72" s="2282"/>
      <c r="F72" s="112"/>
      <c r="G72" s="112"/>
      <c r="H72" s="2307" t="str">
        <f>IF((AND(H71=0)),"How many hereditaments are receiving a discount?","")</f>
        <v>How many hereditaments are receiving a discount?</v>
      </c>
      <c r="I72" s="241"/>
    </row>
    <row r="73" spans="1:11" ht="18.75" thickBot="1" x14ac:dyDescent="0.3">
      <c r="A73" s="226"/>
      <c r="B73" s="34" t="s">
        <v>821</v>
      </c>
      <c r="C73" s="97"/>
      <c r="D73" s="97"/>
      <c r="E73" s="97"/>
      <c r="F73" s="112"/>
      <c r="G73" s="112"/>
      <c r="H73" s="2308"/>
      <c r="I73" s="240"/>
    </row>
    <row r="74" spans="1:11" s="116" customFormat="1" ht="16.5" thickBot="1" x14ac:dyDescent="0.25">
      <c r="A74" s="242"/>
      <c r="B74" s="2266" t="s">
        <v>2334</v>
      </c>
      <c r="C74" s="2266"/>
      <c r="D74" s="2293"/>
      <c r="E74" s="2293"/>
      <c r="F74" s="114"/>
      <c r="G74" s="114"/>
      <c r="H74" s="227"/>
      <c r="I74" s="240"/>
      <c r="J74" s="115"/>
    </row>
    <row r="75" spans="1:11" ht="15" customHeight="1" thickBot="1" x14ac:dyDescent="0.3">
      <c r="A75" s="226"/>
      <c r="B75" s="2294"/>
      <c r="C75" s="2294"/>
      <c r="D75" s="2293"/>
      <c r="E75" s="2293"/>
      <c r="F75" s="112"/>
      <c r="G75" s="112"/>
      <c r="H75" s="326"/>
      <c r="I75" s="240"/>
    </row>
    <row r="76" spans="1:11" ht="18.75" thickBot="1" x14ac:dyDescent="0.3">
      <c r="A76" s="226"/>
      <c r="B76" s="2266" t="s">
        <v>2335</v>
      </c>
      <c r="C76" s="2266"/>
      <c r="D76" s="2293"/>
      <c r="E76" s="2293"/>
      <c r="F76" s="117"/>
      <c r="G76" s="34"/>
      <c r="H76" s="227"/>
      <c r="I76" s="240"/>
    </row>
    <row r="77" spans="1:11" ht="18" customHeight="1" thickBot="1" x14ac:dyDescent="0.3">
      <c r="A77" s="226"/>
      <c r="B77" s="2266"/>
      <c r="C77" s="2266"/>
      <c r="D77" s="2293"/>
      <c r="E77" s="2293"/>
      <c r="F77" s="2309" t="str">
        <f>IF((AND(H71-H74-H76&lt;&gt;0)),"Qi &amp; Qii do not sum to Q total","")</f>
        <v/>
      </c>
      <c r="G77" s="2309"/>
      <c r="H77" s="2309"/>
      <c r="I77" s="240"/>
    </row>
    <row r="78" spans="1:11" ht="18.75" thickBot="1" x14ac:dyDescent="0.3">
      <c r="A78" s="226"/>
      <c r="B78" s="2179" t="s">
        <v>2360</v>
      </c>
      <c r="C78" s="2023"/>
      <c r="D78" s="2023"/>
      <c r="E78" s="2023"/>
      <c r="F78" s="119"/>
      <c r="G78" s="118"/>
      <c r="H78" s="227"/>
      <c r="I78" s="240"/>
    </row>
    <row r="79" spans="1:11" ht="18" x14ac:dyDescent="0.25">
      <c r="A79" s="226"/>
      <c r="B79" s="2023"/>
      <c r="C79" s="2023"/>
      <c r="D79" s="2023"/>
      <c r="E79" s="2023"/>
      <c r="F79" s="2300" t="str">
        <f>IF((AND(H78=0)),"How many hereditaments are paying just the small business rate multiplier?","")</f>
        <v>How many hereditaments are paying just the small business rate multiplier?</v>
      </c>
      <c r="G79" s="2301"/>
      <c r="H79" s="2301"/>
      <c r="I79" s="2302"/>
    </row>
    <row r="80" spans="1:11" ht="18.75" thickBot="1" x14ac:dyDescent="0.3">
      <c r="A80" s="257"/>
      <c r="B80" s="2305" t="s">
        <v>2176</v>
      </c>
      <c r="C80" s="2306"/>
      <c r="D80" s="2306"/>
      <c r="E80" s="2306"/>
      <c r="F80" s="2303"/>
      <c r="G80" s="2303"/>
      <c r="H80" s="2303"/>
      <c r="I80" s="2304"/>
      <c r="K80" s="277"/>
    </row>
    <row r="81" spans="1:9" x14ac:dyDescent="0.2">
      <c r="A81" s="243"/>
      <c r="B81" s="244"/>
      <c r="C81" s="244"/>
      <c r="D81" s="244"/>
      <c r="E81" s="244"/>
      <c r="F81" s="244"/>
      <c r="G81" s="244"/>
      <c r="H81" s="244"/>
      <c r="I81" s="245"/>
    </row>
    <row r="82" spans="1:9" ht="18" x14ac:dyDescent="0.25">
      <c r="A82" s="327"/>
      <c r="B82" s="684" t="s">
        <v>2177</v>
      </c>
      <c r="C82" s="328"/>
      <c r="D82" s="328"/>
      <c r="E82" s="328"/>
      <c r="F82" s="328"/>
      <c r="G82" s="328"/>
      <c r="H82" s="329" t="str">
        <f>+C13</f>
        <v>ZZZZ</v>
      </c>
      <c r="I82" s="330"/>
    </row>
    <row r="83" spans="1:9" ht="15.75" thickBot="1" x14ac:dyDescent="0.25">
      <c r="A83" s="246"/>
      <c r="B83" s="247"/>
      <c r="C83" s="247"/>
      <c r="D83" s="247"/>
      <c r="E83" s="247"/>
      <c r="F83" s="247"/>
      <c r="G83" s="247"/>
      <c r="H83" s="217" t="s">
        <v>1196</v>
      </c>
      <c r="I83" s="974">
        <v>1</v>
      </c>
    </row>
    <row r="84" spans="1:9" ht="13.5" thickBot="1" x14ac:dyDescent="0.25">
      <c r="A84" s="222"/>
      <c r="D84" s="96"/>
      <c r="E84" s="96"/>
      <c r="F84" s="96"/>
      <c r="G84" s="96"/>
      <c r="H84" s="96"/>
      <c r="I84" s="223"/>
    </row>
    <row r="85" spans="1:9" ht="45.75" thickBot="1" x14ac:dyDescent="0.3">
      <c r="A85" s="222"/>
      <c r="B85" s="2298" t="s">
        <v>2179</v>
      </c>
      <c r="C85" s="2299"/>
      <c r="D85" s="2299"/>
      <c r="E85" s="2299"/>
      <c r="F85" s="96"/>
      <c r="G85" s="96"/>
      <c r="H85" s="602" t="s">
        <v>2178</v>
      </c>
      <c r="I85" s="223"/>
    </row>
    <row r="86" spans="1:9" ht="18.75" thickBot="1" x14ac:dyDescent="0.3">
      <c r="A86" s="226"/>
      <c r="B86" s="33" t="s">
        <v>569</v>
      </c>
      <c r="C86" s="34"/>
      <c r="D86" s="34"/>
      <c r="E86" s="96"/>
      <c r="F86" s="29"/>
      <c r="G86" s="29"/>
      <c r="H86" s="174"/>
      <c r="I86" s="223"/>
    </row>
    <row r="87" spans="1:9" ht="18.75" thickBot="1" x14ac:dyDescent="0.3">
      <c r="A87" s="226"/>
      <c r="B87" s="2179" t="s">
        <v>2180</v>
      </c>
      <c r="C87" s="2023"/>
      <c r="D87" s="2023"/>
      <c r="E87" s="2023"/>
      <c r="F87" s="248"/>
      <c r="G87" s="248"/>
      <c r="H87" s="1801">
        <f>+'Part 2'!R96</f>
        <v>0</v>
      </c>
      <c r="I87" s="223"/>
    </row>
    <row r="88" spans="1:9" ht="18" x14ac:dyDescent="0.25">
      <c r="A88" s="226"/>
      <c r="B88" s="97"/>
      <c r="C88" s="2295" t="str">
        <f>IF((NOT($H$90+$H$92+$H$94+$H$96+$H$98+$H$100=$H$87)),"Rows i to iv must add up to line a above","")</f>
        <v/>
      </c>
      <c r="D88" s="2296"/>
      <c r="E88" s="2296"/>
      <c r="F88" s="2296"/>
      <c r="G88" s="2296"/>
      <c r="H88" s="2296"/>
      <c r="I88" s="223"/>
    </row>
    <row r="89" spans="1:9" ht="13.5" customHeight="1" thickBot="1" x14ac:dyDescent="0.3">
      <c r="A89" s="226"/>
      <c r="B89" s="107" t="s">
        <v>821</v>
      </c>
      <c r="C89" s="102"/>
      <c r="D89" s="102"/>
      <c r="E89" s="102"/>
      <c r="F89" s="99"/>
      <c r="G89" s="99"/>
      <c r="H89" s="250"/>
      <c r="I89" s="223"/>
    </row>
    <row r="90" spans="1:9" ht="18.75" thickBot="1" x14ac:dyDescent="0.3">
      <c r="A90" s="226"/>
      <c r="B90" s="232" t="s">
        <v>276</v>
      </c>
      <c r="C90" s="232"/>
      <c r="D90" s="107"/>
      <c r="E90" s="102"/>
      <c r="F90" s="251"/>
      <c r="G90" s="251"/>
      <c r="H90" s="227"/>
      <c r="I90" s="223"/>
    </row>
    <row r="91" spans="1:9" ht="18.75" thickBot="1" x14ac:dyDescent="0.3">
      <c r="A91" s="226"/>
      <c r="B91" s="234"/>
      <c r="C91" s="232"/>
      <c r="D91" s="107"/>
      <c r="E91" s="102"/>
      <c r="F91" s="249"/>
      <c r="G91" s="249"/>
      <c r="H91" s="109" t="str">
        <f>IF((AND(H90=0,F90&gt;0)),"How much relief received?","")</f>
        <v/>
      </c>
      <c r="I91" s="223"/>
    </row>
    <row r="92" spans="1:9" ht="18.75" thickBot="1" x14ac:dyDescent="0.3">
      <c r="A92" s="226"/>
      <c r="B92" s="232" t="s">
        <v>277</v>
      </c>
      <c r="C92" s="232"/>
      <c r="D92" s="107"/>
      <c r="E92" s="102"/>
      <c r="F92" s="251"/>
      <c r="G92" s="251"/>
      <c r="H92" s="653"/>
      <c r="I92" s="223"/>
    </row>
    <row r="93" spans="1:9" ht="18.75" thickBot="1" x14ac:dyDescent="0.3">
      <c r="A93" s="226"/>
      <c r="B93" s="232"/>
      <c r="C93" s="232"/>
      <c r="D93" s="107"/>
      <c r="E93" s="102"/>
      <c r="F93" s="249"/>
      <c r="G93" s="249"/>
      <c r="H93" s="109" t="str">
        <f>IF((AND(H92=0,F92&gt;0)),"How much relief received?","")</f>
        <v/>
      </c>
      <c r="I93" s="240"/>
    </row>
    <row r="94" spans="1:9" ht="18.75" thickBot="1" x14ac:dyDescent="0.3">
      <c r="A94" s="226"/>
      <c r="B94" s="232" t="s">
        <v>278</v>
      </c>
      <c r="C94" s="232"/>
      <c r="D94" s="107"/>
      <c r="E94" s="102"/>
      <c r="F94" s="251"/>
      <c r="G94" s="251"/>
      <c r="H94" s="653"/>
      <c r="I94" s="223"/>
    </row>
    <row r="95" spans="1:9" ht="18.75" thickBot="1" x14ac:dyDescent="0.3">
      <c r="A95" s="226"/>
      <c r="B95" s="232"/>
      <c r="C95" s="232"/>
      <c r="D95" s="107"/>
      <c r="E95" s="102"/>
      <c r="F95" s="249"/>
      <c r="G95" s="249"/>
      <c r="H95" s="109" t="str">
        <f>IF((AND(H94=0,F94&gt;0)),"How much relief received?","")</f>
        <v/>
      </c>
      <c r="I95" s="223"/>
    </row>
    <row r="96" spans="1:9" ht="18.75" thickBot="1" x14ac:dyDescent="0.3">
      <c r="A96" s="226"/>
      <c r="B96" s="232" t="s">
        <v>279</v>
      </c>
      <c r="C96" s="232"/>
      <c r="D96" s="107"/>
      <c r="E96" s="102"/>
      <c r="F96" s="251"/>
      <c r="G96" s="251"/>
      <c r="H96" s="653"/>
      <c r="I96" s="223"/>
    </row>
    <row r="97" spans="1:9" ht="18.75" thickBot="1" x14ac:dyDescent="0.3">
      <c r="A97" s="226"/>
      <c r="B97" s="232"/>
      <c r="C97" s="232"/>
      <c r="D97" s="107"/>
      <c r="E97" s="102"/>
      <c r="F97" s="249"/>
      <c r="G97" s="249"/>
      <c r="H97" s="109" t="str">
        <f>IF((AND(H96=0,F96&gt;0)),"How much relief received?","")</f>
        <v/>
      </c>
      <c r="I97" s="223"/>
    </row>
    <row r="98" spans="1:9" ht="18.75" thickBot="1" x14ac:dyDescent="0.3">
      <c r="A98" s="226"/>
      <c r="B98" s="2266" t="s">
        <v>835</v>
      </c>
      <c r="C98" s="2297"/>
      <c r="D98" s="2297"/>
      <c r="E98" s="2297"/>
      <c r="F98" s="2297"/>
      <c r="G98" s="252"/>
      <c r="H98" s="653"/>
      <c r="I98" s="223"/>
    </row>
    <row r="99" spans="1:9" ht="18.75" thickBot="1" x14ac:dyDescent="0.3">
      <c r="A99" s="226"/>
      <c r="B99" s="2297"/>
      <c r="C99" s="2297"/>
      <c r="D99" s="2297"/>
      <c r="E99" s="2297"/>
      <c r="F99" s="2297"/>
      <c r="G99" s="249"/>
      <c r="H99" s="358"/>
      <c r="I99" s="223"/>
    </row>
    <row r="100" spans="1:9" ht="18.75" thickBot="1" x14ac:dyDescent="0.3">
      <c r="A100" s="226"/>
      <c r="B100" s="2266" t="s">
        <v>280</v>
      </c>
      <c r="C100" s="2297"/>
      <c r="D100" s="2297"/>
      <c r="E100" s="2297"/>
      <c r="F100" s="109"/>
      <c r="G100" s="34"/>
      <c r="H100" s="653"/>
      <c r="I100" s="223"/>
    </row>
    <row r="101" spans="1:9" ht="18" x14ac:dyDescent="0.25">
      <c r="A101" s="226"/>
      <c r="B101" s="2297"/>
      <c r="C101" s="2297"/>
      <c r="D101" s="2297"/>
      <c r="E101" s="2297"/>
      <c r="F101" s="2322" t="str">
        <f>IF((AND(H87-H90-H92-H94-H96-H98-H100&lt;&gt;0)),"Ai to Avi do not sum to A total","")</f>
        <v/>
      </c>
      <c r="G101" s="2322"/>
      <c r="H101" s="2322"/>
      <c r="I101" s="223"/>
    </row>
    <row r="102" spans="1:9" ht="18.75" thickBot="1" x14ac:dyDescent="0.3">
      <c r="A102" s="226"/>
      <c r="B102" s="33" t="s">
        <v>588</v>
      </c>
      <c r="C102" s="34"/>
      <c r="D102" s="112"/>
      <c r="E102" s="112"/>
      <c r="F102" s="112"/>
      <c r="G102" s="112"/>
      <c r="H102" s="112"/>
      <c r="I102" s="240"/>
    </row>
    <row r="103" spans="1:9" ht="18.75" thickBot="1" x14ac:dyDescent="0.3">
      <c r="A103" s="226"/>
      <c r="B103" s="2274" t="s">
        <v>570</v>
      </c>
      <c r="C103" s="2310"/>
      <c r="D103" s="2310"/>
      <c r="E103" s="2310"/>
      <c r="F103" s="254"/>
      <c r="G103" s="254"/>
      <c r="H103" s="1801">
        <f>+'Part 2'!R56</f>
        <v>0</v>
      </c>
      <c r="I103" s="656"/>
    </row>
    <row r="104" spans="1:9" ht="34.5" customHeight="1" thickBot="1" x14ac:dyDescent="0.3">
      <c r="A104" s="226"/>
      <c r="B104" s="34" t="s">
        <v>821</v>
      </c>
      <c r="C104" s="97"/>
      <c r="D104" s="97"/>
      <c r="E104" s="97"/>
      <c r="F104" s="316"/>
      <c r="G104" s="316"/>
      <c r="H104" s="103" t="str">
        <f>IF(H105+H107=H103,"","Sum of bi and bii should be same as the figure above")</f>
        <v/>
      </c>
      <c r="I104" s="655"/>
    </row>
    <row r="105" spans="1:9" ht="18.75" thickBot="1" x14ac:dyDescent="0.3">
      <c r="A105" s="226"/>
      <c r="B105" s="2311" t="s">
        <v>2332</v>
      </c>
      <c r="C105" s="2311"/>
      <c r="D105" s="2275"/>
      <c r="E105" s="2275"/>
      <c r="F105" s="255"/>
      <c r="G105" s="255"/>
      <c r="H105" s="359"/>
      <c r="I105" s="240"/>
    </row>
    <row r="106" spans="1:9" ht="18.75" thickBot="1" x14ac:dyDescent="0.3">
      <c r="A106" s="226"/>
      <c r="B106" s="2274"/>
      <c r="C106" s="2274"/>
      <c r="D106" s="2275"/>
      <c r="E106" s="2275"/>
      <c r="F106" s="248"/>
      <c r="G106" s="248"/>
      <c r="H106" s="360" t="str">
        <f>IF((AND(H105=0,F106&gt;0)),"How much relief received?","")</f>
        <v/>
      </c>
      <c r="I106" s="240"/>
    </row>
    <row r="107" spans="1:9" ht="18.75" thickBot="1" x14ac:dyDescent="0.3">
      <c r="A107" s="226"/>
      <c r="B107" s="2311" t="s">
        <v>2333</v>
      </c>
      <c r="C107" s="2311"/>
      <c r="D107" s="2275"/>
      <c r="E107" s="2275"/>
      <c r="F107" s="1115"/>
      <c r="G107" s="1115"/>
      <c r="H107" s="359"/>
      <c r="I107" s="240"/>
    </row>
    <row r="108" spans="1:9" ht="18" x14ac:dyDescent="0.25">
      <c r="A108" s="226"/>
      <c r="B108" s="2311"/>
      <c r="C108" s="2311"/>
      <c r="D108" s="2275"/>
      <c r="E108" s="2275"/>
      <c r="F108" s="2322" t="str">
        <f>IF((AND(H103-H105-H107&lt;&gt;0)),"Bi &amp; Bii do not sum to B total","")</f>
        <v/>
      </c>
      <c r="G108" s="2322"/>
      <c r="H108" s="2322"/>
      <c r="I108" s="240"/>
    </row>
    <row r="109" spans="1:9" ht="26.25" customHeight="1" thickBot="1" x14ac:dyDescent="0.3">
      <c r="A109" s="226"/>
      <c r="B109" s="2321" t="s">
        <v>575</v>
      </c>
      <c r="C109" s="2068"/>
      <c r="D109" s="102"/>
      <c r="E109" s="102"/>
      <c r="F109" s="351"/>
      <c r="G109" s="351"/>
      <c r="H109" s="253"/>
      <c r="I109" s="240"/>
    </row>
    <row r="110" spans="1:9" ht="21.75" customHeight="1" thickBot="1" x14ac:dyDescent="0.3">
      <c r="A110" s="226"/>
      <c r="B110" s="107" t="s">
        <v>576</v>
      </c>
      <c r="C110" s="107"/>
      <c r="D110" s="353"/>
      <c r="E110" s="353"/>
      <c r="F110" s="255"/>
      <c r="G110" s="255"/>
      <c r="H110" s="1007"/>
      <c r="I110" s="240"/>
    </row>
    <row r="111" spans="1:9" ht="21" customHeight="1" thickBot="1" x14ac:dyDescent="0.25">
      <c r="A111" s="352"/>
      <c r="B111" s="107"/>
      <c r="C111" s="107"/>
      <c r="D111" s="353"/>
      <c r="E111" s="353"/>
      <c r="F111" s="248"/>
      <c r="G111" s="248"/>
      <c r="H111" s="256" t="str">
        <f>IF((AND(H110=0,F111&gt;0)),"How much relief received?","")</f>
        <v/>
      </c>
      <c r="I111" s="240"/>
    </row>
    <row r="112" spans="1:9" ht="15" x14ac:dyDescent="0.2">
      <c r="A112" s="258" t="s">
        <v>595</v>
      </c>
      <c r="B112" s="69"/>
      <c r="C112" s="69"/>
      <c r="D112" s="69"/>
      <c r="E112" s="69"/>
      <c r="F112" s="69"/>
      <c r="G112" s="69"/>
      <c r="H112" s="69"/>
      <c r="I112" s="70"/>
    </row>
    <row r="113" spans="1:9" ht="15.75" thickBot="1" x14ac:dyDescent="0.25">
      <c r="A113" s="259"/>
      <c r="B113" s="121"/>
      <c r="C113" s="121"/>
      <c r="D113" s="121"/>
      <c r="E113" s="121"/>
      <c r="F113" s="121"/>
      <c r="G113" s="121"/>
      <c r="H113" s="121"/>
      <c r="I113" s="72"/>
    </row>
    <row r="114" spans="1:9" ht="15" x14ac:dyDescent="0.2">
      <c r="A114" s="259"/>
      <c r="B114" s="2312"/>
      <c r="C114" s="2313"/>
      <c r="D114" s="2313"/>
      <c r="E114" s="2313"/>
      <c r="F114" s="2313"/>
      <c r="G114" s="2313"/>
      <c r="H114" s="2314"/>
      <c r="I114" s="72"/>
    </row>
    <row r="115" spans="1:9" ht="15" x14ac:dyDescent="0.2">
      <c r="A115" s="259"/>
      <c r="B115" s="2315"/>
      <c r="C115" s="2316"/>
      <c r="D115" s="2316"/>
      <c r="E115" s="2316"/>
      <c r="F115" s="2316"/>
      <c r="G115" s="2316"/>
      <c r="H115" s="2317"/>
      <c r="I115" s="72"/>
    </row>
    <row r="116" spans="1:9" ht="15" x14ac:dyDescent="0.2">
      <c r="A116" s="259"/>
      <c r="B116" s="2315"/>
      <c r="C116" s="2316"/>
      <c r="D116" s="2316"/>
      <c r="E116" s="2316"/>
      <c r="F116" s="2316"/>
      <c r="G116" s="2316"/>
      <c r="H116" s="2317"/>
      <c r="I116" s="72"/>
    </row>
    <row r="117" spans="1:9" ht="15" x14ac:dyDescent="0.2">
      <c r="A117" s="259"/>
      <c r="B117" s="2315"/>
      <c r="C117" s="2316"/>
      <c r="D117" s="2316"/>
      <c r="E117" s="2316"/>
      <c r="F117" s="2316"/>
      <c r="G117" s="2316"/>
      <c r="H117" s="2317"/>
      <c r="I117" s="72"/>
    </row>
    <row r="118" spans="1:9" ht="15" x14ac:dyDescent="0.2">
      <c r="A118" s="259"/>
      <c r="B118" s="2315"/>
      <c r="C118" s="2316"/>
      <c r="D118" s="2316"/>
      <c r="E118" s="2316"/>
      <c r="F118" s="2316"/>
      <c r="G118" s="2316"/>
      <c r="H118" s="2317"/>
      <c r="I118" s="72"/>
    </row>
    <row r="119" spans="1:9" ht="15" x14ac:dyDescent="0.2">
      <c r="A119" s="259"/>
      <c r="B119" s="2315"/>
      <c r="C119" s="2316"/>
      <c r="D119" s="2316"/>
      <c r="E119" s="2316"/>
      <c r="F119" s="2316"/>
      <c r="G119" s="2316"/>
      <c r="H119" s="2317"/>
      <c r="I119" s="72"/>
    </row>
    <row r="120" spans="1:9" ht="15" x14ac:dyDescent="0.2">
      <c r="A120" s="259"/>
      <c r="B120" s="2315"/>
      <c r="C120" s="2316"/>
      <c r="D120" s="2316"/>
      <c r="E120" s="2316"/>
      <c r="F120" s="2316"/>
      <c r="G120" s="2316"/>
      <c r="H120" s="2317"/>
      <c r="I120" s="72"/>
    </row>
    <row r="121" spans="1:9" ht="15" x14ac:dyDescent="0.2">
      <c r="A121" s="259"/>
      <c r="B121" s="2315"/>
      <c r="C121" s="2316"/>
      <c r="D121" s="2316"/>
      <c r="E121" s="2316"/>
      <c r="F121" s="2316"/>
      <c r="G121" s="2316"/>
      <c r="H121" s="2317"/>
      <c r="I121" s="72"/>
    </row>
    <row r="122" spans="1:9" ht="15.75" thickBot="1" x14ac:dyDescent="0.25">
      <c r="A122" s="259"/>
      <c r="B122" s="2318"/>
      <c r="C122" s="2319"/>
      <c r="D122" s="2319"/>
      <c r="E122" s="2319"/>
      <c r="F122" s="2319"/>
      <c r="G122" s="2319"/>
      <c r="H122" s="2320"/>
      <c r="I122" s="72"/>
    </row>
    <row r="123" spans="1:9" ht="15.75" thickBot="1" x14ac:dyDescent="0.25">
      <c r="A123" s="260"/>
      <c r="B123" s="74"/>
      <c r="C123" s="74"/>
      <c r="D123" s="74"/>
      <c r="E123" s="74"/>
      <c r="F123" s="74"/>
      <c r="G123" s="74"/>
      <c r="H123" s="74"/>
      <c r="I123" s="75"/>
    </row>
  </sheetData>
  <sheetProtection sheet="1" objects="1" scenarios="1"/>
  <dataConsolidate/>
  <mergeCells count="45">
    <mergeCell ref="B103:E103"/>
    <mergeCell ref="B105:E106"/>
    <mergeCell ref="B100:E101"/>
    <mergeCell ref="B114:H122"/>
    <mergeCell ref="B107:E108"/>
    <mergeCell ref="B109:C109"/>
    <mergeCell ref="F101:H101"/>
    <mergeCell ref="F108:H108"/>
    <mergeCell ref="B87:E87"/>
    <mergeCell ref="B74:E75"/>
    <mergeCell ref="B71:E72"/>
    <mergeCell ref="C88:H88"/>
    <mergeCell ref="B98:F99"/>
    <mergeCell ref="B85:E85"/>
    <mergeCell ref="F79:I80"/>
    <mergeCell ref="B80:E80"/>
    <mergeCell ref="B76:E77"/>
    <mergeCell ref="B78:E79"/>
    <mergeCell ref="H72:H73"/>
    <mergeCell ref="F77:H77"/>
    <mergeCell ref="A2:I3"/>
    <mergeCell ref="B49:E50"/>
    <mergeCell ref="B55:E56"/>
    <mergeCell ref="B53:E54"/>
    <mergeCell ref="B51:E52"/>
    <mergeCell ref="B4:H5"/>
    <mergeCell ref="B8:H8"/>
    <mergeCell ref="B10:H11"/>
    <mergeCell ref="A9:I9"/>
    <mergeCell ref="B47:E47"/>
    <mergeCell ref="B22:E22"/>
    <mergeCell ref="B7:H7"/>
    <mergeCell ref="C13:D13"/>
    <mergeCell ref="B30:E31"/>
    <mergeCell ref="C14:D14"/>
    <mergeCell ref="F45:H45"/>
    <mergeCell ref="B69:E70"/>
    <mergeCell ref="B44:E44"/>
    <mergeCell ref="C17:D17"/>
    <mergeCell ref="C15:D15"/>
    <mergeCell ref="B19:H20"/>
    <mergeCell ref="C16:D16"/>
    <mergeCell ref="B42:E42"/>
    <mergeCell ref="B26:E27"/>
    <mergeCell ref="B28:E29"/>
  </mergeCells>
  <phoneticPr fontId="0" type="noConversion"/>
  <dataValidations count="15">
    <dataValidation type="decimal" allowBlank="1" showInputMessage="1" showErrorMessage="1" error="Can't be more than Row E" sqref="F90:G90">
      <formula1>0</formula1>
      <formula2>F87</formula2>
    </dataValidation>
    <dataValidation type="decimal" allowBlank="1" showInputMessage="1" showErrorMessage="1" error="Can't be more than row E" sqref="F94:G94">
      <formula1>0</formula1>
      <formula2>F87</formula2>
    </dataValidation>
    <dataValidation type="decimal" allowBlank="1" showInputMessage="1" showErrorMessage="1" error="Can't be more than row E" sqref="F96:G96">
      <formula1>0</formula1>
      <formula2>F87</formula2>
    </dataValidation>
    <dataValidation type="decimal" allowBlank="1" showInputMessage="1" showErrorMessage="1" error="Can't be more than row E" sqref="G98">
      <formula1>0</formula1>
      <formula2>G87</formula2>
    </dataValidation>
    <dataValidation type="textLength" operator="lessThan" allowBlank="1" showInputMessage="1" showErrorMessage="1" error="Please do not amend or delete this line" sqref="J25">
      <formula1>0</formula1>
    </dataValidation>
    <dataValidation type="custom" allowBlank="1" showInputMessage="1" showErrorMessage="1" error="Data entry not allowed" sqref="I103">
      <formula1>#REF!="n/a"</formula1>
    </dataValidation>
    <dataValidation type="custom" allowBlank="1" showInputMessage="1" showErrorMessage="1" error="Data entry not allowed" sqref="H103 H87 H71 H32">
      <formula1>"if(K108=""n/a"")"</formula1>
    </dataValidation>
    <dataValidation type="custom" allowBlank="1" showInputMessage="1" showErrorMessage="1" error="Do not overwrite" sqref="F79:I80 H72:H73 H70">
      <formula1>"if(K108=""n/a"")"</formula1>
    </dataValidation>
    <dataValidation type="whole" operator="greaterThanOrEqual" allowBlank="1" showInputMessage="1" showErrorMessage="1" errorTitle="Positive Entry required" error="This line cannot be negative" sqref="H24">
      <formula1>0</formula1>
    </dataValidation>
    <dataValidation type="whole" operator="greaterThanOrEqual" allowBlank="1" showInputMessage="1" showErrorMessage="1" errorTitle="Positive entry required" sqref="H26">
      <formula1>0</formula1>
    </dataValidation>
    <dataValidation type="whole" operator="greaterThanOrEqual" allowBlank="1" showInputMessage="1" showErrorMessage="1" errorTitle="Positive entry required" error="This line cannot be negative" sqref="H28">
      <formula1>0</formula1>
    </dataValidation>
    <dataValidation type="whole" operator="greaterThanOrEqual" allowBlank="1" showInputMessage="1" showErrorMessage="1" errorTitle="Positive Enrty required" sqref="H30">
      <formula1>0</formula1>
    </dataValidation>
    <dataValidation type="whole" operator="greaterThanOrEqual" allowBlank="1" showInputMessage="1" showErrorMessage="1" errorTitle="Positive entry required" sqref="H34">
      <formula1>0</formula1>
    </dataValidation>
    <dataValidation type="whole" operator="greaterThanOrEqual" allowBlank="1" showInputMessage="1" showErrorMessage="1" errorTitle="Positive Entry required" sqref="H36 H38 H40 H42 H44 H49 H51 H53 H55 H57 H59 H62 H64 H69 H74 H76 H78">
      <formula1>0</formula1>
    </dataValidation>
    <dataValidation type="whole" operator="greaterThanOrEqual" allowBlank="1" showInputMessage="1" showErrorMessage="1" sqref="H47">
      <formula1>0</formula1>
    </dataValidation>
  </dataValidations>
  <printOptions horizontalCentered="1" verticalCentered="1"/>
  <pageMargins left="0.39370078740157483" right="0.39370078740157483" top="0.39370078740157483" bottom="0.39370078740157483" header="0" footer="0"/>
  <pageSetup paperSize="9" scale="53" orientation="portrait" r:id="rId1"/>
  <headerFooter alignWithMargins="0">
    <oddFooter>Page &amp;P of &amp;N</oddFooter>
  </headerFooter>
  <rowBreaks count="1" manualBreakCount="1">
    <brk id="80"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Q66"/>
  <sheetViews>
    <sheetView zoomScale="70" zoomScaleNormal="70" workbookViewId="0"/>
  </sheetViews>
  <sheetFormatPr defaultColWidth="9.140625" defaultRowHeight="15" x14ac:dyDescent="0.2"/>
  <cols>
    <col min="1" max="1" width="3.7109375" style="37" customWidth="1"/>
    <col min="2" max="2" width="9.140625" style="37"/>
    <col min="3" max="3" width="38.42578125" style="37" bestFit="1" customWidth="1"/>
    <col min="4" max="4" width="18.7109375" style="37" customWidth="1"/>
    <col min="5" max="5" width="15.7109375" style="37" customWidth="1"/>
    <col min="6" max="6" width="3.7109375" style="435" customWidth="1"/>
    <col min="7" max="7" width="16.7109375" style="37" bestFit="1" customWidth="1"/>
    <col min="8" max="8" width="9.28515625" style="37" bestFit="1" customWidth="1"/>
    <col min="9" max="9" width="3.7109375" style="37" customWidth="1"/>
    <col min="10" max="10" width="12.7109375" style="350" bestFit="1" customWidth="1"/>
    <col min="11" max="11" width="9.28515625" style="350" bestFit="1" customWidth="1"/>
    <col min="12" max="12" width="3.7109375" style="350" customWidth="1"/>
    <col min="13" max="13" width="22.28515625" style="350" customWidth="1"/>
    <col min="14" max="14" width="3.7109375" style="444" customWidth="1"/>
    <col min="15" max="15" width="50.7109375" style="442" customWidth="1"/>
    <col min="16" max="16" width="3.7109375" style="442" customWidth="1"/>
    <col min="17" max="18" width="9.140625" style="442"/>
    <col min="19" max="19" width="3.7109375" style="442" customWidth="1"/>
    <col min="20" max="24" width="9.140625" style="442"/>
    <col min="25" max="29" width="0" style="442" hidden="1" customWidth="1"/>
    <col min="30" max="69" width="9.140625" style="442"/>
    <col min="70" max="16384" width="9.140625" style="37"/>
  </cols>
  <sheetData>
    <row r="1" spans="1:27" ht="15.75" x14ac:dyDescent="0.25">
      <c r="A1" s="459"/>
      <c r="B1" s="459"/>
      <c r="C1" s="459"/>
      <c r="D1" s="459"/>
      <c r="E1" s="459"/>
      <c r="F1" s="459"/>
      <c r="G1" s="459"/>
      <c r="H1" s="459"/>
      <c r="I1" s="459"/>
      <c r="J1" s="459"/>
      <c r="K1" s="459"/>
      <c r="L1" s="459"/>
      <c r="M1" s="459"/>
      <c r="N1" s="459"/>
      <c r="O1" s="459"/>
      <c r="P1" s="460"/>
    </row>
    <row r="2" spans="1:27" ht="23.25" x14ac:dyDescent="0.35">
      <c r="A2" s="2329" t="s">
        <v>820</v>
      </c>
      <c r="B2" s="2330"/>
      <c r="C2" s="2330"/>
      <c r="D2" s="2330"/>
      <c r="E2" s="2330"/>
      <c r="F2" s="2330"/>
      <c r="G2" s="2330"/>
      <c r="H2" s="2330"/>
      <c r="I2" s="2330"/>
      <c r="J2" s="2330"/>
      <c r="K2" s="2330"/>
      <c r="L2" s="2330"/>
      <c r="M2" s="2330"/>
      <c r="N2" s="2330"/>
      <c r="O2" s="2330"/>
      <c r="P2" s="2331"/>
      <c r="Q2" s="452"/>
      <c r="R2" s="452"/>
      <c r="S2" s="452"/>
      <c r="T2" s="452"/>
      <c r="U2" s="452"/>
      <c r="V2" s="452"/>
      <c r="W2" s="452"/>
      <c r="X2" s="452"/>
      <c r="Y2" s="443"/>
    </row>
    <row r="3" spans="1:27" ht="18" x14ac:dyDescent="0.25">
      <c r="A3" s="2034" t="s">
        <v>2119</v>
      </c>
      <c r="B3" s="2035"/>
      <c r="C3" s="2035"/>
      <c r="D3" s="2035"/>
      <c r="E3" s="2035"/>
      <c r="F3" s="2035"/>
      <c r="G3" s="2035"/>
      <c r="H3" s="2035"/>
      <c r="I3" s="2035"/>
      <c r="J3" s="2035"/>
      <c r="K3" s="2035"/>
      <c r="L3" s="2035"/>
      <c r="M3" s="2035"/>
      <c r="N3" s="2035"/>
      <c r="O3" s="2035"/>
      <c r="P3" s="2036"/>
      <c r="Q3" s="452"/>
      <c r="R3" s="452"/>
      <c r="S3" s="452"/>
      <c r="T3" s="452"/>
      <c r="U3" s="452"/>
      <c r="V3" s="452"/>
      <c r="W3" s="452"/>
      <c r="X3" s="452"/>
      <c r="Y3" s="443"/>
    </row>
    <row r="4" spans="1:27" ht="18" x14ac:dyDescent="0.25">
      <c r="A4" s="2034" t="s">
        <v>1022</v>
      </c>
      <c r="B4" s="2035"/>
      <c r="C4" s="2035"/>
      <c r="D4" s="2035"/>
      <c r="E4" s="2035"/>
      <c r="F4" s="2035"/>
      <c r="G4" s="2035"/>
      <c r="H4" s="2035"/>
      <c r="I4" s="2035"/>
      <c r="J4" s="2035"/>
      <c r="K4" s="2035"/>
      <c r="L4" s="2035"/>
      <c r="M4" s="2035"/>
      <c r="N4" s="2035"/>
      <c r="O4" s="2035"/>
      <c r="P4" s="2036"/>
      <c r="Q4" s="452"/>
      <c r="R4" s="452"/>
      <c r="S4" s="452"/>
      <c r="T4" s="452"/>
      <c r="U4" s="1731"/>
      <c r="V4" s="452"/>
      <c r="W4" s="452"/>
      <c r="X4" s="452"/>
      <c r="Y4" s="443"/>
    </row>
    <row r="5" spans="1:27" s="442" customFormat="1" ht="16.5" thickBot="1" x14ac:dyDescent="0.3">
      <c r="A5" s="2332">
        <f>+'Part 1'!X21</f>
        <v>1</v>
      </c>
      <c r="B5" s="2333"/>
      <c r="C5" s="2333"/>
      <c r="D5" s="2333"/>
      <c r="E5" s="2333"/>
      <c r="F5" s="2333"/>
      <c r="G5" s="2333"/>
      <c r="H5" s="2333"/>
      <c r="I5" s="2333"/>
      <c r="J5" s="2333"/>
      <c r="K5" s="2333"/>
      <c r="L5" s="2333"/>
      <c r="M5" s="2333"/>
      <c r="N5" s="2333"/>
      <c r="O5" s="2333"/>
      <c r="P5" s="2334"/>
      <c r="R5" s="443"/>
      <c r="S5" s="443"/>
      <c r="T5" s="443"/>
      <c r="U5" s="1732"/>
    </row>
    <row r="6" spans="1:27" s="442" customFormat="1" x14ac:dyDescent="0.2">
      <c r="A6" s="542"/>
      <c r="B6" s="543"/>
      <c r="C6" s="543"/>
      <c r="D6" s="543"/>
      <c r="E6" s="543"/>
      <c r="F6" s="543"/>
      <c r="G6" s="543"/>
      <c r="H6" s="543"/>
      <c r="I6" s="543"/>
      <c r="J6" s="544"/>
      <c r="K6" s="544"/>
      <c r="L6" s="544"/>
      <c r="M6" s="544"/>
      <c r="N6" s="544"/>
      <c r="O6" s="543"/>
      <c r="P6" s="545"/>
      <c r="R6" s="443"/>
      <c r="S6" s="463"/>
      <c r="T6" s="464"/>
    </row>
    <row r="7" spans="1:27" s="442" customFormat="1" ht="15.75" x14ac:dyDescent="0.25">
      <c r="A7" s="453"/>
      <c r="B7" s="441" t="str">
        <f>+CONCATENATE("Local authority : ",+'Part 1'!$L$16,"     ",+'Part 1'!$L$17)</f>
        <v>Local authority : ZZZZ     EZZZZ</v>
      </c>
      <c r="C7" s="443"/>
      <c r="D7" s="443"/>
      <c r="E7" s="443"/>
      <c r="F7" s="441"/>
      <c r="G7" s="443"/>
      <c r="H7" s="443"/>
      <c r="I7" s="443"/>
      <c r="J7" s="449"/>
      <c r="K7" s="449"/>
      <c r="L7" s="449"/>
      <c r="M7" s="449"/>
      <c r="N7" s="449"/>
      <c r="O7" s="443"/>
      <c r="P7" s="454"/>
      <c r="R7" s="443"/>
      <c r="S7" s="465"/>
      <c r="T7" s="466"/>
      <c r="U7" s="1739"/>
    </row>
    <row r="8" spans="1:27" s="442" customFormat="1" ht="15.75" x14ac:dyDescent="0.25">
      <c r="A8" s="453"/>
      <c r="B8" s="441" t="str">
        <f>+CONCATENATE("Local authority contact name : ",+'Part 1'!L18)</f>
        <v xml:space="preserve">Local authority contact name : </v>
      </c>
      <c r="C8" s="443"/>
      <c r="D8" s="443"/>
      <c r="E8" s="443"/>
      <c r="F8" s="443"/>
      <c r="G8" s="443"/>
      <c r="H8" s="443"/>
      <c r="I8" s="443"/>
      <c r="J8" s="449"/>
      <c r="K8" s="449"/>
      <c r="L8" s="449"/>
      <c r="M8" s="449"/>
      <c r="N8" s="449"/>
      <c r="O8" s="443"/>
      <c r="P8" s="454"/>
      <c r="R8" s="443"/>
      <c r="S8" s="467"/>
      <c r="T8" s="466"/>
    </row>
    <row r="9" spans="1:27" s="442" customFormat="1" ht="15.75" x14ac:dyDescent="0.25">
      <c r="A9" s="453"/>
      <c r="B9" s="441" t="str">
        <f>+CONCATENATE("Local authority contact number : ",+'Part 1'!L19)</f>
        <v xml:space="preserve">Local authority contact number : </v>
      </c>
      <c r="C9" s="443"/>
      <c r="D9" s="443"/>
      <c r="E9" s="443"/>
      <c r="F9" s="443"/>
      <c r="G9" s="443"/>
      <c r="H9" s="443"/>
      <c r="I9" s="443"/>
      <c r="J9" s="449"/>
      <c r="K9" s="449"/>
      <c r="L9" s="449"/>
      <c r="M9" s="449"/>
      <c r="N9" s="449"/>
      <c r="O9" s="443"/>
      <c r="P9" s="454"/>
      <c r="R9" s="443"/>
      <c r="S9" s="467"/>
      <c r="T9" s="466"/>
    </row>
    <row r="10" spans="1:27" s="442" customFormat="1" ht="15.75" x14ac:dyDescent="0.25">
      <c r="A10" s="453"/>
      <c r="B10" s="441" t="str">
        <f>+CONCATENATE("Local authority contact email address : ",+'Part 1'!L20)</f>
        <v xml:space="preserve">Local authority contact email address : </v>
      </c>
      <c r="C10" s="443"/>
      <c r="D10" s="443"/>
      <c r="E10" s="443"/>
      <c r="F10" s="443"/>
      <c r="G10" s="443"/>
      <c r="H10" s="443"/>
      <c r="I10" s="443"/>
      <c r="J10" s="449"/>
      <c r="K10" s="449"/>
      <c r="L10" s="449"/>
      <c r="M10" s="449"/>
      <c r="N10" s="449"/>
      <c r="O10" s="443"/>
      <c r="P10" s="454"/>
      <c r="R10" s="443"/>
      <c r="S10" s="467"/>
      <c r="T10" s="466"/>
    </row>
    <row r="11" spans="1:27" s="442" customFormat="1" ht="15.75" x14ac:dyDescent="0.25">
      <c r="A11" s="453"/>
      <c r="B11" s="441"/>
      <c r="C11" s="443"/>
      <c r="D11" s="443"/>
      <c r="E11" s="443"/>
      <c r="F11" s="443"/>
      <c r="G11" s="443"/>
      <c r="H11" s="443"/>
      <c r="I11" s="443"/>
      <c r="J11" s="449"/>
      <c r="K11" s="449"/>
      <c r="L11" s="449"/>
      <c r="M11" s="449"/>
      <c r="N11" s="449"/>
      <c r="O11" s="443"/>
      <c r="P11" s="454"/>
      <c r="R11" s="443"/>
      <c r="S11" s="467"/>
      <c r="T11" s="466"/>
    </row>
    <row r="12" spans="1:27" s="442" customFormat="1" x14ac:dyDescent="0.2">
      <c r="A12" s="453"/>
      <c r="B12" s="445" t="s">
        <v>282</v>
      </c>
      <c r="C12" s="445"/>
      <c r="D12" s="443"/>
      <c r="E12" s="443"/>
      <c r="F12" s="443"/>
      <c r="G12" s="443"/>
      <c r="H12" s="443"/>
      <c r="I12" s="443"/>
      <c r="J12" s="449"/>
      <c r="K12" s="449"/>
      <c r="L12" s="449"/>
      <c r="M12" s="449"/>
      <c r="N12" s="449"/>
      <c r="O12" s="443"/>
      <c r="P12" s="454"/>
      <c r="R12" s="443"/>
      <c r="S12" s="467"/>
      <c r="T12" s="466"/>
    </row>
    <row r="13" spans="1:27" s="442" customFormat="1" x14ac:dyDescent="0.2">
      <c r="A13" s="453"/>
      <c r="B13" s="685" t="s">
        <v>2118</v>
      </c>
      <c r="C13" s="445"/>
      <c r="D13" s="443"/>
      <c r="E13" s="443"/>
      <c r="F13" s="443"/>
      <c r="G13" s="443"/>
      <c r="H13" s="443"/>
      <c r="I13" s="443"/>
      <c r="J13" s="449"/>
      <c r="K13" s="449"/>
      <c r="L13" s="449"/>
      <c r="M13" s="449"/>
      <c r="N13" s="449"/>
      <c r="O13" s="443"/>
      <c r="P13" s="454"/>
      <c r="R13" s="443"/>
      <c r="S13" s="467"/>
      <c r="T13" s="466"/>
    </row>
    <row r="14" spans="1:27" ht="15.75" x14ac:dyDescent="0.25">
      <c r="A14" s="453"/>
      <c r="B14" s="443"/>
      <c r="C14" s="441"/>
      <c r="D14" s="443"/>
      <c r="E14" s="443"/>
      <c r="F14" s="443"/>
      <c r="G14" s="443"/>
      <c r="H14" s="443"/>
      <c r="I14" s="443"/>
      <c r="J14" s="449"/>
      <c r="K14" s="449"/>
      <c r="L14" s="449"/>
      <c r="M14" s="449"/>
      <c r="N14" s="449"/>
      <c r="O14" s="443"/>
      <c r="P14" s="454"/>
      <c r="R14" s="443"/>
      <c r="S14" s="467"/>
      <c r="T14" s="466"/>
    </row>
    <row r="15" spans="1:27" ht="16.5" thickBot="1" x14ac:dyDescent="0.3">
      <c r="A15" s="453"/>
      <c r="B15" s="443"/>
      <c r="C15" s="443"/>
      <c r="D15" s="2335" t="s">
        <v>967</v>
      </c>
      <c r="E15" s="2336"/>
      <c r="F15" s="439"/>
      <c r="G15" s="2335" t="s">
        <v>969</v>
      </c>
      <c r="H15" s="2336"/>
      <c r="I15" s="439"/>
      <c r="J15" s="2335" t="s">
        <v>968</v>
      </c>
      <c r="K15" s="2336"/>
      <c r="L15" s="439"/>
      <c r="M15" s="449"/>
      <c r="N15" s="449"/>
      <c r="O15" s="443"/>
      <c r="P15" s="454"/>
      <c r="R15" s="443"/>
      <c r="S15" s="467"/>
      <c r="T15" s="466"/>
    </row>
    <row r="16" spans="1:27" ht="16.5" thickBot="1" x14ac:dyDescent="0.3">
      <c r="A16" s="453"/>
      <c r="B16" s="449" t="s">
        <v>1009</v>
      </c>
      <c r="C16" s="443"/>
      <c r="D16" s="567" t="s">
        <v>1124</v>
      </c>
      <c r="E16" s="567" t="s">
        <v>2110</v>
      </c>
      <c r="F16" s="446"/>
      <c r="G16" s="446" t="s">
        <v>1008</v>
      </c>
      <c r="H16" s="446" t="s">
        <v>285</v>
      </c>
      <c r="I16" s="446"/>
      <c r="J16" s="446" t="s">
        <v>1008</v>
      </c>
      <c r="K16" s="446" t="s">
        <v>285</v>
      </c>
      <c r="L16" s="446"/>
      <c r="M16" s="440"/>
      <c r="N16" s="449"/>
      <c r="O16" s="846" t="s">
        <v>1082</v>
      </c>
      <c r="P16" s="454"/>
      <c r="R16" s="443"/>
      <c r="S16" s="467"/>
      <c r="T16" s="546"/>
      <c r="U16" s="546"/>
      <c r="V16" s="546"/>
      <c r="W16" s="546"/>
      <c r="X16" s="546"/>
      <c r="Y16" s="546"/>
      <c r="Z16" s="546"/>
      <c r="AA16" s="763" t="s">
        <v>2311</v>
      </c>
    </row>
    <row r="17" spans="1:29" ht="16.5" thickBot="1" x14ac:dyDescent="0.25">
      <c r="A17" s="453"/>
      <c r="B17" s="713">
        <v>1</v>
      </c>
      <c r="C17" s="714" t="s">
        <v>1007</v>
      </c>
      <c r="D17" s="715" t="e">
        <f>VLOOKUP('Part 1'!$F$1,datar,+B17+4,FALSE)</f>
        <v>#N/A</v>
      </c>
      <c r="E17" s="715">
        <f>+'Part 2'!$R$18</f>
        <v>0</v>
      </c>
      <c r="F17" s="715"/>
      <c r="G17" s="715" t="e">
        <f>+E17-D17</f>
        <v>#N/A</v>
      </c>
      <c r="H17" s="716" t="e">
        <f>IF(AND(D17=0,E17=0),0,IF(AND(D17=0,E17&lt;&gt;0),1,G17/ABS((D17))))</f>
        <v>#N/A</v>
      </c>
      <c r="I17" s="717"/>
      <c r="J17" s="718">
        <v>0</v>
      </c>
      <c r="K17" s="716">
        <v>0.1</v>
      </c>
      <c r="L17" s="716"/>
      <c r="M17" s="845" t="e">
        <f>IF(O17&lt;&gt;"","Comment made", IF(AND(ABS(H17)&gt;K17,ABS(G17)&gt;J17),"Please comment","OK"))</f>
        <v>#N/A</v>
      </c>
      <c r="N17" s="866"/>
      <c r="O17" s="1036"/>
      <c r="P17" s="504" t="str">
        <f>+IF(R17+S17=2,"!","")</f>
        <v/>
      </c>
      <c r="R17" s="443"/>
      <c r="S17" s="443"/>
      <c r="T17" s="546"/>
      <c r="U17" s="546"/>
      <c r="V17" s="546"/>
      <c r="W17" s="546"/>
      <c r="X17" s="546"/>
      <c r="Y17" s="546" t="e">
        <f>IF(M17="OK",0,1)</f>
        <v>#N/A</v>
      </c>
      <c r="Z17" s="546"/>
      <c r="AA17" s="442">
        <v>0</v>
      </c>
      <c r="AB17" s="442">
        <v>0.1</v>
      </c>
      <c r="AC17" s="442">
        <f>IF(AND(J17=AA17,K17=AB17),0,1)</f>
        <v>0</v>
      </c>
    </row>
    <row r="18" spans="1:29" ht="15.75" x14ac:dyDescent="0.2">
      <c r="A18" s="453"/>
      <c r="B18" s="505"/>
      <c r="C18" s="506"/>
      <c r="D18" s="507"/>
      <c r="E18" s="507"/>
      <c r="F18" s="507"/>
      <c r="G18" s="507"/>
      <c r="H18" s="510"/>
      <c r="I18" s="508"/>
      <c r="J18" s="509"/>
      <c r="K18" s="510"/>
      <c r="L18" s="510"/>
      <c r="M18" s="511"/>
      <c r="N18" s="505"/>
      <c r="O18" s="520"/>
      <c r="P18" s="512"/>
      <c r="R18" s="443"/>
      <c r="S18" s="467"/>
      <c r="T18" s="546"/>
      <c r="U18" s="546"/>
      <c r="V18" s="546"/>
      <c r="W18" s="546"/>
      <c r="X18" s="546"/>
      <c r="Y18" s="546"/>
      <c r="Z18" s="546"/>
    </row>
    <row r="19" spans="1:29" ht="16.5" thickBot="1" x14ac:dyDescent="0.3">
      <c r="A19" s="453"/>
      <c r="B19" s="505"/>
      <c r="C19" s="513" t="s">
        <v>1011</v>
      </c>
      <c r="D19" s="567" t="s">
        <v>1083</v>
      </c>
      <c r="E19" s="567" t="s">
        <v>2110</v>
      </c>
      <c r="F19" s="507"/>
      <c r="G19" s="446" t="s">
        <v>1008</v>
      </c>
      <c r="H19" s="446" t="s">
        <v>285</v>
      </c>
      <c r="I19" s="446"/>
      <c r="J19" s="446" t="s">
        <v>1008</v>
      </c>
      <c r="K19" s="446" t="s">
        <v>285</v>
      </c>
      <c r="L19" s="510"/>
      <c r="M19" s="511"/>
      <c r="N19" s="505"/>
      <c r="O19" s="520"/>
      <c r="P19" s="512"/>
      <c r="R19" s="443"/>
      <c r="S19" s="467"/>
      <c r="T19" s="546"/>
      <c r="U19" s="546"/>
      <c r="V19" s="546"/>
      <c r="W19" s="546"/>
      <c r="X19" s="546"/>
      <c r="Y19" s="546"/>
      <c r="Z19" s="546"/>
    </row>
    <row r="20" spans="1:29" ht="15.75" x14ac:dyDescent="0.2">
      <c r="A20" s="453"/>
      <c r="B20" s="720">
        <v>2</v>
      </c>
      <c r="C20" s="721" t="s">
        <v>1045</v>
      </c>
      <c r="D20" s="722">
        <f>VLOOKUP('Part 1'!$F$1,datar,+B20+5,FALSE)</f>
        <v>0</v>
      </c>
      <c r="E20" s="722">
        <f>+'Part 2'!$R$56</f>
        <v>0</v>
      </c>
      <c r="F20" s="722"/>
      <c r="G20" s="722">
        <f t="shared" ref="G20:G27" si="0">ABS(+E20-D20)</f>
        <v>0</v>
      </c>
      <c r="H20" s="723">
        <f t="shared" ref="H20:H27" si="1">IF(AND(D20=0,E20=0),0,IF(AND(D20=0,E20&lt;&gt;0),1,G20/ABS((D20))))</f>
        <v>0</v>
      </c>
      <c r="I20" s="724"/>
      <c r="J20" s="725">
        <v>0</v>
      </c>
      <c r="K20" s="723">
        <v>0.2</v>
      </c>
      <c r="L20" s="723"/>
      <c r="M20" s="748" t="str">
        <f t="shared" ref="M20:M27" si="2">IF(O20&lt;&gt;"","Comment made", IF(AND(ABS(H20)&gt;K20,ABS(G20)&gt;J20),"Please comment","OK"))</f>
        <v>OK</v>
      </c>
      <c r="N20" s="726"/>
      <c r="O20" s="1037"/>
      <c r="P20" s="512"/>
      <c r="R20" s="443"/>
      <c r="S20" s="467"/>
      <c r="T20" s="546"/>
      <c r="U20" s="546"/>
      <c r="V20" s="546"/>
      <c r="W20" s="546"/>
      <c r="X20" s="546"/>
      <c r="Y20" s="546">
        <f t="shared" ref="Y20:Y44" si="3">IF(M20="OK",0,1)</f>
        <v>0</v>
      </c>
      <c r="Z20" s="546"/>
      <c r="AA20" s="442">
        <v>0</v>
      </c>
      <c r="AB20" s="442">
        <v>0.2</v>
      </c>
      <c r="AC20" s="442">
        <f t="shared" ref="AC20:AC27" si="4">IF(AND(J20=AA20,K20=AB20),0,1)</f>
        <v>0</v>
      </c>
    </row>
    <row r="21" spans="1:29" ht="15.75" x14ac:dyDescent="0.2">
      <c r="A21" s="453"/>
      <c r="B21" s="727">
        <f t="shared" ref="B21:B27" si="5">+B20+1</f>
        <v>3</v>
      </c>
      <c r="C21" s="517" t="s">
        <v>1139</v>
      </c>
      <c r="D21" s="507">
        <f>VLOOKUP('Part 1'!$F$1,datar,+B21+5,FALSE)</f>
        <v>0</v>
      </c>
      <c r="E21" s="507">
        <f>+'Part 2'!$R$61</f>
        <v>0</v>
      </c>
      <c r="F21" s="507"/>
      <c r="G21" s="507">
        <f t="shared" si="0"/>
        <v>0</v>
      </c>
      <c r="H21" s="510">
        <f t="shared" si="1"/>
        <v>0</v>
      </c>
      <c r="I21" s="508"/>
      <c r="J21" s="509">
        <v>0</v>
      </c>
      <c r="K21" s="510">
        <v>0.2</v>
      </c>
      <c r="L21" s="510"/>
      <c r="M21" s="516" t="str">
        <f t="shared" si="2"/>
        <v>OK</v>
      </c>
      <c r="N21" s="515"/>
      <c r="O21" s="1038"/>
      <c r="P21" s="512"/>
      <c r="R21" s="443"/>
      <c r="S21" s="443"/>
      <c r="T21" s="546"/>
      <c r="U21" s="546"/>
      <c r="V21" s="546"/>
      <c r="W21" s="546"/>
      <c r="X21" s="546"/>
      <c r="Y21" s="546">
        <f t="shared" si="3"/>
        <v>0</v>
      </c>
      <c r="Z21" s="546"/>
      <c r="AA21" s="442">
        <v>0</v>
      </c>
      <c r="AB21" s="442">
        <v>0.2</v>
      </c>
      <c r="AC21" s="442">
        <f t="shared" si="4"/>
        <v>0</v>
      </c>
    </row>
    <row r="22" spans="1:29" ht="15.75" x14ac:dyDescent="0.2">
      <c r="A22" s="453"/>
      <c r="B22" s="727">
        <f t="shared" si="5"/>
        <v>4</v>
      </c>
      <c r="C22" s="517" t="s">
        <v>1140</v>
      </c>
      <c r="D22" s="507">
        <f>+D20+D21</f>
        <v>0</v>
      </c>
      <c r="E22" s="507">
        <f>+'Part 2'!$R$64</f>
        <v>0</v>
      </c>
      <c r="F22" s="507"/>
      <c r="G22" s="507">
        <f t="shared" si="0"/>
        <v>0</v>
      </c>
      <c r="H22" s="510">
        <f t="shared" si="1"/>
        <v>0</v>
      </c>
      <c r="I22" s="508"/>
      <c r="J22" s="509">
        <v>0</v>
      </c>
      <c r="K22" s="510">
        <v>0.2</v>
      </c>
      <c r="L22" s="510"/>
      <c r="M22" s="516" t="str">
        <f t="shared" si="2"/>
        <v>OK</v>
      </c>
      <c r="N22" s="515"/>
      <c r="O22" s="1038"/>
      <c r="P22" s="512"/>
      <c r="R22" s="470"/>
      <c r="S22" s="470"/>
      <c r="T22" s="546"/>
      <c r="U22" s="546"/>
      <c r="V22" s="546"/>
      <c r="W22" s="546"/>
      <c r="X22" s="546"/>
      <c r="Y22" s="546">
        <f t="shared" si="3"/>
        <v>0</v>
      </c>
      <c r="Z22" s="546"/>
      <c r="AA22" s="442">
        <v>0</v>
      </c>
      <c r="AB22" s="442">
        <v>0.2</v>
      </c>
      <c r="AC22" s="442">
        <f t="shared" si="4"/>
        <v>0</v>
      </c>
    </row>
    <row r="23" spans="1:29" ht="15.75" x14ac:dyDescent="0.2">
      <c r="A23" s="453"/>
      <c r="B23" s="727">
        <f t="shared" si="5"/>
        <v>5</v>
      </c>
      <c r="C23" s="506" t="s">
        <v>1017</v>
      </c>
      <c r="D23" s="507">
        <f>VLOOKUP('Part 1'!$F$1,datar,+B23+5,FALSE)</f>
        <v>0</v>
      </c>
      <c r="E23" s="507">
        <f>+'Part 2'!$R$67</f>
        <v>0</v>
      </c>
      <c r="F23" s="507"/>
      <c r="G23" s="507">
        <f t="shared" si="0"/>
        <v>0</v>
      </c>
      <c r="H23" s="510">
        <f t="shared" si="1"/>
        <v>0</v>
      </c>
      <c r="I23" s="508"/>
      <c r="J23" s="509">
        <v>0</v>
      </c>
      <c r="K23" s="510">
        <v>0.2</v>
      </c>
      <c r="L23" s="510"/>
      <c r="M23" s="516" t="str">
        <f t="shared" si="2"/>
        <v>OK</v>
      </c>
      <c r="N23" s="515"/>
      <c r="O23" s="1038"/>
      <c r="P23" s="512"/>
      <c r="R23" s="443"/>
      <c r="S23" s="443"/>
      <c r="T23" s="546"/>
      <c r="U23" s="546"/>
      <c r="V23" s="546"/>
      <c r="W23" s="546"/>
      <c r="X23" s="546"/>
      <c r="Y23" s="546">
        <f t="shared" si="3"/>
        <v>0</v>
      </c>
      <c r="Z23" s="546"/>
      <c r="AA23" s="442">
        <v>0</v>
      </c>
      <c r="AB23" s="442">
        <v>0.2</v>
      </c>
      <c r="AC23" s="442">
        <f t="shared" si="4"/>
        <v>0</v>
      </c>
    </row>
    <row r="24" spans="1:29" ht="15.75" x14ac:dyDescent="0.2">
      <c r="A24" s="453"/>
      <c r="B24" s="727">
        <f t="shared" si="5"/>
        <v>6</v>
      </c>
      <c r="C24" s="506" t="s">
        <v>1018</v>
      </c>
      <c r="D24" s="507">
        <f>VLOOKUP('Part 1'!$F$1,datar,+B24+5,FALSE)</f>
        <v>0</v>
      </c>
      <c r="E24" s="507">
        <f>+'Part 2'!$R$70</f>
        <v>0</v>
      </c>
      <c r="F24" s="507"/>
      <c r="G24" s="507">
        <f t="shared" si="0"/>
        <v>0</v>
      </c>
      <c r="H24" s="510">
        <f t="shared" si="1"/>
        <v>0</v>
      </c>
      <c r="I24" s="508"/>
      <c r="J24" s="509">
        <v>20000</v>
      </c>
      <c r="K24" s="510">
        <v>0.2</v>
      </c>
      <c r="L24" s="510"/>
      <c r="M24" s="516" t="str">
        <f t="shared" si="2"/>
        <v>OK</v>
      </c>
      <c r="N24" s="515"/>
      <c r="O24" s="1038"/>
      <c r="P24" s="512"/>
      <c r="R24" s="443"/>
      <c r="S24" s="443"/>
      <c r="T24" s="546"/>
      <c r="U24" s="546"/>
      <c r="V24" s="546"/>
      <c r="W24" s="546"/>
      <c r="X24" s="546"/>
      <c r="Y24" s="546">
        <f t="shared" si="3"/>
        <v>0</v>
      </c>
      <c r="Z24" s="546"/>
      <c r="AA24" s="442">
        <v>20000</v>
      </c>
      <c r="AB24" s="442">
        <v>0.2</v>
      </c>
      <c r="AC24" s="442">
        <f t="shared" si="4"/>
        <v>0</v>
      </c>
    </row>
    <row r="25" spans="1:29" ht="15.75" x14ac:dyDescent="0.2">
      <c r="A25" s="453"/>
      <c r="B25" s="727">
        <f t="shared" si="5"/>
        <v>7</v>
      </c>
      <c r="C25" s="506" t="s">
        <v>1019</v>
      </c>
      <c r="D25" s="507">
        <f>VLOOKUP('Part 1'!$F$1,datar,+B25+5,FALSE)</f>
        <v>0</v>
      </c>
      <c r="E25" s="507">
        <f>+'Part 2'!$R$73</f>
        <v>0</v>
      </c>
      <c r="F25" s="507"/>
      <c r="G25" s="507">
        <f t="shared" si="0"/>
        <v>0</v>
      </c>
      <c r="H25" s="510">
        <f t="shared" si="1"/>
        <v>0</v>
      </c>
      <c r="I25" s="508"/>
      <c r="J25" s="509">
        <v>5000</v>
      </c>
      <c r="K25" s="510">
        <v>0.15</v>
      </c>
      <c r="L25" s="510"/>
      <c r="M25" s="516" t="str">
        <f t="shared" si="2"/>
        <v>OK</v>
      </c>
      <c r="N25" s="515"/>
      <c r="O25" s="1038"/>
      <c r="P25" s="512"/>
      <c r="T25" s="546"/>
      <c r="U25" s="546"/>
      <c r="V25" s="546"/>
      <c r="W25" s="546"/>
      <c r="X25" s="546"/>
      <c r="Y25" s="546">
        <f t="shared" si="3"/>
        <v>0</v>
      </c>
      <c r="Z25" s="546"/>
      <c r="AA25" s="442">
        <v>5000</v>
      </c>
      <c r="AB25" s="442">
        <v>0.15</v>
      </c>
      <c r="AC25" s="442">
        <f t="shared" si="4"/>
        <v>0</v>
      </c>
    </row>
    <row r="26" spans="1:29" ht="15.75" x14ac:dyDescent="0.2">
      <c r="A26" s="453"/>
      <c r="B26" s="727">
        <f t="shared" si="5"/>
        <v>8</v>
      </c>
      <c r="C26" s="506" t="s">
        <v>1020</v>
      </c>
      <c r="D26" s="507">
        <f>VLOOKUP('Part 1'!$F$1,datar,+B26+5,FALSE)</f>
        <v>0</v>
      </c>
      <c r="E26" s="507">
        <f>+'Part 2'!$R$93</f>
        <v>0</v>
      </c>
      <c r="F26" s="507"/>
      <c r="G26" s="507">
        <f t="shared" si="0"/>
        <v>0</v>
      </c>
      <c r="H26" s="510">
        <f t="shared" si="1"/>
        <v>0</v>
      </c>
      <c r="I26" s="508"/>
      <c r="J26" s="509">
        <v>250000</v>
      </c>
      <c r="K26" s="510">
        <v>0.2</v>
      </c>
      <c r="L26" s="510"/>
      <c r="M26" s="516" t="str">
        <f t="shared" si="2"/>
        <v>OK</v>
      </c>
      <c r="N26" s="515"/>
      <c r="O26" s="1038"/>
      <c r="P26" s="512"/>
      <c r="T26" s="546"/>
      <c r="U26" s="546"/>
      <c r="V26" s="546"/>
      <c r="W26" s="546"/>
      <c r="X26" s="546"/>
      <c r="Y26" s="546">
        <f t="shared" si="3"/>
        <v>0</v>
      </c>
      <c r="Z26" s="546"/>
      <c r="AA26" s="442">
        <v>250000</v>
      </c>
      <c r="AB26" s="442">
        <v>0.2</v>
      </c>
      <c r="AC26" s="442">
        <f t="shared" si="4"/>
        <v>0</v>
      </c>
    </row>
    <row r="27" spans="1:29" ht="16.5" thickBot="1" x14ac:dyDescent="0.25">
      <c r="A27" s="453"/>
      <c r="B27" s="728">
        <f t="shared" si="5"/>
        <v>9</v>
      </c>
      <c r="C27" s="729" t="s">
        <v>1021</v>
      </c>
      <c r="D27" s="730">
        <f>VLOOKUP('Part 1'!$F$1,datar,+B27+5,FALSE)</f>
        <v>0</v>
      </c>
      <c r="E27" s="730">
        <f>+'Part 2'!$R$96</f>
        <v>0</v>
      </c>
      <c r="F27" s="730"/>
      <c r="G27" s="730">
        <f t="shared" si="0"/>
        <v>0</v>
      </c>
      <c r="H27" s="731">
        <f t="shared" si="1"/>
        <v>0</v>
      </c>
      <c r="I27" s="732"/>
      <c r="J27" s="733">
        <v>500000</v>
      </c>
      <c r="K27" s="731">
        <v>0.25</v>
      </c>
      <c r="L27" s="731"/>
      <c r="M27" s="747" t="str">
        <f t="shared" si="2"/>
        <v>OK</v>
      </c>
      <c r="N27" s="734"/>
      <c r="O27" s="1039"/>
      <c r="P27" s="512"/>
      <c r="T27" s="546"/>
      <c r="U27" s="546"/>
      <c r="V27" s="546"/>
      <c r="W27" s="546"/>
      <c r="X27" s="546"/>
      <c r="Y27" s="546">
        <f t="shared" si="3"/>
        <v>0</v>
      </c>
      <c r="Z27" s="546"/>
      <c r="AA27" s="442">
        <v>500000</v>
      </c>
      <c r="AB27" s="442">
        <v>0.25</v>
      </c>
      <c r="AC27" s="442">
        <f t="shared" si="4"/>
        <v>0</v>
      </c>
    </row>
    <row r="28" spans="1:29" ht="15.75" x14ac:dyDescent="0.2">
      <c r="A28" s="453"/>
      <c r="B28" s="505"/>
      <c r="C28" s="506"/>
      <c r="D28" s="507"/>
      <c r="E28" s="507"/>
      <c r="F28" s="507"/>
      <c r="G28" s="514"/>
      <c r="H28" s="519"/>
      <c r="I28" s="514"/>
      <c r="J28" s="505"/>
      <c r="K28" s="505"/>
      <c r="L28" s="505"/>
      <c r="M28" s="511"/>
      <c r="N28" s="505"/>
      <c r="O28" s="520"/>
      <c r="P28" s="512"/>
      <c r="T28" s="546"/>
      <c r="U28" s="546"/>
      <c r="V28" s="546"/>
      <c r="W28" s="546"/>
      <c r="X28" s="546"/>
      <c r="Y28" s="546"/>
      <c r="Z28" s="546"/>
    </row>
    <row r="29" spans="1:29" ht="16.5" thickBot="1" x14ac:dyDescent="0.3">
      <c r="A29" s="453"/>
      <c r="B29" s="505"/>
      <c r="C29" s="513" t="s">
        <v>1012</v>
      </c>
      <c r="D29" s="567" t="s">
        <v>1083</v>
      </c>
      <c r="E29" s="567" t="s">
        <v>2110</v>
      </c>
      <c r="F29" s="507"/>
      <c r="G29" s="446" t="s">
        <v>1008</v>
      </c>
      <c r="H29" s="446" t="s">
        <v>285</v>
      </c>
      <c r="I29" s="446"/>
      <c r="J29" s="446" t="s">
        <v>1008</v>
      </c>
      <c r="K29" s="446" t="s">
        <v>285</v>
      </c>
      <c r="L29" s="505"/>
      <c r="M29" s="511"/>
      <c r="N29" s="505"/>
      <c r="O29" s="520"/>
      <c r="P29" s="512"/>
      <c r="T29" s="546"/>
      <c r="U29" s="546"/>
      <c r="V29" s="546"/>
      <c r="W29" s="546"/>
      <c r="X29" s="546"/>
      <c r="Y29" s="546"/>
      <c r="Z29" s="546"/>
    </row>
    <row r="30" spans="1:29" ht="15.75" x14ac:dyDescent="0.2">
      <c r="A30" s="453"/>
      <c r="B30" s="720">
        <f>+B27+1</f>
        <v>10</v>
      </c>
      <c r="C30" s="735" t="s">
        <v>1017</v>
      </c>
      <c r="D30" s="722">
        <f>VLOOKUP('Part 1'!$F$1,datar,+B30+5,FALSE)</f>
        <v>0</v>
      </c>
      <c r="E30" s="722">
        <f>+'Part 2'!$R$113</f>
        <v>0</v>
      </c>
      <c r="F30" s="722"/>
      <c r="G30" s="722">
        <f>ABS(+E30-D30)</f>
        <v>0</v>
      </c>
      <c r="H30" s="723">
        <f t="shared" ref="H30:H39" si="6">IF(AND(D30=0,E30=0),0,IF(AND(D30=0,E30&lt;&gt;0),1,G30/ABS((D30))))</f>
        <v>0</v>
      </c>
      <c r="I30" s="724"/>
      <c r="J30" s="725">
        <v>0</v>
      </c>
      <c r="K30" s="723">
        <v>0.25</v>
      </c>
      <c r="L30" s="723"/>
      <c r="M30" s="748" t="str">
        <f t="shared" ref="M30:M39" si="7">IF(O30&lt;&gt;"","Comment made", IF(AND(ABS(H30)&gt;K30,ABS(G30)&gt;J30),"Please comment","OK"))</f>
        <v>OK</v>
      </c>
      <c r="N30" s="726"/>
      <c r="O30" s="1040"/>
      <c r="P30" s="512"/>
      <c r="T30" s="546"/>
      <c r="U30" s="546"/>
      <c r="V30" s="546"/>
      <c r="W30" s="546"/>
      <c r="X30" s="546"/>
      <c r="Y30" s="546">
        <f t="shared" si="3"/>
        <v>0</v>
      </c>
      <c r="Z30" s="546"/>
      <c r="AA30" s="442">
        <v>0</v>
      </c>
      <c r="AB30" s="442">
        <v>0.25</v>
      </c>
      <c r="AC30" s="442">
        <f t="shared" ref="AC30:AC39" si="8">IF(AND(J30=AA30,K30=AB30),0,1)</f>
        <v>0</v>
      </c>
    </row>
    <row r="31" spans="1:29" ht="15.75" x14ac:dyDescent="0.2">
      <c r="A31" s="453"/>
      <c r="B31" s="727">
        <f>+B30+1</f>
        <v>11</v>
      </c>
      <c r="C31" s="506" t="s">
        <v>1013</v>
      </c>
      <c r="D31" s="507">
        <f>VLOOKUP('Part 1'!$F$1,datar,+B31+5,FALSE)</f>
        <v>0</v>
      </c>
      <c r="E31" s="507">
        <f>+'Part 2'!$R$116</f>
        <v>0</v>
      </c>
      <c r="F31" s="507"/>
      <c r="G31" s="507">
        <f>ABS(+E31-D31)</f>
        <v>0</v>
      </c>
      <c r="H31" s="510">
        <f t="shared" si="6"/>
        <v>0</v>
      </c>
      <c r="I31" s="508"/>
      <c r="J31" s="509">
        <v>50000</v>
      </c>
      <c r="K31" s="510">
        <v>0.25</v>
      </c>
      <c r="L31" s="510"/>
      <c r="M31" s="516" t="str">
        <f t="shared" si="7"/>
        <v>OK</v>
      </c>
      <c r="N31" s="515"/>
      <c r="O31" s="1038"/>
      <c r="P31" s="512"/>
      <c r="T31" s="546"/>
      <c r="U31" s="546"/>
      <c r="V31" s="546"/>
      <c r="W31" s="546"/>
      <c r="X31" s="546"/>
      <c r="Y31" s="546">
        <f t="shared" si="3"/>
        <v>0</v>
      </c>
      <c r="Z31" s="546"/>
      <c r="AA31" s="442">
        <v>50000</v>
      </c>
      <c r="AB31" s="442">
        <v>0.25</v>
      </c>
      <c r="AC31" s="442">
        <f t="shared" si="8"/>
        <v>0</v>
      </c>
    </row>
    <row r="32" spans="1:29" ht="15.75" x14ac:dyDescent="0.2">
      <c r="A32" s="453"/>
      <c r="B32" s="727">
        <f t="shared" ref="B32:B39" si="9">+B31+1</f>
        <v>12</v>
      </c>
      <c r="C32" s="506" t="s">
        <v>1010</v>
      </c>
      <c r="D32" s="507">
        <f>VLOOKUP('Part 1'!$F$1,datar,+B32+5,FALSE)</f>
        <v>0</v>
      </c>
      <c r="E32" s="507">
        <f>+'Part 2'!$R$119</f>
        <v>0</v>
      </c>
      <c r="F32" s="507"/>
      <c r="G32" s="507">
        <f>ABS(+E32-D32)</f>
        <v>0</v>
      </c>
      <c r="H32" s="510">
        <f t="shared" si="6"/>
        <v>0</v>
      </c>
      <c r="I32" s="508"/>
      <c r="J32" s="509">
        <v>5000</v>
      </c>
      <c r="K32" s="510">
        <v>0.25</v>
      </c>
      <c r="L32" s="510"/>
      <c r="M32" s="516" t="str">
        <f t="shared" si="7"/>
        <v>OK</v>
      </c>
      <c r="N32" s="515"/>
      <c r="O32" s="1038"/>
      <c r="P32" s="512"/>
      <c r="T32" s="546"/>
      <c r="U32" s="546"/>
      <c r="V32" s="546"/>
      <c r="W32" s="546"/>
      <c r="X32" s="546"/>
      <c r="Y32" s="546">
        <f t="shared" si="3"/>
        <v>0</v>
      </c>
      <c r="Z32" s="546"/>
      <c r="AA32" s="442">
        <v>5000</v>
      </c>
      <c r="AB32" s="442">
        <v>0.25</v>
      </c>
      <c r="AC32" s="442">
        <f t="shared" si="8"/>
        <v>0</v>
      </c>
    </row>
    <row r="33" spans="1:69" ht="15.75" x14ac:dyDescent="0.2">
      <c r="A33" s="453"/>
      <c r="B33" s="727">
        <f t="shared" si="9"/>
        <v>13</v>
      </c>
      <c r="C33" s="506" t="s">
        <v>1014</v>
      </c>
      <c r="D33" s="507">
        <f>VLOOKUP('Part 1'!$F$1,datar,+B33+5,FALSE)</f>
        <v>0</v>
      </c>
      <c r="E33" s="507">
        <f>+'Part 2'!$R$122</f>
        <v>0</v>
      </c>
      <c r="F33" s="507"/>
      <c r="G33" s="507">
        <f t="shared" ref="G33:G39" si="10">ABS(+E33-D33)</f>
        <v>0</v>
      </c>
      <c r="H33" s="510">
        <f t="shared" si="6"/>
        <v>0</v>
      </c>
      <c r="I33" s="508"/>
      <c r="J33" s="509">
        <v>5000</v>
      </c>
      <c r="K33" s="510">
        <v>0.25</v>
      </c>
      <c r="L33" s="510"/>
      <c r="M33" s="516" t="str">
        <f t="shared" si="7"/>
        <v>OK</v>
      </c>
      <c r="N33" s="515"/>
      <c r="O33" s="1038"/>
      <c r="P33" s="512"/>
      <c r="T33" s="546"/>
      <c r="U33" s="546"/>
      <c r="V33" s="546"/>
      <c r="W33" s="546"/>
      <c r="X33" s="546"/>
      <c r="Y33" s="546">
        <f t="shared" si="3"/>
        <v>0</v>
      </c>
      <c r="Z33" s="546"/>
      <c r="AA33" s="442">
        <v>5000</v>
      </c>
      <c r="AB33" s="442">
        <v>0.25</v>
      </c>
      <c r="AC33" s="442">
        <f t="shared" si="8"/>
        <v>0</v>
      </c>
    </row>
    <row r="34" spans="1:69" ht="15.75" x14ac:dyDescent="0.2">
      <c r="A34" s="453"/>
      <c r="B34" s="727">
        <f t="shared" si="9"/>
        <v>14</v>
      </c>
      <c r="C34" s="506" t="s">
        <v>1015</v>
      </c>
      <c r="D34" s="507">
        <f>VLOOKUP('Part 1'!$F$1,datar,+B34+5,FALSE)</f>
        <v>0</v>
      </c>
      <c r="E34" s="507">
        <f>+'Part 2'!$R$125</f>
        <v>0</v>
      </c>
      <c r="F34" s="507"/>
      <c r="G34" s="507">
        <f t="shared" si="10"/>
        <v>0</v>
      </c>
      <c r="H34" s="510">
        <f t="shared" si="6"/>
        <v>0</v>
      </c>
      <c r="I34" s="508"/>
      <c r="J34" s="509">
        <v>5000</v>
      </c>
      <c r="K34" s="510">
        <v>0.25</v>
      </c>
      <c r="L34" s="510"/>
      <c r="M34" s="516" t="str">
        <f t="shared" si="7"/>
        <v>OK</v>
      </c>
      <c r="N34" s="515"/>
      <c r="O34" s="1038"/>
      <c r="P34" s="512"/>
      <c r="T34" s="546"/>
      <c r="U34" s="546"/>
      <c r="V34" s="546"/>
      <c r="W34" s="546"/>
      <c r="X34" s="546"/>
      <c r="Y34" s="546">
        <f t="shared" si="3"/>
        <v>0</v>
      </c>
      <c r="Z34" s="546"/>
      <c r="AA34" s="442">
        <v>5000</v>
      </c>
      <c r="AB34" s="442">
        <v>0.25</v>
      </c>
      <c r="AC34" s="442">
        <f t="shared" si="8"/>
        <v>0</v>
      </c>
    </row>
    <row r="35" spans="1:69" ht="15.75" x14ac:dyDescent="0.2">
      <c r="A35" s="453"/>
      <c r="B35" s="727">
        <f t="shared" si="9"/>
        <v>15</v>
      </c>
      <c r="C35" s="506" t="s">
        <v>1016</v>
      </c>
      <c r="D35" s="507">
        <f>VLOOKUP('Part 1'!$F$1,datar,+B35+5,FALSE)</f>
        <v>0</v>
      </c>
      <c r="E35" s="507">
        <f>+'Part 2'!$R$128</f>
        <v>0</v>
      </c>
      <c r="F35" s="507"/>
      <c r="G35" s="507">
        <f t="shared" si="10"/>
        <v>0</v>
      </c>
      <c r="H35" s="510">
        <f t="shared" si="6"/>
        <v>0</v>
      </c>
      <c r="I35" s="508"/>
      <c r="J35" s="509">
        <v>50000</v>
      </c>
      <c r="K35" s="510">
        <v>0.25</v>
      </c>
      <c r="L35" s="510"/>
      <c r="M35" s="516" t="str">
        <f t="shared" si="7"/>
        <v>OK</v>
      </c>
      <c r="N35" s="515"/>
      <c r="O35" s="1038"/>
      <c r="P35" s="512"/>
      <c r="T35" s="546"/>
      <c r="U35" s="546"/>
      <c r="V35" s="546"/>
      <c r="W35" s="546"/>
      <c r="X35" s="546"/>
      <c r="Y35" s="546">
        <f t="shared" si="3"/>
        <v>0</v>
      </c>
      <c r="Z35" s="546"/>
      <c r="AA35" s="442">
        <v>50000</v>
      </c>
      <c r="AB35" s="442">
        <v>0.25</v>
      </c>
      <c r="AC35" s="442">
        <f t="shared" si="8"/>
        <v>0</v>
      </c>
    </row>
    <row r="36" spans="1:69" ht="15.75" x14ac:dyDescent="0.2">
      <c r="A36" s="453"/>
      <c r="B36" s="727">
        <f t="shared" si="9"/>
        <v>16</v>
      </c>
      <c r="C36" s="517" t="s">
        <v>1046</v>
      </c>
      <c r="D36" s="507">
        <f>VLOOKUP('Part 1'!$F$1,datar,+B36+5,FALSE)</f>
        <v>0</v>
      </c>
      <c r="E36" s="507">
        <f>+'Part 2'!$N$131</f>
        <v>0</v>
      </c>
      <c r="F36" s="507"/>
      <c r="G36" s="507">
        <f t="shared" si="10"/>
        <v>0</v>
      </c>
      <c r="H36" s="510">
        <f t="shared" si="6"/>
        <v>0</v>
      </c>
      <c r="I36" s="508"/>
      <c r="J36" s="509">
        <v>0</v>
      </c>
      <c r="K36" s="510">
        <v>0.25</v>
      </c>
      <c r="L36" s="510"/>
      <c r="M36" s="516" t="str">
        <f t="shared" si="7"/>
        <v>OK</v>
      </c>
      <c r="N36" s="515"/>
      <c r="O36" s="1038"/>
      <c r="P36" s="512"/>
      <c r="T36" s="546"/>
      <c r="U36" s="546"/>
      <c r="V36" s="546"/>
      <c r="W36" s="546"/>
      <c r="X36" s="546"/>
      <c r="Y36" s="546">
        <f t="shared" si="3"/>
        <v>0</v>
      </c>
      <c r="Z36" s="546"/>
      <c r="AA36" s="442">
        <v>0</v>
      </c>
      <c r="AB36" s="442">
        <v>0.25</v>
      </c>
      <c r="AC36" s="442">
        <f t="shared" si="8"/>
        <v>0</v>
      </c>
    </row>
    <row r="37" spans="1:69" ht="15.75" x14ac:dyDescent="0.2">
      <c r="A37" s="453"/>
      <c r="B37" s="727">
        <f t="shared" si="9"/>
        <v>17</v>
      </c>
      <c r="C37" s="517" t="s">
        <v>1047</v>
      </c>
      <c r="D37" s="507">
        <f>VLOOKUP('Part 1'!$F$1,datar,+B37+5,FALSE)</f>
        <v>0</v>
      </c>
      <c r="E37" s="507">
        <f>+'Part 2'!$J$132</f>
        <v>0</v>
      </c>
      <c r="F37" s="507"/>
      <c r="G37" s="507">
        <f t="shared" si="10"/>
        <v>0</v>
      </c>
      <c r="H37" s="510">
        <f t="shared" si="6"/>
        <v>0</v>
      </c>
      <c r="I37" s="508"/>
      <c r="J37" s="509">
        <v>0</v>
      </c>
      <c r="K37" s="510">
        <v>0.25</v>
      </c>
      <c r="L37" s="510"/>
      <c r="M37" s="516" t="str">
        <f t="shared" si="7"/>
        <v>OK</v>
      </c>
      <c r="N37" s="515"/>
      <c r="O37" s="1038"/>
      <c r="P37" s="512"/>
      <c r="T37" s="546"/>
      <c r="U37" s="546"/>
      <c r="V37" s="546"/>
      <c r="W37" s="546"/>
      <c r="X37" s="546"/>
      <c r="Y37" s="546">
        <f t="shared" si="3"/>
        <v>0</v>
      </c>
      <c r="Z37" s="546"/>
      <c r="AA37" s="442">
        <v>0</v>
      </c>
      <c r="AB37" s="442">
        <v>0.25</v>
      </c>
      <c r="AC37" s="442">
        <f t="shared" si="8"/>
        <v>0</v>
      </c>
    </row>
    <row r="38" spans="1:69" ht="15.75" x14ac:dyDescent="0.2">
      <c r="A38" s="453"/>
      <c r="B38" s="727">
        <f t="shared" si="9"/>
        <v>18</v>
      </c>
      <c r="C38" s="517" t="s">
        <v>1035</v>
      </c>
      <c r="D38" s="507">
        <f>VLOOKUP('Part 1'!$F$1,datar,+B38+5,FALSE)</f>
        <v>0</v>
      </c>
      <c r="E38" s="507">
        <f>+'Part 2'!$R$153</f>
        <v>0</v>
      </c>
      <c r="F38" s="507"/>
      <c r="G38" s="507">
        <f t="shared" si="10"/>
        <v>0</v>
      </c>
      <c r="H38" s="510">
        <f t="shared" si="6"/>
        <v>0</v>
      </c>
      <c r="I38" s="508"/>
      <c r="J38" s="509">
        <v>50000</v>
      </c>
      <c r="K38" s="510">
        <v>0.25</v>
      </c>
      <c r="L38" s="510"/>
      <c r="M38" s="516" t="str">
        <f t="shared" si="7"/>
        <v>OK</v>
      </c>
      <c r="N38" s="515"/>
      <c r="O38" s="1038"/>
      <c r="P38" s="512"/>
      <c r="T38" s="546"/>
      <c r="U38" s="546"/>
      <c r="V38" s="546"/>
      <c r="W38" s="546"/>
      <c r="X38" s="546"/>
      <c r="Y38" s="546">
        <f t="shared" si="3"/>
        <v>0</v>
      </c>
      <c r="Z38" s="546"/>
      <c r="AA38" s="442">
        <v>50000</v>
      </c>
      <c r="AB38" s="442">
        <v>0.25</v>
      </c>
      <c r="AC38" s="442">
        <f t="shared" si="8"/>
        <v>0</v>
      </c>
    </row>
    <row r="39" spans="1:69" ht="16.5" thickBot="1" x14ac:dyDescent="0.25">
      <c r="A39" s="453"/>
      <c r="B39" s="728">
        <f t="shared" si="9"/>
        <v>19</v>
      </c>
      <c r="C39" s="736" t="s">
        <v>1036</v>
      </c>
      <c r="D39" s="730">
        <f>VLOOKUP('Part 1'!$F$1,datar,+B39+5,FALSE)</f>
        <v>0</v>
      </c>
      <c r="E39" s="730">
        <f>+'Part 2'!$R$156</f>
        <v>0</v>
      </c>
      <c r="F39" s="730"/>
      <c r="G39" s="730">
        <f t="shared" si="10"/>
        <v>0</v>
      </c>
      <c r="H39" s="731">
        <f t="shared" si="6"/>
        <v>0</v>
      </c>
      <c r="I39" s="732"/>
      <c r="J39" s="733">
        <v>50000</v>
      </c>
      <c r="K39" s="731">
        <v>0.25</v>
      </c>
      <c r="L39" s="731"/>
      <c r="M39" s="747" t="str">
        <f t="shared" si="7"/>
        <v>OK</v>
      </c>
      <c r="N39" s="734"/>
      <c r="O39" s="1039"/>
      <c r="P39" s="512"/>
      <c r="T39"/>
      <c r="W39"/>
      <c r="X39"/>
      <c r="Y39" s="546">
        <f t="shared" si="3"/>
        <v>0</v>
      </c>
      <c r="Z39"/>
      <c r="AA39" s="442">
        <v>50000</v>
      </c>
      <c r="AB39" s="442">
        <v>0.25</v>
      </c>
      <c r="AC39" s="442">
        <f t="shared" si="8"/>
        <v>0</v>
      </c>
    </row>
    <row r="40" spans="1:69" s="442" customFormat="1" ht="16.5" thickBot="1" x14ac:dyDescent="0.25">
      <c r="A40" s="453"/>
      <c r="B40" s="505"/>
      <c r="C40" s="517"/>
      <c r="D40" s="507"/>
      <c r="E40" s="507"/>
      <c r="F40" s="507"/>
      <c r="G40" s="507"/>
      <c r="H40" s="510"/>
      <c r="I40" s="508"/>
      <c r="J40" s="509"/>
      <c r="K40" s="510"/>
      <c r="L40" s="510"/>
      <c r="M40" s="516"/>
      <c r="N40" s="516"/>
      <c r="O40" s="516"/>
      <c r="P40" s="454"/>
      <c r="Y40" s="546"/>
    </row>
    <row r="41" spans="1:69" ht="16.5" thickBot="1" x14ac:dyDescent="0.25">
      <c r="A41" s="453"/>
      <c r="B41" s="713">
        <f>+B39+1</f>
        <v>20</v>
      </c>
      <c r="C41" s="737" t="s">
        <v>1048</v>
      </c>
      <c r="D41" s="715" t="e">
        <f>VLOOKUP('Part 1'!$F$1,datar,+B41+6,FALSE)</f>
        <v>#N/A</v>
      </c>
      <c r="E41" s="715">
        <f>+'Part 2'!$R$181</f>
        <v>0</v>
      </c>
      <c r="F41" s="715"/>
      <c r="G41" s="715" t="e">
        <f>ABS(+E41-D41)</f>
        <v>#N/A</v>
      </c>
      <c r="H41" s="716" t="e">
        <f t="shared" ref="H41" si="11">IF(AND(D41=0,E41=0),0,IF(AND(D41=0,E41&lt;&gt;0),1,G41/ABS((D41))))</f>
        <v>#N/A</v>
      </c>
      <c r="I41" s="717"/>
      <c r="J41" s="718">
        <v>0</v>
      </c>
      <c r="K41" s="716">
        <v>0.1</v>
      </c>
      <c r="L41" s="716"/>
      <c r="M41" s="845" t="e">
        <f>IF(O41&lt;&gt;"","Comment made", IF(AND(ABS(H41)&gt;K41,ABS(G41)&gt;J41),"Please comment","OK"))</f>
        <v>#N/A</v>
      </c>
      <c r="N41" s="719"/>
      <c r="O41" s="1041"/>
      <c r="P41" s="454"/>
      <c r="Y41" s="546" t="e">
        <f t="shared" si="3"/>
        <v>#N/A</v>
      </c>
      <c r="AA41" s="442">
        <v>0</v>
      </c>
      <c r="AB41" s="442">
        <v>0.1</v>
      </c>
      <c r="AC41" s="442">
        <f>IF(AND(J41=AA41,K41=AB41),0,1)</f>
        <v>0</v>
      </c>
    </row>
    <row r="42" spans="1:69" ht="15.75" x14ac:dyDescent="0.2">
      <c r="A42" s="453"/>
      <c r="B42" s="505"/>
      <c r="C42" s="517"/>
      <c r="D42" s="507"/>
      <c r="E42" s="507"/>
      <c r="F42" s="507"/>
      <c r="G42" s="507"/>
      <c r="H42" s="510"/>
      <c r="I42" s="514"/>
      <c r="J42" s="509"/>
      <c r="K42" s="510"/>
      <c r="L42" s="505"/>
      <c r="M42" s="516"/>
      <c r="N42" s="505"/>
      <c r="O42" s="521"/>
      <c r="P42" s="454"/>
      <c r="Y42" s="546"/>
    </row>
    <row r="43" spans="1:69" ht="16.5" thickBot="1" x14ac:dyDescent="0.3">
      <c r="A43" s="453"/>
      <c r="B43" s="505"/>
      <c r="C43" s="518" t="s">
        <v>1038</v>
      </c>
      <c r="D43" s="567" t="s">
        <v>1083</v>
      </c>
      <c r="E43" s="567" t="s">
        <v>2110</v>
      </c>
      <c r="F43" s="507"/>
      <c r="G43" s="446" t="s">
        <v>1008</v>
      </c>
      <c r="H43" s="446" t="s">
        <v>285</v>
      </c>
      <c r="I43" s="446"/>
      <c r="J43" s="446" t="s">
        <v>1008</v>
      </c>
      <c r="K43" s="446" t="s">
        <v>285</v>
      </c>
      <c r="L43" s="505"/>
      <c r="M43" s="516"/>
      <c r="N43" s="505"/>
      <c r="O43" s="521"/>
      <c r="P43" s="454"/>
      <c r="Y43" s="546"/>
    </row>
    <row r="44" spans="1:69" ht="15.75" x14ac:dyDescent="0.2">
      <c r="A44" s="453"/>
      <c r="B44" s="720">
        <f>+B41+1</f>
        <v>21</v>
      </c>
      <c r="C44" s="721" t="s">
        <v>3098</v>
      </c>
      <c r="D44" s="722">
        <f>VLOOKUP('Part 1'!$F$1,datar,+B44+6,FALSE)</f>
        <v>0</v>
      </c>
      <c r="E44" s="722">
        <f>+'Part 3'!O26</f>
        <v>0</v>
      </c>
      <c r="F44" s="722"/>
      <c r="G44" s="722">
        <f>ABS(+E44-D44)</f>
        <v>0</v>
      </c>
      <c r="H44" s="723">
        <f t="shared" ref="H44" si="12">IF(AND(D44=0,E44=0),0,IF(AND(D44=0,E44&lt;&gt;0),1,G44/ABS((D44))))</f>
        <v>0</v>
      </c>
      <c r="I44" s="724"/>
      <c r="J44" s="725">
        <v>0</v>
      </c>
      <c r="K44" s="723">
        <v>0.1</v>
      </c>
      <c r="L44" s="723"/>
      <c r="M44" s="748" t="str">
        <f t="shared" ref="M44" si="13">IF(O44&lt;&gt;"","Comment made", IF(AND(ABS(H44)&gt;K44,ABS(G44)&gt;J44),"Please comment","OK"))</f>
        <v>OK</v>
      </c>
      <c r="N44" s="726"/>
      <c r="O44" s="1037"/>
      <c r="P44" s="454"/>
      <c r="Y44" s="546">
        <f t="shared" si="3"/>
        <v>0</v>
      </c>
      <c r="AA44" s="442">
        <v>0</v>
      </c>
      <c r="AB44" s="442">
        <v>0.1</v>
      </c>
      <c r="AC44" s="442">
        <f>IF(AND(J44=AA44,K44=AB44),0,1)</f>
        <v>0</v>
      </c>
    </row>
    <row r="45" spans="1:69" s="400" customFormat="1" ht="16.5" thickBot="1" x14ac:dyDescent="0.25">
      <c r="A45" s="622"/>
      <c r="B45" s="738">
        <f>+B44+1</f>
        <v>22</v>
      </c>
      <c r="C45" s="739" t="s">
        <v>2185</v>
      </c>
      <c r="D45" s="740"/>
      <c r="E45" s="741">
        <f>+'Part 4'!$L$63</f>
        <v>0</v>
      </c>
      <c r="F45" s="741"/>
      <c r="G45" s="742" t="s">
        <v>1037</v>
      </c>
      <c r="H45" s="742" t="s">
        <v>1037</v>
      </c>
      <c r="I45" s="743"/>
      <c r="J45" s="742">
        <v>0</v>
      </c>
      <c r="K45" s="742" t="s">
        <v>1037</v>
      </c>
      <c r="L45" s="744"/>
      <c r="M45" s="747" t="str">
        <f>IF(O45&lt;&gt;"","Comment made", IF(E45=0,"Please comment","OK"))</f>
        <v>Please comment</v>
      </c>
      <c r="N45" s="745"/>
      <c r="O45" s="1042"/>
      <c r="P45" s="623"/>
      <c r="Q45" s="624"/>
      <c r="R45" s="624"/>
      <c r="S45" s="624"/>
      <c r="T45" s="624"/>
      <c r="U45" s="624"/>
      <c r="V45" s="624"/>
      <c r="W45" s="624"/>
      <c r="X45" s="624"/>
      <c r="Y45" s="546">
        <f>IF(M45="OK",0,1)</f>
        <v>1</v>
      </c>
      <c r="Z45" s="624"/>
      <c r="AA45" s="624">
        <v>0</v>
      </c>
      <c r="AB45" s="624" t="s">
        <v>1037</v>
      </c>
      <c r="AC45" s="442">
        <f>IF(AND(J45=AA45,K45=AB45),0,1)</f>
        <v>0</v>
      </c>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24"/>
      <c r="BI45" s="624"/>
      <c r="BJ45" s="624"/>
      <c r="BK45" s="624"/>
      <c r="BL45" s="624"/>
      <c r="BM45" s="624"/>
      <c r="BN45" s="624"/>
      <c r="BO45" s="624"/>
      <c r="BP45" s="624"/>
      <c r="BQ45" s="624"/>
    </row>
    <row r="46" spans="1:69" ht="15.75" x14ac:dyDescent="0.2">
      <c r="A46" s="453"/>
      <c r="B46" s="450"/>
      <c r="C46" s="450"/>
      <c r="D46" s="447"/>
      <c r="E46" s="447"/>
      <c r="F46" s="447"/>
      <c r="G46" s="451"/>
      <c r="H46" s="451"/>
      <c r="I46" s="451"/>
      <c r="J46" s="450"/>
      <c r="K46" s="450"/>
      <c r="L46" s="450"/>
      <c r="M46" s="461"/>
      <c r="N46" s="449"/>
      <c r="O46" s="462"/>
      <c r="P46" s="454"/>
      <c r="AC46" s="1730">
        <f>IF(SUM(AC17:AC45)&gt;0,1,0)</f>
        <v>0</v>
      </c>
    </row>
    <row r="47" spans="1:69" s="443" customFormat="1" x14ac:dyDescent="0.2">
      <c r="A47" s="453"/>
      <c r="B47" s="764"/>
      <c r="C47" s="449"/>
      <c r="E47" s="448"/>
      <c r="F47" s="448"/>
      <c r="J47" s="449"/>
      <c r="K47" s="449"/>
      <c r="L47" s="449"/>
      <c r="M47" s="449"/>
      <c r="N47" s="449"/>
      <c r="P47" s="454"/>
    </row>
    <row r="48" spans="1:69" s="443" customFormat="1" ht="15.75" x14ac:dyDescent="0.25">
      <c r="A48" s="453"/>
      <c r="G48" s="2326" t="s">
        <v>2353</v>
      </c>
      <c r="H48" s="2327"/>
      <c r="I48" s="2327"/>
      <c r="J48" s="2327"/>
      <c r="K48" s="2327"/>
      <c r="L48" s="2328"/>
      <c r="M48" s="847">
        <f>COUNTIF($M$17:$M$45,"Please Comment")</f>
        <v>1</v>
      </c>
      <c r="N48" s="449"/>
      <c r="P48" s="454"/>
    </row>
    <row r="49" spans="1:16" s="443" customFormat="1" ht="16.5" thickBot="1" x14ac:dyDescent="0.3">
      <c r="A49" s="453"/>
      <c r="B49" s="630" t="s">
        <v>1068</v>
      </c>
      <c r="G49" s="629"/>
      <c r="H49" s="629"/>
      <c r="I49" s="629"/>
      <c r="J49" s="629"/>
      <c r="K49" s="629"/>
      <c r="L49" s="629"/>
      <c r="M49" s="449"/>
      <c r="N49" s="449"/>
      <c r="P49" s="454"/>
    </row>
    <row r="50" spans="1:16" ht="77.25" customHeight="1" thickBot="1" x14ac:dyDescent="0.25">
      <c r="A50" s="658"/>
      <c r="B50" s="2323"/>
      <c r="C50" s="2324"/>
      <c r="D50" s="2324"/>
      <c r="E50" s="2324"/>
      <c r="F50" s="2324"/>
      <c r="G50" s="2324"/>
      <c r="H50" s="2324"/>
      <c r="I50" s="2324"/>
      <c r="J50" s="2324"/>
      <c r="K50" s="2324"/>
      <c r="L50" s="2324"/>
      <c r="M50" s="2324"/>
      <c r="N50" s="2324"/>
      <c r="O50" s="2325"/>
      <c r="P50" s="454"/>
    </row>
    <row r="51" spans="1:16" s="442" customFormat="1" ht="15.75" thickBot="1" x14ac:dyDescent="0.25">
      <c r="A51" s="455"/>
      <c r="B51" s="456"/>
      <c r="C51" s="456"/>
      <c r="D51" s="456"/>
      <c r="E51" s="456"/>
      <c r="F51" s="456"/>
      <c r="G51" s="456"/>
      <c r="H51" s="456"/>
      <c r="I51" s="456"/>
      <c r="J51" s="457"/>
      <c r="K51" s="457"/>
      <c r="L51" s="457"/>
      <c r="M51" s="457"/>
      <c r="N51" s="457"/>
      <c r="O51" s="456"/>
      <c r="P51" s="458"/>
    </row>
    <row r="52" spans="1:16" s="442" customFormat="1" x14ac:dyDescent="0.2">
      <c r="F52" s="443"/>
      <c r="J52" s="444"/>
      <c r="K52" s="444"/>
      <c r="L52" s="444"/>
      <c r="M52" s="444"/>
      <c r="N52" s="444"/>
    </row>
    <row r="53" spans="1:16" s="442" customFormat="1" x14ac:dyDescent="0.2">
      <c r="F53" s="443"/>
      <c r="J53" s="444"/>
      <c r="K53" s="444"/>
      <c r="L53" s="444"/>
      <c r="M53" s="444"/>
      <c r="N53" s="444"/>
    </row>
    <row r="54" spans="1:16" s="442" customFormat="1" x14ac:dyDescent="0.2">
      <c r="F54" s="443"/>
      <c r="J54" s="444"/>
      <c r="K54" s="444"/>
      <c r="L54" s="444"/>
      <c r="M54" s="444"/>
      <c r="N54" s="444"/>
    </row>
    <row r="55" spans="1:16" s="442" customFormat="1" x14ac:dyDescent="0.2">
      <c r="F55" s="443"/>
      <c r="J55" s="444"/>
      <c r="K55" s="444"/>
      <c r="L55" s="444"/>
      <c r="M55" s="444"/>
      <c r="N55" s="444"/>
    </row>
    <row r="56" spans="1:16" s="442" customFormat="1" x14ac:dyDescent="0.2">
      <c r="F56" s="443"/>
      <c r="J56" s="444"/>
      <c r="K56" s="444"/>
      <c r="L56" s="444"/>
      <c r="M56" s="444"/>
      <c r="N56" s="444"/>
    </row>
    <row r="57" spans="1:16" s="442" customFormat="1" x14ac:dyDescent="0.2">
      <c r="F57" s="443"/>
      <c r="J57" s="444"/>
      <c r="K57" s="444"/>
      <c r="L57" s="444"/>
      <c r="M57" s="444"/>
      <c r="N57" s="444"/>
    </row>
    <row r="58" spans="1:16" s="442" customFormat="1" x14ac:dyDescent="0.2">
      <c r="F58" s="443"/>
      <c r="J58" s="444"/>
      <c r="K58" s="444"/>
      <c r="L58" s="444"/>
      <c r="M58" s="444"/>
      <c r="N58" s="444"/>
    </row>
    <row r="59" spans="1:16" s="442" customFormat="1" x14ac:dyDescent="0.2">
      <c r="F59" s="443"/>
      <c r="J59" s="444"/>
      <c r="K59" s="444"/>
      <c r="L59" s="444"/>
      <c r="M59" s="444"/>
      <c r="N59" s="444"/>
    </row>
    <row r="60" spans="1:16" s="442" customFormat="1" x14ac:dyDescent="0.2">
      <c r="F60" s="443"/>
      <c r="J60" s="444"/>
      <c r="K60" s="444"/>
      <c r="L60" s="444"/>
      <c r="M60" s="444"/>
      <c r="N60" s="444"/>
    </row>
    <row r="61" spans="1:16" s="442" customFormat="1" x14ac:dyDescent="0.2">
      <c r="F61" s="443"/>
      <c r="J61" s="444"/>
      <c r="K61" s="444"/>
      <c r="L61" s="444"/>
      <c r="M61" s="444"/>
      <c r="N61" s="444"/>
    </row>
    <row r="62" spans="1:16" s="442" customFormat="1" x14ac:dyDescent="0.2">
      <c r="F62" s="443"/>
      <c r="J62" s="444"/>
      <c r="K62" s="444"/>
      <c r="L62" s="444"/>
      <c r="M62" s="444"/>
      <c r="N62" s="444"/>
    </row>
    <row r="63" spans="1:16" s="442" customFormat="1" x14ac:dyDescent="0.2">
      <c r="F63" s="443"/>
      <c r="J63" s="444"/>
      <c r="K63" s="444"/>
      <c r="L63" s="444"/>
      <c r="M63" s="444"/>
      <c r="N63" s="444"/>
    </row>
    <row r="64" spans="1:16" s="442" customFormat="1" x14ac:dyDescent="0.2">
      <c r="F64" s="443"/>
      <c r="J64" s="444"/>
      <c r="K64" s="444"/>
      <c r="L64" s="444"/>
      <c r="M64" s="444"/>
      <c r="N64" s="444"/>
    </row>
    <row r="65" spans="6:14" s="442" customFormat="1" x14ac:dyDescent="0.2">
      <c r="F65" s="443"/>
      <c r="J65" s="444"/>
      <c r="K65" s="444"/>
      <c r="L65" s="444"/>
      <c r="M65" s="444"/>
      <c r="N65" s="444"/>
    </row>
    <row r="66" spans="6:14" s="442" customFormat="1" x14ac:dyDescent="0.2">
      <c r="F66" s="443"/>
      <c r="J66" s="444"/>
      <c r="K66" s="444"/>
      <c r="L66" s="444"/>
      <c r="M66" s="444"/>
      <c r="N66" s="444"/>
    </row>
  </sheetData>
  <sheetProtection sheet="1" objects="1" scenarios="1"/>
  <mergeCells count="9">
    <mergeCell ref="B50:O50"/>
    <mergeCell ref="G48:L48"/>
    <mergeCell ref="A2:P2"/>
    <mergeCell ref="A5:P5"/>
    <mergeCell ref="A4:P4"/>
    <mergeCell ref="A3:P3"/>
    <mergeCell ref="D15:E15"/>
    <mergeCell ref="G15:H15"/>
    <mergeCell ref="J15:K15"/>
  </mergeCells>
  <conditionalFormatting sqref="M18:M19 M46">
    <cfRule type="expression" dxfId="205" priority="105" stopIfTrue="1">
      <formula>M18="Please comment"</formula>
    </cfRule>
    <cfRule type="expression" dxfId="204" priority="106" stopIfTrue="1">
      <formula>M18="OK"</formula>
    </cfRule>
  </conditionalFormatting>
  <conditionalFormatting sqref="O18:O19">
    <cfRule type="expression" dxfId="203" priority="103" stopIfTrue="1">
      <formula>O18="Please comment"</formula>
    </cfRule>
    <cfRule type="expression" dxfId="202" priority="104" stopIfTrue="1">
      <formula>O18="OK"</formula>
    </cfRule>
  </conditionalFormatting>
  <conditionalFormatting sqref="O28:O29">
    <cfRule type="expression" dxfId="201" priority="101" stopIfTrue="1">
      <formula>O28="Please comment"</formula>
    </cfRule>
    <cfRule type="expression" dxfId="200" priority="102" stopIfTrue="1">
      <formula>O28="OK"</formula>
    </cfRule>
  </conditionalFormatting>
  <conditionalFormatting sqref="M49">
    <cfRule type="expression" dxfId="199" priority="94" stopIfTrue="1">
      <formula>AND(M49&lt;&gt;0)=TRUE</formula>
    </cfRule>
  </conditionalFormatting>
  <conditionalFormatting sqref="O20:O27 O41 O17 O30:O39">
    <cfRule type="expression" dxfId="198" priority="93" stopIfTrue="1">
      <formula>AND($M17="Please comment")=TRUE</formula>
    </cfRule>
  </conditionalFormatting>
  <conditionalFormatting sqref="O44:O45">
    <cfRule type="expression" dxfId="197" priority="86" stopIfTrue="1">
      <formula>AND($M44="Please comment")=TRUE</formula>
    </cfRule>
  </conditionalFormatting>
  <conditionalFormatting sqref="M40:O40">
    <cfRule type="expression" dxfId="196" priority="66" stopIfTrue="1">
      <formula>M40="Zero in 2014-15"</formula>
    </cfRule>
    <cfRule type="expression" dxfId="195" priority="70" stopIfTrue="1">
      <formula>M40="Please comment"</formula>
    </cfRule>
    <cfRule type="expression" dxfId="194" priority="71" stopIfTrue="1">
      <formula>M40="OK"</formula>
    </cfRule>
  </conditionalFormatting>
  <conditionalFormatting sqref="M20:M27">
    <cfRule type="expression" dxfId="193" priority="33">
      <formula>M20="Comment made"</formula>
    </cfRule>
    <cfRule type="expression" dxfId="192" priority="38" stopIfTrue="1">
      <formula>M20="Please comment"</formula>
    </cfRule>
    <cfRule type="expression" dxfId="191" priority="39" stopIfTrue="1">
      <formula>M20="OK"</formula>
    </cfRule>
  </conditionalFormatting>
  <conditionalFormatting sqref="M30">
    <cfRule type="expression" dxfId="190" priority="17">
      <formula>M30="Comment made"</formula>
    </cfRule>
    <cfRule type="expression" dxfId="189" priority="19" stopIfTrue="1">
      <formula>M30="Please comment"</formula>
    </cfRule>
    <cfRule type="expression" dxfId="188" priority="20" stopIfTrue="1">
      <formula>M30="OK"</formula>
    </cfRule>
  </conditionalFormatting>
  <conditionalFormatting sqref="M31:M39">
    <cfRule type="expression" dxfId="187" priority="13">
      <formula>M31="Comment made"</formula>
    </cfRule>
    <cfRule type="expression" dxfId="186" priority="15" stopIfTrue="1">
      <formula>M31="Please comment"</formula>
    </cfRule>
    <cfRule type="expression" dxfId="185" priority="16" stopIfTrue="1">
      <formula>M31="OK"</formula>
    </cfRule>
  </conditionalFormatting>
  <conditionalFormatting sqref="M41">
    <cfRule type="expression" dxfId="184" priority="9">
      <formula>M41="Comment made"</formula>
    </cfRule>
    <cfRule type="expression" dxfId="183" priority="11" stopIfTrue="1">
      <formula>M41="Please comment"</formula>
    </cfRule>
    <cfRule type="expression" dxfId="182" priority="12" stopIfTrue="1">
      <formula>M41="OK"</formula>
    </cfRule>
  </conditionalFormatting>
  <conditionalFormatting sqref="M44:M45">
    <cfRule type="expression" dxfId="181" priority="5">
      <formula>M44="Comment made"</formula>
    </cfRule>
    <cfRule type="expression" dxfId="180" priority="7" stopIfTrue="1">
      <formula>M44="Please comment"</formula>
    </cfRule>
    <cfRule type="expression" dxfId="179" priority="8" stopIfTrue="1">
      <formula>M44="OK"</formula>
    </cfRule>
  </conditionalFormatting>
  <conditionalFormatting sqref="M17">
    <cfRule type="expression" dxfId="178" priority="1">
      <formula>M17="Comment made"</formula>
    </cfRule>
    <cfRule type="expression" dxfId="177" priority="3" stopIfTrue="1">
      <formula>M17="Please comment"</formula>
    </cfRule>
    <cfRule type="expression" dxfId="176" priority="4" stopIfTrue="1">
      <formula>M17="OK"</formula>
    </cfRule>
  </conditionalFormatting>
  <pageMargins left="0.39370078740157483" right="0.39370078740157483" top="0.39370078740157483" bottom="0.39370078740157483" header="0.31496062992125984" footer="0.31496062992125984"/>
  <pageSetup paperSize="9" scale="6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C67"/>
  <sheetViews>
    <sheetView zoomScale="70" zoomScaleNormal="70" workbookViewId="0"/>
  </sheetViews>
  <sheetFormatPr defaultColWidth="9.140625" defaultRowHeight="15" x14ac:dyDescent="0.2"/>
  <cols>
    <col min="1" max="1" width="3.7109375" style="589" customWidth="1"/>
    <col min="2" max="2" width="10.7109375" style="589" bestFit="1" customWidth="1"/>
    <col min="3" max="3" width="34.42578125" style="589" bestFit="1" customWidth="1"/>
    <col min="4" max="5" width="15.7109375" style="589" customWidth="1"/>
    <col min="6" max="6" width="3.7109375" style="590" customWidth="1"/>
    <col min="7" max="7" width="16.7109375" style="589" bestFit="1" customWidth="1"/>
    <col min="8" max="8" width="9.28515625" style="589" bestFit="1" customWidth="1"/>
    <col min="9" max="9" width="3.7109375" style="589" customWidth="1"/>
    <col min="10" max="10" width="12.7109375" style="591" bestFit="1" customWidth="1"/>
    <col min="11" max="11" width="9.28515625" style="591" bestFit="1" customWidth="1"/>
    <col min="12" max="12" width="3.7109375" style="591" customWidth="1"/>
    <col min="13" max="13" width="22.28515625" style="591" customWidth="1"/>
    <col min="14" max="14" width="3.7109375" style="592" customWidth="1"/>
    <col min="15" max="15" width="50.7109375" style="553" customWidth="1"/>
    <col min="16" max="16" width="3.7109375" style="553" customWidth="1"/>
    <col min="17" max="18" width="9.140625" style="553"/>
    <col min="19" max="19" width="3.7109375" style="553" customWidth="1"/>
    <col min="20" max="24" width="9.140625" style="553"/>
    <col min="25" max="30" width="9.140625" style="553" customWidth="1"/>
    <col min="31" max="55" width="9.140625" style="553"/>
    <col min="56" max="16384" width="9.140625" style="589"/>
  </cols>
  <sheetData>
    <row r="1" spans="1:26" ht="15.75" x14ac:dyDescent="0.25">
      <c r="A1" s="551"/>
      <c r="B1" s="551"/>
      <c r="C1" s="551"/>
      <c r="D1" s="551"/>
      <c r="E1" s="551"/>
      <c r="F1" s="551"/>
      <c r="G1" s="551"/>
      <c r="H1" s="551"/>
      <c r="I1" s="551"/>
      <c r="J1" s="551"/>
      <c r="K1" s="551"/>
      <c r="L1" s="551"/>
      <c r="M1" s="551"/>
      <c r="N1" s="551"/>
      <c r="O1" s="551"/>
      <c r="P1" s="552"/>
    </row>
    <row r="2" spans="1:26" ht="23.25" x14ac:dyDescent="0.35">
      <c r="A2" s="2339" t="s">
        <v>820</v>
      </c>
      <c r="B2" s="2340"/>
      <c r="C2" s="2340"/>
      <c r="D2" s="2340"/>
      <c r="E2" s="2340"/>
      <c r="F2" s="2340"/>
      <c r="G2" s="2340"/>
      <c r="H2" s="2340"/>
      <c r="I2" s="2340"/>
      <c r="J2" s="2340"/>
      <c r="K2" s="2340"/>
      <c r="L2" s="2340"/>
      <c r="M2" s="2340"/>
      <c r="N2" s="2340"/>
      <c r="O2" s="2340"/>
      <c r="P2" s="2341"/>
      <c r="Q2" s="554"/>
      <c r="R2" s="554"/>
      <c r="S2" s="554"/>
      <c r="T2" s="554"/>
      <c r="U2" s="554"/>
      <c r="V2" s="554"/>
      <c r="W2" s="554"/>
      <c r="X2" s="554"/>
      <c r="Y2" s="554"/>
      <c r="Z2" s="555"/>
    </row>
    <row r="3" spans="1:26" ht="18" x14ac:dyDescent="0.25">
      <c r="A3" s="2342" t="s">
        <v>2110</v>
      </c>
      <c r="B3" s="2343"/>
      <c r="C3" s="2343"/>
      <c r="D3" s="2343"/>
      <c r="E3" s="2343"/>
      <c r="F3" s="2343"/>
      <c r="G3" s="2343"/>
      <c r="H3" s="2343"/>
      <c r="I3" s="2343"/>
      <c r="J3" s="2343"/>
      <c r="K3" s="2343"/>
      <c r="L3" s="2343"/>
      <c r="M3" s="2343"/>
      <c r="N3" s="2343"/>
      <c r="O3" s="2343"/>
      <c r="P3" s="2344"/>
      <c r="Q3" s="554"/>
      <c r="R3" s="554"/>
      <c r="S3" s="554"/>
      <c r="T3" s="554"/>
      <c r="U3" s="554"/>
      <c r="V3" s="554"/>
      <c r="W3" s="554"/>
      <c r="X3" s="554"/>
      <c r="Y3" s="554"/>
      <c r="Z3" s="555"/>
    </row>
    <row r="4" spans="1:26" ht="18" x14ac:dyDescent="0.25">
      <c r="A4" s="2342" t="s">
        <v>1060</v>
      </c>
      <c r="B4" s="2343"/>
      <c r="C4" s="2343"/>
      <c r="D4" s="2343"/>
      <c r="E4" s="2343"/>
      <c r="F4" s="2343"/>
      <c r="G4" s="2343"/>
      <c r="H4" s="2343"/>
      <c r="I4" s="2343"/>
      <c r="J4" s="2343"/>
      <c r="K4" s="2343"/>
      <c r="L4" s="2343"/>
      <c r="M4" s="2343"/>
      <c r="N4" s="2343"/>
      <c r="O4" s="2343"/>
      <c r="P4" s="2344"/>
      <c r="Q4" s="554"/>
      <c r="R4" s="554"/>
      <c r="S4" s="554"/>
      <c r="T4" s="554"/>
      <c r="U4" s="554"/>
      <c r="V4" s="554"/>
      <c r="W4" s="554"/>
      <c r="X4" s="554"/>
      <c r="Y4" s="554"/>
      <c r="Z4" s="555"/>
    </row>
    <row r="5" spans="1:26" s="553" customFormat="1" ht="15.75" thickBot="1" x14ac:dyDescent="0.25">
      <c r="A5" s="2345" t="s">
        <v>45</v>
      </c>
      <c r="B5" s="2346"/>
      <c r="C5" s="2346"/>
      <c r="D5" s="2346"/>
      <c r="E5" s="2346"/>
      <c r="F5" s="2346"/>
      <c r="G5" s="2346"/>
      <c r="H5" s="2346"/>
      <c r="I5" s="2346"/>
      <c r="J5" s="2346"/>
      <c r="K5" s="2346"/>
      <c r="L5" s="2346"/>
      <c r="M5" s="2346"/>
      <c r="N5" s="2346"/>
      <c r="O5" s="2346"/>
      <c r="P5" s="2347"/>
      <c r="R5" s="555"/>
      <c r="S5" s="555"/>
      <c r="T5" s="555"/>
      <c r="U5" s="555"/>
    </row>
    <row r="6" spans="1:26" s="553" customFormat="1" x14ac:dyDescent="0.2">
      <c r="A6" s="556"/>
      <c r="B6" s="555"/>
      <c r="C6" s="555"/>
      <c r="D6" s="555"/>
      <c r="E6" s="555"/>
      <c r="F6" s="555"/>
      <c r="G6" s="555"/>
      <c r="H6" s="555"/>
      <c r="I6" s="555"/>
      <c r="J6" s="557"/>
      <c r="K6" s="557"/>
      <c r="L6" s="557"/>
      <c r="M6" s="557"/>
      <c r="N6" s="557"/>
      <c r="O6" s="555"/>
      <c r="P6" s="558"/>
      <c r="R6" s="555"/>
      <c r="S6" s="559"/>
      <c r="T6" s="560"/>
      <c r="U6" s="555"/>
    </row>
    <row r="7" spans="1:26" s="553" customFormat="1" ht="15.75" x14ac:dyDescent="0.25">
      <c r="A7" s="556"/>
      <c r="B7" s="441" t="str">
        <f>+CONCATENATE("Local authority : ",+'Part 1'!$L$16,"     ",+'Part 1'!$L$17)</f>
        <v>Local authority : ZZZZ     EZZZZ</v>
      </c>
      <c r="C7" s="555"/>
      <c r="D7" s="555"/>
      <c r="E7" s="555"/>
      <c r="F7" s="561"/>
      <c r="G7" s="555"/>
      <c r="H7" s="555"/>
      <c r="I7" s="555"/>
      <c r="J7" s="557"/>
      <c r="K7" s="557"/>
      <c r="L7" s="557"/>
      <c r="M7" s="557"/>
      <c r="N7" s="557"/>
      <c r="O7" s="555"/>
      <c r="P7" s="558"/>
      <c r="R7" s="555"/>
      <c r="S7" s="562"/>
      <c r="T7" s="563"/>
      <c r="U7" s="555"/>
    </row>
    <row r="8" spans="1:26" s="553" customFormat="1" ht="15.75" x14ac:dyDescent="0.25">
      <c r="A8" s="556"/>
      <c r="B8" s="441" t="str">
        <f>+CONCATENATE("Local authority contact name : ",+'Part 1'!L18)</f>
        <v xml:space="preserve">Local authority contact name : </v>
      </c>
      <c r="C8" s="555"/>
      <c r="D8" s="555"/>
      <c r="E8" s="555"/>
      <c r="F8" s="555"/>
      <c r="G8" s="555"/>
      <c r="H8" s="555"/>
      <c r="I8" s="555"/>
      <c r="J8" s="557"/>
      <c r="K8" s="557"/>
      <c r="L8" s="557"/>
      <c r="M8" s="557"/>
      <c r="N8" s="557"/>
      <c r="O8" s="555"/>
      <c r="P8" s="558"/>
      <c r="R8" s="555"/>
      <c r="S8" s="564"/>
      <c r="T8" s="563"/>
      <c r="U8" s="555"/>
    </row>
    <row r="9" spans="1:26" s="553" customFormat="1" ht="15.75" x14ac:dyDescent="0.25">
      <c r="A9" s="556"/>
      <c r="B9" s="441" t="str">
        <f>+CONCATENATE("Local authority contact number : ",+'Part 1'!L19)</f>
        <v xml:space="preserve">Local authority contact number : </v>
      </c>
      <c r="C9" s="555"/>
      <c r="D9" s="555"/>
      <c r="E9" s="555"/>
      <c r="F9" s="555"/>
      <c r="G9" s="555"/>
      <c r="H9" s="555"/>
      <c r="I9" s="555"/>
      <c r="J9" s="557"/>
      <c r="K9" s="557"/>
      <c r="L9" s="557"/>
      <c r="M9" s="557"/>
      <c r="N9" s="557"/>
      <c r="O9" s="555"/>
      <c r="P9" s="558"/>
      <c r="R9" s="555"/>
      <c r="S9" s="564"/>
      <c r="T9" s="563"/>
      <c r="U9" s="555"/>
    </row>
    <row r="10" spans="1:26" s="553" customFormat="1" ht="15.75" x14ac:dyDescent="0.25">
      <c r="A10" s="556"/>
      <c r="B10" s="441" t="str">
        <f>+CONCATENATE("Local authority contact email address : ",+'Part 1'!L20)</f>
        <v xml:space="preserve">Local authority contact email address : </v>
      </c>
      <c r="C10" s="555"/>
      <c r="D10" s="555"/>
      <c r="E10" s="555"/>
      <c r="F10" s="555"/>
      <c r="G10" s="555"/>
      <c r="H10" s="555"/>
      <c r="I10" s="555"/>
      <c r="J10" s="557"/>
      <c r="K10" s="557"/>
      <c r="L10" s="557"/>
      <c r="M10" s="557"/>
      <c r="N10" s="557"/>
      <c r="O10" s="555"/>
      <c r="P10" s="558"/>
      <c r="R10" s="555"/>
      <c r="S10" s="564"/>
      <c r="T10" s="1731"/>
      <c r="U10" s="555"/>
    </row>
    <row r="11" spans="1:26" s="553" customFormat="1" ht="15.75" x14ac:dyDescent="0.25">
      <c r="A11" s="556"/>
      <c r="B11" s="561"/>
      <c r="C11" s="555"/>
      <c r="D11" s="555"/>
      <c r="E11" s="555"/>
      <c r="F11" s="555"/>
      <c r="G11" s="555"/>
      <c r="H11" s="555"/>
      <c r="I11" s="555"/>
      <c r="J11" s="557"/>
      <c r="K11" s="557"/>
      <c r="L11" s="557"/>
      <c r="M11" s="557"/>
      <c r="N11" s="557"/>
      <c r="O11" s="555"/>
      <c r="P11" s="558"/>
      <c r="R11" s="555"/>
      <c r="S11" s="564"/>
      <c r="T11" s="563"/>
      <c r="U11" s="555"/>
    </row>
    <row r="12" spans="1:26" s="553" customFormat="1" x14ac:dyDescent="0.2">
      <c r="A12" s="556"/>
      <c r="B12" s="565" t="s">
        <v>282</v>
      </c>
      <c r="C12" s="565"/>
      <c r="D12" s="555"/>
      <c r="E12" s="555"/>
      <c r="F12" s="555"/>
      <c r="G12" s="555"/>
      <c r="H12" s="555"/>
      <c r="I12" s="555"/>
      <c r="J12" s="557"/>
      <c r="K12" s="557"/>
      <c r="L12" s="557"/>
      <c r="M12" s="557"/>
      <c r="N12" s="557"/>
      <c r="O12" s="555"/>
      <c r="P12" s="558"/>
      <c r="R12" s="555"/>
      <c r="S12" s="564"/>
      <c r="T12" s="563"/>
      <c r="U12" s="555"/>
    </row>
    <row r="13" spans="1:26" s="553" customFormat="1" x14ac:dyDescent="0.2">
      <c r="A13" s="556"/>
      <c r="B13" s="565" t="s">
        <v>1087</v>
      </c>
      <c r="C13" s="565"/>
      <c r="D13" s="555"/>
      <c r="E13" s="555"/>
      <c r="F13" s="555"/>
      <c r="G13" s="555"/>
      <c r="H13" s="555"/>
      <c r="I13" s="555"/>
      <c r="J13" s="557"/>
      <c r="K13" s="557"/>
      <c r="L13" s="557"/>
      <c r="M13" s="557"/>
      <c r="N13" s="557"/>
      <c r="O13" s="555"/>
      <c r="P13" s="558"/>
      <c r="R13" s="555"/>
      <c r="S13" s="564"/>
      <c r="T13" s="563"/>
      <c r="U13" s="555"/>
    </row>
    <row r="14" spans="1:26" ht="15.75" x14ac:dyDescent="0.25">
      <c r="A14" s="556"/>
      <c r="B14" s="555"/>
      <c r="C14" s="561"/>
      <c r="D14" s="555"/>
      <c r="E14" s="555"/>
      <c r="F14" s="555"/>
      <c r="G14" s="555"/>
      <c r="H14" s="555"/>
      <c r="I14" s="555"/>
      <c r="J14" s="557"/>
      <c r="K14" s="557"/>
      <c r="L14" s="557"/>
      <c r="M14" s="557"/>
      <c r="N14" s="557"/>
      <c r="O14" s="555"/>
      <c r="P14" s="558"/>
      <c r="R14" s="555"/>
      <c r="S14" s="564"/>
      <c r="T14" s="563"/>
      <c r="U14" s="555"/>
    </row>
    <row r="15" spans="1:26" ht="15.75" x14ac:dyDescent="0.25">
      <c r="A15" s="556"/>
      <c r="B15" s="555"/>
      <c r="C15" s="555"/>
      <c r="D15" s="2348" t="s">
        <v>967</v>
      </c>
      <c r="E15" s="2349"/>
      <c r="F15" s="566"/>
      <c r="G15" s="2348" t="s">
        <v>969</v>
      </c>
      <c r="H15" s="2349"/>
      <c r="I15" s="566"/>
      <c r="J15" s="2348" t="s">
        <v>968</v>
      </c>
      <c r="K15" s="2349"/>
      <c r="L15" s="566"/>
      <c r="M15" s="557"/>
      <c r="N15" s="557"/>
      <c r="O15" s="555"/>
      <c r="P15" s="558"/>
      <c r="R15" s="555"/>
      <c r="S15" s="564"/>
      <c r="T15" s="563"/>
      <c r="U15" s="555"/>
    </row>
    <row r="16" spans="1:26" ht="16.5" thickBot="1" x14ac:dyDescent="0.3">
      <c r="A16" s="556"/>
      <c r="B16" s="557" t="s">
        <v>1009</v>
      </c>
      <c r="C16" s="555"/>
      <c r="D16" s="567" t="s">
        <v>1083</v>
      </c>
      <c r="E16" s="567" t="s">
        <v>2110</v>
      </c>
      <c r="F16" s="567"/>
      <c r="G16" s="567" t="s">
        <v>1008</v>
      </c>
      <c r="H16" s="567" t="s">
        <v>285</v>
      </c>
      <c r="I16" s="567"/>
      <c r="J16" s="567" t="s">
        <v>1008</v>
      </c>
      <c r="K16" s="567" t="s">
        <v>285</v>
      </c>
      <c r="L16" s="567"/>
      <c r="M16" s="568"/>
      <c r="N16" s="557"/>
      <c r="P16" s="558"/>
      <c r="R16" s="555"/>
      <c r="S16" s="564"/>
      <c r="T16" s="563"/>
      <c r="U16" s="555"/>
    </row>
    <row r="17" spans="1:29" ht="16.5" thickBot="1" x14ac:dyDescent="0.3">
      <c r="A17" s="556"/>
      <c r="B17" s="569"/>
      <c r="C17" s="577" t="s">
        <v>1011</v>
      </c>
      <c r="D17" s="571"/>
      <c r="E17" s="571"/>
      <c r="F17" s="571"/>
      <c r="G17" s="571"/>
      <c r="H17" s="572"/>
      <c r="I17" s="573"/>
      <c r="J17" s="574"/>
      <c r="K17" s="572"/>
      <c r="L17" s="572"/>
      <c r="M17" s="575"/>
      <c r="N17" s="569"/>
      <c r="O17" s="746" t="s">
        <v>1082</v>
      </c>
      <c r="P17" s="578"/>
      <c r="R17" s="555"/>
      <c r="S17" s="564"/>
      <c r="T17" s="563"/>
      <c r="U17" s="555"/>
      <c r="AA17" s="553" t="s">
        <v>2312</v>
      </c>
    </row>
    <row r="18" spans="1:29" ht="15.75" x14ac:dyDescent="0.2">
      <c r="A18" s="556"/>
      <c r="B18" s="688">
        <v>1</v>
      </c>
      <c r="C18" s="689" t="s">
        <v>1049</v>
      </c>
      <c r="D18" s="690" t="e">
        <f>VLOOKUP('Part 1'!$F$1,datar,+B18+28,FALSE)</f>
        <v>#N/A</v>
      </c>
      <c r="E18" s="691">
        <f>+'Supplementary Information'!$H$24</f>
        <v>0</v>
      </c>
      <c r="F18" s="691"/>
      <c r="G18" s="691" t="e">
        <f>+E18-D18</f>
        <v>#N/A</v>
      </c>
      <c r="H18" s="692" t="e">
        <f>IF(AND(D18=0,E18=0),0,IF(AND(D18=0,E18&lt;&gt;0),1,G18/D18))</f>
        <v>#N/A</v>
      </c>
      <c r="I18" s="693"/>
      <c r="J18" s="694">
        <v>50</v>
      </c>
      <c r="K18" s="692">
        <v>0.1</v>
      </c>
      <c r="L18" s="692"/>
      <c r="M18" s="516" t="e">
        <f>IF(O18&lt;&gt;"","Comment made", IF(AND(ABS(H18)&gt;K18,ABS(G18)&gt;J18),"Please comment","OK"))</f>
        <v>#N/A</v>
      </c>
      <c r="N18" s="695"/>
      <c r="O18" s="1043"/>
      <c r="P18" s="578"/>
      <c r="R18" s="555"/>
      <c r="S18" s="564"/>
      <c r="T18" s="563"/>
      <c r="U18" s="555"/>
      <c r="Y18" s="546" t="e">
        <f>IF(M18="OK",0,1)</f>
        <v>#N/A</v>
      </c>
      <c r="AA18" s="553">
        <v>50</v>
      </c>
      <c r="AB18" s="553">
        <v>0.1</v>
      </c>
      <c r="AC18" s="553">
        <f>IF(AND(J18=AA18,K18=AB18),0,1)</f>
        <v>0</v>
      </c>
    </row>
    <row r="19" spans="1:29" ht="15.75" x14ac:dyDescent="0.2">
      <c r="A19" s="556"/>
      <c r="B19" s="696">
        <v>2</v>
      </c>
      <c r="C19" s="617" t="s">
        <v>1050</v>
      </c>
      <c r="D19" s="311" t="e">
        <f>VLOOKUP('Part 1'!$F$1,datar,+B19+28,FALSE)</f>
        <v>#N/A</v>
      </c>
      <c r="E19" s="618">
        <f>+'Supplementary Information'!$H$26</f>
        <v>0</v>
      </c>
      <c r="F19" s="618"/>
      <c r="G19" s="618" t="e">
        <f>+E19-D19</f>
        <v>#N/A</v>
      </c>
      <c r="H19" s="619" t="e">
        <f t="shared" ref="H19:H22" si="0">IF(AND(D19=0,E19=0),0,IF(AND(D19=0,E19&lt;&gt;0),1,G19/D19))</f>
        <v>#N/A</v>
      </c>
      <c r="I19" s="620"/>
      <c r="J19" s="625">
        <v>10</v>
      </c>
      <c r="K19" s="619">
        <v>0</v>
      </c>
      <c r="L19" s="619"/>
      <c r="M19" s="516" t="e">
        <f>IF(O19&lt;&gt;"","Comment made", IF(AND(ABS(H19)&gt;K19,ABS(G19)&gt;J19),"Please comment","OK"))</f>
        <v>#N/A</v>
      </c>
      <c r="N19" s="621"/>
      <c r="O19" s="1044"/>
      <c r="P19" s="578"/>
      <c r="R19" s="555"/>
      <c r="S19" s="564"/>
      <c r="T19" s="563"/>
      <c r="U19" s="555"/>
      <c r="Y19" s="546" t="e">
        <f t="shared" ref="Y19:Y22" si="1">IF(M19="OK",0,1)</f>
        <v>#N/A</v>
      </c>
      <c r="AA19" s="553">
        <v>10</v>
      </c>
      <c r="AB19" s="553">
        <v>0</v>
      </c>
      <c r="AC19" s="553">
        <f t="shared" ref="AC19:AC22" si="2">IF(AND(J19=AA19,K19=AB19),0,1)</f>
        <v>0</v>
      </c>
    </row>
    <row r="20" spans="1:29" ht="15.75" x14ac:dyDescent="0.2">
      <c r="A20" s="556"/>
      <c r="B20" s="696">
        <v>3</v>
      </c>
      <c r="C20" s="617" t="s">
        <v>1051</v>
      </c>
      <c r="D20" s="311" t="e">
        <f>VLOOKUP('Part 1'!$F$1,datar,+B20+28,FALSE)</f>
        <v>#N/A</v>
      </c>
      <c r="E20" s="618">
        <f>+'Supplementary Information'!$H$28</f>
        <v>0</v>
      </c>
      <c r="F20" s="618"/>
      <c r="G20" s="618" t="e">
        <f>+E20-D20</f>
        <v>#N/A</v>
      </c>
      <c r="H20" s="619" t="e">
        <f t="shared" si="0"/>
        <v>#N/A</v>
      </c>
      <c r="I20" s="620"/>
      <c r="J20" s="625">
        <v>10</v>
      </c>
      <c r="K20" s="619">
        <v>0</v>
      </c>
      <c r="L20" s="619"/>
      <c r="M20" s="516" t="e">
        <f>IF(O20&lt;&gt;"","Comment made", IF(AND(ABS(H20)&gt;K20,ABS(G20)&gt;J20),"Please comment","OK"))</f>
        <v>#N/A</v>
      </c>
      <c r="N20" s="621"/>
      <c r="O20" s="1044"/>
      <c r="P20" s="578"/>
      <c r="R20" s="555"/>
      <c r="S20" s="555"/>
      <c r="T20" s="555"/>
      <c r="U20" s="555"/>
      <c r="Y20" s="546" t="e">
        <f t="shared" si="1"/>
        <v>#N/A</v>
      </c>
      <c r="AA20" s="553">
        <v>10</v>
      </c>
      <c r="AB20" s="553">
        <v>0</v>
      </c>
      <c r="AC20" s="553">
        <f t="shared" si="2"/>
        <v>0</v>
      </c>
    </row>
    <row r="21" spans="1:29" ht="15.75" x14ac:dyDescent="0.2">
      <c r="A21" s="556"/>
      <c r="B21" s="696">
        <v>4</v>
      </c>
      <c r="C21" s="617" t="s">
        <v>1052</v>
      </c>
      <c r="D21" s="311" t="e">
        <f>VLOOKUP('Part 1'!$F$1,datar,+B21+28,FALSE)</f>
        <v>#N/A</v>
      </c>
      <c r="E21" s="618">
        <f>+'Supplementary Information'!$H$30</f>
        <v>0</v>
      </c>
      <c r="F21" s="618"/>
      <c r="G21" s="618" t="e">
        <f>+E21-D21</f>
        <v>#N/A</v>
      </c>
      <c r="H21" s="619" t="e">
        <f t="shared" si="0"/>
        <v>#N/A</v>
      </c>
      <c r="I21" s="620"/>
      <c r="J21" s="625">
        <v>10</v>
      </c>
      <c r="K21" s="619">
        <v>0</v>
      </c>
      <c r="L21" s="619"/>
      <c r="M21" s="516" t="e">
        <f>IF(O21&lt;&gt;"","Comment made", IF(AND(ABS(H21)&gt;K21,ABS(G21)&gt;J21),"Please comment","OK"))</f>
        <v>#N/A</v>
      </c>
      <c r="N21" s="621"/>
      <c r="O21" s="1044"/>
      <c r="P21" s="578"/>
      <c r="R21" s="579"/>
      <c r="S21" s="579"/>
      <c r="T21" s="579"/>
      <c r="U21" s="579"/>
      <c r="V21" s="580"/>
      <c r="W21" s="580"/>
      <c r="X21" s="580"/>
      <c r="Y21" s="546" t="e">
        <f t="shared" si="1"/>
        <v>#N/A</v>
      </c>
      <c r="Z21" s="580"/>
      <c r="AA21" s="553">
        <v>10</v>
      </c>
      <c r="AB21" s="553">
        <v>0</v>
      </c>
      <c r="AC21" s="553">
        <f t="shared" si="2"/>
        <v>0</v>
      </c>
    </row>
    <row r="22" spans="1:29" ht="16.5" thickBot="1" x14ac:dyDescent="0.25">
      <c r="A22" s="556"/>
      <c r="B22" s="697">
        <v>5</v>
      </c>
      <c r="C22" s="698" t="s">
        <v>1053</v>
      </c>
      <c r="D22" s="699" t="e">
        <f>VLOOKUP('Part 1'!$F$1,datar,+B22+28,FALSE)</f>
        <v>#N/A</v>
      </c>
      <c r="E22" s="700">
        <f>+'Supplementary Information'!$H$32</f>
        <v>0</v>
      </c>
      <c r="F22" s="700"/>
      <c r="G22" s="700" t="e">
        <f>+E22-D22</f>
        <v>#N/A</v>
      </c>
      <c r="H22" s="701" t="e">
        <f t="shared" si="0"/>
        <v>#N/A</v>
      </c>
      <c r="I22" s="702"/>
      <c r="J22" s="703">
        <v>100</v>
      </c>
      <c r="K22" s="701">
        <v>0.3</v>
      </c>
      <c r="L22" s="701"/>
      <c r="M22" s="516" t="e">
        <f>IF(O22&lt;&gt;"","Comment made", IF(AND(ABS(H22)&gt;K22,ABS(G22)&gt;J22),"Please comment","OK"))</f>
        <v>#N/A</v>
      </c>
      <c r="N22" s="704"/>
      <c r="O22" s="1045"/>
      <c r="P22" s="578"/>
      <c r="R22" s="555"/>
      <c r="S22" s="555"/>
      <c r="T22" s="555"/>
      <c r="U22" s="555"/>
      <c r="Y22" s="546" t="e">
        <f t="shared" si="1"/>
        <v>#N/A</v>
      </c>
      <c r="AA22" s="553">
        <v>100</v>
      </c>
      <c r="AB22" s="553">
        <v>0.3</v>
      </c>
      <c r="AC22" s="553">
        <f t="shared" si="2"/>
        <v>0</v>
      </c>
    </row>
    <row r="23" spans="1:29" s="553" customFormat="1" ht="15.75" x14ac:dyDescent="0.2">
      <c r="A23" s="556"/>
      <c r="B23" s="569"/>
      <c r="C23" s="570"/>
      <c r="D23" s="571"/>
      <c r="E23" s="571"/>
      <c r="F23" s="571"/>
      <c r="G23" s="581"/>
      <c r="H23" s="582"/>
      <c r="I23" s="581"/>
      <c r="J23" s="569"/>
      <c r="K23" s="569"/>
      <c r="L23" s="569"/>
      <c r="M23" s="575"/>
      <c r="N23" s="569"/>
      <c r="O23" s="576"/>
      <c r="P23" s="578"/>
    </row>
    <row r="24" spans="1:29" s="553" customFormat="1" ht="16.5" thickBot="1" x14ac:dyDescent="0.25">
      <c r="A24" s="556"/>
      <c r="B24" s="569"/>
      <c r="C24" s="577" t="s">
        <v>1012</v>
      </c>
      <c r="D24" s="571"/>
      <c r="E24" s="571"/>
      <c r="F24" s="571"/>
      <c r="G24" s="581"/>
      <c r="H24" s="582"/>
      <c r="I24" s="581"/>
      <c r="J24" s="569"/>
      <c r="K24" s="569"/>
      <c r="L24" s="569"/>
      <c r="M24" s="575"/>
      <c r="N24" s="569"/>
      <c r="O24" s="576"/>
      <c r="P24" s="578"/>
    </row>
    <row r="25" spans="1:29" s="553" customFormat="1" ht="15.75" x14ac:dyDescent="0.2">
      <c r="A25" s="556"/>
      <c r="B25" s="688">
        <v>6</v>
      </c>
      <c r="C25" s="689" t="s">
        <v>1049</v>
      </c>
      <c r="D25" s="690" t="e">
        <f>VLOOKUP('Part 1'!$F$1,datar,+B25+28,FALSE)</f>
        <v>#N/A</v>
      </c>
      <c r="E25" s="691">
        <f>+'Supplementary Information'!$H$47</f>
        <v>0</v>
      </c>
      <c r="F25" s="691"/>
      <c r="G25" s="691" t="e">
        <f t="shared" ref="G25:G33" si="3">+E25-D25</f>
        <v>#N/A</v>
      </c>
      <c r="H25" s="692" t="e">
        <f t="shared" ref="H25:H36" si="4">IF(AND(D25=0,E25=0),0,IF(AND(D25=0,E25&lt;&gt;0),1,G25/D25))</f>
        <v>#N/A</v>
      </c>
      <c r="I25" s="693"/>
      <c r="J25" s="694">
        <v>40</v>
      </c>
      <c r="K25" s="692">
        <v>0.3</v>
      </c>
      <c r="L25" s="692"/>
      <c r="M25" s="516" t="e">
        <f t="shared" ref="M25:M36" si="5">IF(O25&lt;&gt;"","Comment made", IF(AND(ABS(H25)&gt;K25,ABS(G25)&gt;J25),"Please comment","OK"))</f>
        <v>#N/A</v>
      </c>
      <c r="N25" s="695"/>
      <c r="O25" s="1046"/>
      <c r="P25" s="578"/>
      <c r="Y25" s="546" t="e">
        <f t="shared" ref="Y25:Y39" si="6">IF(M25="OK",0,1)</f>
        <v>#N/A</v>
      </c>
      <c r="AA25" s="553">
        <v>40</v>
      </c>
      <c r="AB25" s="553">
        <v>0.3</v>
      </c>
      <c r="AC25" s="553">
        <f t="shared" ref="AC25:AC39" si="7">IF(AND(J25=AA25,K25=AB25),0,1)</f>
        <v>0</v>
      </c>
    </row>
    <row r="26" spans="1:29" s="553" customFormat="1" ht="15.75" x14ac:dyDescent="0.2">
      <c r="A26" s="556"/>
      <c r="B26" s="696">
        <v>7</v>
      </c>
      <c r="C26" s="617" t="s">
        <v>1054</v>
      </c>
      <c r="D26" s="311" t="e">
        <f>VLOOKUP('Part 1'!$F$1,datar,+B26+28,FALSE)</f>
        <v>#N/A</v>
      </c>
      <c r="E26" s="618">
        <f>+'Supplementary Information'!$H$49</f>
        <v>0</v>
      </c>
      <c r="F26" s="618"/>
      <c r="G26" s="618" t="e">
        <f t="shared" si="3"/>
        <v>#N/A</v>
      </c>
      <c r="H26" s="619" t="e">
        <f t="shared" si="4"/>
        <v>#N/A</v>
      </c>
      <c r="I26" s="620"/>
      <c r="J26" s="625">
        <v>20</v>
      </c>
      <c r="K26" s="619">
        <v>0</v>
      </c>
      <c r="L26" s="619"/>
      <c r="M26" s="516" t="e">
        <f t="shared" si="5"/>
        <v>#N/A</v>
      </c>
      <c r="N26" s="621"/>
      <c r="O26" s="1047"/>
      <c r="P26" s="578"/>
      <c r="Y26" s="546" t="e">
        <f t="shared" si="6"/>
        <v>#N/A</v>
      </c>
      <c r="AA26" s="553">
        <v>20</v>
      </c>
      <c r="AB26" s="553">
        <v>0</v>
      </c>
      <c r="AC26" s="553">
        <f t="shared" si="7"/>
        <v>0</v>
      </c>
    </row>
    <row r="27" spans="1:29" s="553" customFormat="1" ht="15.75" x14ac:dyDescent="0.2">
      <c r="A27" s="556"/>
      <c r="B27" s="696">
        <v>8</v>
      </c>
      <c r="C27" s="617" t="s">
        <v>1055</v>
      </c>
      <c r="D27" s="311" t="e">
        <f>VLOOKUP('Part 1'!$F$1,datar,+B27+28,FALSE)</f>
        <v>#N/A</v>
      </c>
      <c r="E27" s="618">
        <f>+'Supplementary Information'!$H$51</f>
        <v>0</v>
      </c>
      <c r="F27" s="618"/>
      <c r="G27" s="618" t="e">
        <f t="shared" si="3"/>
        <v>#N/A</v>
      </c>
      <c r="H27" s="619" t="e">
        <f t="shared" si="4"/>
        <v>#N/A</v>
      </c>
      <c r="I27" s="620"/>
      <c r="J27" s="625">
        <v>10</v>
      </c>
      <c r="K27" s="619">
        <v>0</v>
      </c>
      <c r="L27" s="619"/>
      <c r="M27" s="516" t="e">
        <f t="shared" si="5"/>
        <v>#N/A</v>
      </c>
      <c r="N27" s="621"/>
      <c r="O27" s="1047"/>
      <c r="P27" s="578"/>
      <c r="Y27" s="546" t="e">
        <f t="shared" si="6"/>
        <v>#N/A</v>
      </c>
      <c r="AA27" s="553">
        <v>10</v>
      </c>
      <c r="AB27" s="553">
        <v>0</v>
      </c>
      <c r="AC27" s="553">
        <f t="shared" si="7"/>
        <v>0</v>
      </c>
    </row>
    <row r="28" spans="1:29" s="553" customFormat="1" ht="15.75" x14ac:dyDescent="0.2">
      <c r="A28" s="556"/>
      <c r="B28" s="696">
        <v>9</v>
      </c>
      <c r="C28" s="617" t="s">
        <v>1051</v>
      </c>
      <c r="D28" s="311" t="e">
        <f>VLOOKUP('Part 1'!$F$1,datar,+B28+28,FALSE)</f>
        <v>#N/A</v>
      </c>
      <c r="E28" s="618">
        <f>+'Supplementary Information'!$H$53</f>
        <v>0</v>
      </c>
      <c r="F28" s="618"/>
      <c r="G28" s="618" t="e">
        <f t="shared" si="3"/>
        <v>#N/A</v>
      </c>
      <c r="H28" s="619" t="e">
        <f t="shared" si="4"/>
        <v>#N/A</v>
      </c>
      <c r="I28" s="620"/>
      <c r="J28" s="625">
        <v>10</v>
      </c>
      <c r="K28" s="619">
        <v>0</v>
      </c>
      <c r="L28" s="619"/>
      <c r="M28" s="516" t="e">
        <f t="shared" si="5"/>
        <v>#N/A</v>
      </c>
      <c r="N28" s="621"/>
      <c r="O28" s="1047"/>
      <c r="P28" s="578"/>
      <c r="Y28" s="546" t="e">
        <f t="shared" si="6"/>
        <v>#N/A</v>
      </c>
      <c r="AA28" s="553">
        <v>10</v>
      </c>
      <c r="AB28" s="553">
        <v>0</v>
      </c>
      <c r="AC28" s="553">
        <f t="shared" si="7"/>
        <v>0</v>
      </c>
    </row>
    <row r="29" spans="1:29" s="553" customFormat="1" ht="15.75" x14ac:dyDescent="0.2">
      <c r="A29" s="556"/>
      <c r="B29" s="696">
        <v>10</v>
      </c>
      <c r="C29" s="617" t="s">
        <v>1056</v>
      </c>
      <c r="D29" s="311" t="e">
        <f>VLOOKUP('Part 1'!$F$1,datar,+B29+28,FALSE)</f>
        <v>#N/A</v>
      </c>
      <c r="E29" s="618">
        <f>+'Supplementary Information'!$H$55</f>
        <v>0</v>
      </c>
      <c r="F29" s="618"/>
      <c r="G29" s="618" t="e">
        <f t="shared" si="3"/>
        <v>#N/A</v>
      </c>
      <c r="H29" s="619" t="e">
        <f t="shared" si="4"/>
        <v>#N/A</v>
      </c>
      <c r="I29" s="620"/>
      <c r="J29" s="625">
        <v>10</v>
      </c>
      <c r="K29" s="619">
        <v>0</v>
      </c>
      <c r="L29" s="619"/>
      <c r="M29" s="516" t="e">
        <f t="shared" si="5"/>
        <v>#N/A</v>
      </c>
      <c r="N29" s="621"/>
      <c r="O29" s="1047"/>
      <c r="P29" s="578"/>
      <c r="Y29" s="546" t="e">
        <f t="shared" si="6"/>
        <v>#N/A</v>
      </c>
      <c r="AA29" s="553">
        <v>10</v>
      </c>
      <c r="AB29" s="553">
        <v>0</v>
      </c>
      <c r="AC29" s="553">
        <f t="shared" si="7"/>
        <v>0</v>
      </c>
    </row>
    <row r="30" spans="1:29" s="553" customFormat="1" ht="15.75" x14ac:dyDescent="0.2">
      <c r="A30" s="556"/>
      <c r="B30" s="696">
        <v>11</v>
      </c>
      <c r="C30" s="617" t="s">
        <v>1057</v>
      </c>
      <c r="D30" s="311" t="e">
        <f>VLOOKUP('Part 1'!$F$1,datar,+B30+28,FALSE)</f>
        <v>#N/A</v>
      </c>
      <c r="E30" s="618">
        <f>+'Supplementary Information'!$H$57</f>
        <v>0</v>
      </c>
      <c r="F30" s="618"/>
      <c r="G30" s="618" t="e">
        <f t="shared" si="3"/>
        <v>#N/A</v>
      </c>
      <c r="H30" s="619" t="e">
        <f t="shared" si="4"/>
        <v>#N/A</v>
      </c>
      <c r="I30" s="620"/>
      <c r="J30" s="625">
        <v>10</v>
      </c>
      <c r="K30" s="619">
        <v>0</v>
      </c>
      <c r="L30" s="619"/>
      <c r="M30" s="516" t="e">
        <f t="shared" si="5"/>
        <v>#N/A</v>
      </c>
      <c r="N30" s="621"/>
      <c r="O30" s="1047"/>
      <c r="P30" s="578"/>
      <c r="Y30" s="546" t="e">
        <f t="shared" si="6"/>
        <v>#N/A</v>
      </c>
      <c r="AA30" s="553">
        <v>10</v>
      </c>
      <c r="AB30" s="553">
        <v>0</v>
      </c>
      <c r="AC30" s="553">
        <f t="shared" si="7"/>
        <v>0</v>
      </c>
    </row>
    <row r="31" spans="1:29" s="553" customFormat="1" ht="15.75" x14ac:dyDescent="0.2">
      <c r="A31" s="556"/>
      <c r="B31" s="696">
        <v>12</v>
      </c>
      <c r="C31" s="617" t="s">
        <v>1058</v>
      </c>
      <c r="D31" s="311" t="e">
        <f>VLOOKUP('Part 1'!$F$1,datar,+B31+28,FALSE)</f>
        <v>#N/A</v>
      </c>
      <c r="E31" s="618">
        <f>+'Supplementary Information'!$H$59</f>
        <v>0</v>
      </c>
      <c r="F31" s="618"/>
      <c r="G31" s="618" t="e">
        <f t="shared" si="3"/>
        <v>#N/A</v>
      </c>
      <c r="H31" s="619" t="e">
        <f t="shared" si="4"/>
        <v>#N/A</v>
      </c>
      <c r="I31" s="620"/>
      <c r="J31" s="625">
        <v>10</v>
      </c>
      <c r="K31" s="619">
        <v>0</v>
      </c>
      <c r="L31" s="619"/>
      <c r="M31" s="516" t="e">
        <f t="shared" si="5"/>
        <v>#N/A</v>
      </c>
      <c r="N31" s="621"/>
      <c r="O31" s="1047"/>
      <c r="P31" s="578"/>
      <c r="Y31" s="546" t="e">
        <f t="shared" si="6"/>
        <v>#N/A</v>
      </c>
      <c r="AA31" s="553">
        <v>10</v>
      </c>
      <c r="AB31" s="553">
        <v>0</v>
      </c>
      <c r="AC31" s="553">
        <f t="shared" si="7"/>
        <v>0</v>
      </c>
    </row>
    <row r="32" spans="1:29" s="553" customFormat="1" ht="15.75" x14ac:dyDescent="0.2">
      <c r="A32" s="556"/>
      <c r="B32" s="696">
        <v>13</v>
      </c>
      <c r="C32" s="617" t="s">
        <v>1064</v>
      </c>
      <c r="D32" s="311" t="e">
        <f>VLOOKUP('Part 1'!$F$1,datar,+B32+28,FALSE)</f>
        <v>#N/A</v>
      </c>
      <c r="E32" s="618">
        <f>+'Supplementary Information'!$H$69</f>
        <v>0</v>
      </c>
      <c r="F32" s="618"/>
      <c r="G32" s="618" t="e">
        <f t="shared" si="3"/>
        <v>#N/A</v>
      </c>
      <c r="H32" s="619" t="e">
        <f t="shared" si="4"/>
        <v>#N/A</v>
      </c>
      <c r="I32" s="620"/>
      <c r="J32" s="625">
        <v>100</v>
      </c>
      <c r="K32" s="619">
        <v>0.1</v>
      </c>
      <c r="L32" s="619"/>
      <c r="M32" s="516" t="e">
        <f t="shared" si="5"/>
        <v>#N/A</v>
      </c>
      <c r="N32" s="621"/>
      <c r="O32" s="1047"/>
      <c r="P32" s="578"/>
      <c r="Y32" s="546" t="e">
        <f t="shared" si="6"/>
        <v>#N/A</v>
      </c>
      <c r="AA32" s="553">
        <v>100</v>
      </c>
      <c r="AB32" s="553">
        <v>0.1</v>
      </c>
      <c r="AC32" s="553">
        <f t="shared" si="7"/>
        <v>0</v>
      </c>
    </row>
    <row r="33" spans="1:29" s="553" customFormat="1" ht="15.75" x14ac:dyDescent="0.2">
      <c r="A33" s="556"/>
      <c r="B33" s="696">
        <v>14</v>
      </c>
      <c r="C33" s="617" t="s">
        <v>1061</v>
      </c>
      <c r="D33" s="311" t="e">
        <f>VLOOKUP('Part 1'!$F$1,datar,+B33+28,FALSE)</f>
        <v>#N/A</v>
      </c>
      <c r="E33" s="618">
        <f>+'Supplementary Information'!$H$71</f>
        <v>0</v>
      </c>
      <c r="F33" s="618"/>
      <c r="G33" s="618" t="e">
        <f t="shared" si="3"/>
        <v>#N/A</v>
      </c>
      <c r="H33" s="619" t="e">
        <f t="shared" si="4"/>
        <v>#N/A</v>
      </c>
      <c r="I33" s="620"/>
      <c r="J33" s="625">
        <v>100</v>
      </c>
      <c r="K33" s="619">
        <v>0.1</v>
      </c>
      <c r="L33" s="619"/>
      <c r="M33" s="516" t="e">
        <f t="shared" si="5"/>
        <v>#N/A</v>
      </c>
      <c r="N33" s="621"/>
      <c r="O33" s="1044"/>
      <c r="P33" s="578"/>
      <c r="Y33" s="546" t="e">
        <f t="shared" si="6"/>
        <v>#N/A</v>
      </c>
      <c r="AA33" s="553">
        <v>100</v>
      </c>
      <c r="AB33" s="553">
        <v>0.1</v>
      </c>
      <c r="AC33" s="553">
        <f t="shared" si="7"/>
        <v>0</v>
      </c>
    </row>
    <row r="34" spans="1:29" s="553" customFormat="1" ht="15.75" x14ac:dyDescent="0.2">
      <c r="A34" s="605"/>
      <c r="B34" s="696">
        <v>15</v>
      </c>
      <c r="C34" s="617" t="s">
        <v>2352</v>
      </c>
      <c r="D34" s="311" t="e">
        <f>VLOOKUP('Part 1'!$F$1,datar,+B34+28,FALSE)+D35</f>
        <v>#N/A</v>
      </c>
      <c r="E34" s="618">
        <f>+'Supplementary Information'!$H$74</f>
        <v>0</v>
      </c>
      <c r="F34" s="618"/>
      <c r="G34" s="618" t="e">
        <f>+E34-D34</f>
        <v>#N/A</v>
      </c>
      <c r="H34" s="619" t="e">
        <f t="shared" si="4"/>
        <v>#N/A</v>
      </c>
      <c r="I34" s="620"/>
      <c r="J34" s="625">
        <v>100</v>
      </c>
      <c r="K34" s="619">
        <v>0.1</v>
      </c>
      <c r="L34" s="619"/>
      <c r="M34" s="516" t="e">
        <f t="shared" si="5"/>
        <v>#N/A</v>
      </c>
      <c r="N34" s="621"/>
      <c r="O34" s="1044"/>
      <c r="P34" s="578"/>
      <c r="Y34" s="546" t="e">
        <f t="shared" si="6"/>
        <v>#N/A</v>
      </c>
      <c r="AA34" s="553">
        <v>100</v>
      </c>
      <c r="AB34" s="553">
        <v>0.1</v>
      </c>
      <c r="AC34" s="553">
        <f t="shared" si="7"/>
        <v>0</v>
      </c>
    </row>
    <row r="35" spans="1:29" s="553" customFormat="1" ht="15.75" x14ac:dyDescent="0.2">
      <c r="A35" s="556"/>
      <c r="B35" s="696">
        <v>16</v>
      </c>
      <c r="C35" s="617" t="s">
        <v>2355</v>
      </c>
      <c r="D35" s="1917" t="e">
        <f>VLOOKUP('Part 1'!$F$1,datar,+B35+28,FALSE)</f>
        <v>#N/A</v>
      </c>
      <c r="E35" s="618">
        <f>+'Supplementary Information'!$H$76</f>
        <v>0</v>
      </c>
      <c r="F35" s="618"/>
      <c r="G35" s="1918" t="e">
        <f>+E35-D35</f>
        <v>#N/A</v>
      </c>
      <c r="H35" s="1919" t="e">
        <f t="shared" si="4"/>
        <v>#N/A</v>
      </c>
      <c r="I35" s="620"/>
      <c r="J35" s="625">
        <v>100</v>
      </c>
      <c r="K35" s="619">
        <v>0.1</v>
      </c>
      <c r="L35" s="619"/>
      <c r="M35" s="516" t="str">
        <f t="shared" si="5"/>
        <v>Comment made</v>
      </c>
      <c r="N35" s="621"/>
      <c r="O35" s="1044" t="s">
        <v>3097</v>
      </c>
      <c r="P35" s="578"/>
      <c r="Y35" s="546">
        <f t="shared" si="6"/>
        <v>1</v>
      </c>
      <c r="AA35" s="553">
        <v>100</v>
      </c>
      <c r="AB35" s="553">
        <v>0.1</v>
      </c>
      <c r="AC35" s="553">
        <f t="shared" si="7"/>
        <v>0</v>
      </c>
    </row>
    <row r="36" spans="1:29" s="553" customFormat="1" ht="16.5" thickBot="1" x14ac:dyDescent="0.25">
      <c r="A36" s="556"/>
      <c r="B36" s="697">
        <v>17</v>
      </c>
      <c r="C36" s="698" t="s">
        <v>1062</v>
      </c>
      <c r="D36" s="1920" t="e">
        <f>VLOOKUP('Part 1'!$F$1,datar,+B36+28,FALSE)</f>
        <v>#N/A</v>
      </c>
      <c r="E36" s="700">
        <f>+'Supplementary Information'!$H$78</f>
        <v>0</v>
      </c>
      <c r="F36" s="700"/>
      <c r="G36" s="1921" t="e">
        <f>+E36-D36</f>
        <v>#N/A</v>
      </c>
      <c r="H36" s="2019" t="e">
        <f t="shared" si="4"/>
        <v>#N/A</v>
      </c>
      <c r="I36" s="702"/>
      <c r="J36" s="703">
        <v>100</v>
      </c>
      <c r="K36" s="701">
        <v>0.1</v>
      </c>
      <c r="L36" s="701"/>
      <c r="M36" s="516" t="str">
        <f t="shared" si="5"/>
        <v>Comment made</v>
      </c>
      <c r="N36" s="704"/>
      <c r="O36" s="1048" t="s">
        <v>3097</v>
      </c>
      <c r="P36" s="578"/>
      <c r="Y36" s="546">
        <f t="shared" si="6"/>
        <v>1</v>
      </c>
      <c r="AA36" s="553">
        <v>100</v>
      </c>
      <c r="AB36" s="553">
        <v>0.1</v>
      </c>
      <c r="AC36" s="553">
        <f t="shared" si="7"/>
        <v>0</v>
      </c>
    </row>
    <row r="37" spans="1:29" s="553" customFormat="1" x14ac:dyDescent="0.2">
      <c r="A37" s="556"/>
      <c r="B37" s="569"/>
      <c r="C37" s="570"/>
      <c r="D37" s="311"/>
      <c r="E37" s="571"/>
      <c r="F37" s="571"/>
      <c r="G37" s="571"/>
      <c r="H37" s="571"/>
      <c r="I37" s="571"/>
      <c r="J37" s="571"/>
      <c r="K37" s="571"/>
      <c r="L37" s="571"/>
      <c r="M37" s="571"/>
      <c r="N37" s="571"/>
      <c r="O37" s="571"/>
      <c r="P37" s="578"/>
      <c r="Y37" s="546"/>
    </row>
    <row r="38" spans="1:29" s="553" customFormat="1" ht="30" customHeight="1" thickBot="1" x14ac:dyDescent="0.3">
      <c r="A38" s="556"/>
      <c r="B38" s="569"/>
      <c r="C38" s="561" t="s">
        <v>1063</v>
      </c>
      <c r="D38" s="616" t="s">
        <v>1066</v>
      </c>
      <c r="E38" s="2338" t="s">
        <v>1067</v>
      </c>
      <c r="F38" s="2338"/>
      <c r="G38" s="2338"/>
      <c r="H38" s="571"/>
      <c r="I38" s="571"/>
      <c r="J38" s="571"/>
      <c r="K38" s="571"/>
      <c r="L38" s="571"/>
      <c r="M38" s="571"/>
      <c r="N38" s="571"/>
      <c r="O38" s="571"/>
      <c r="P38" s="578"/>
    </row>
    <row r="39" spans="1:29" s="553" customFormat="1" ht="45.75" thickBot="1" x14ac:dyDescent="0.25">
      <c r="A39" s="556"/>
      <c r="B39" s="705">
        <v>18</v>
      </c>
      <c r="C39" s="706" t="s">
        <v>1065</v>
      </c>
      <c r="D39" s="707" t="e">
        <f>VLOOKUP('Part 1'!$F$1,datar,+B39+28,FALSE)</f>
        <v>#N/A</v>
      </c>
      <c r="E39" s="708">
        <f>+E32+E33+E36</f>
        <v>0</v>
      </c>
      <c r="F39" s="708"/>
      <c r="G39" s="708" t="e">
        <f>+E39-D39</f>
        <v>#N/A</v>
      </c>
      <c r="H39" s="709" t="e">
        <f>IF(AND(D39=0,E39=0),0,IF(AND(D39=0,E39&lt;&gt;0),1,G39/D39))</f>
        <v>#N/A</v>
      </c>
      <c r="I39" s="710"/>
      <c r="J39" s="711">
        <v>25</v>
      </c>
      <c r="K39" s="709">
        <v>0.05</v>
      </c>
      <c r="L39" s="709"/>
      <c r="M39" s="865" t="e">
        <f>IF(O39&lt;&gt;"","Comment made", IF(AND(ABS(H39)&gt;K39,ABS(G39)&gt;J39),"Please comment","OK"))</f>
        <v>#N/A</v>
      </c>
      <c r="N39" s="712"/>
      <c r="O39" s="1049"/>
      <c r="P39" s="578"/>
      <c r="Y39" s="546" t="e">
        <f t="shared" si="6"/>
        <v>#N/A</v>
      </c>
      <c r="AA39" s="553">
        <v>25</v>
      </c>
      <c r="AB39" s="553">
        <v>0.05</v>
      </c>
      <c r="AC39" s="553">
        <f t="shared" si="7"/>
        <v>0</v>
      </c>
    </row>
    <row r="40" spans="1:29" s="553" customFormat="1" x14ac:dyDescent="0.2">
      <c r="A40" s="556"/>
      <c r="B40" s="569"/>
      <c r="C40" s="604"/>
      <c r="D40" s="311"/>
      <c r="E40" s="571"/>
      <c r="F40" s="571"/>
      <c r="G40" s="571"/>
      <c r="H40" s="571"/>
      <c r="I40" s="571"/>
      <c r="J40" s="571"/>
      <c r="K40" s="571"/>
      <c r="L40" s="571"/>
      <c r="M40" s="571"/>
      <c r="N40" s="571"/>
      <c r="O40" s="571"/>
      <c r="P40" s="578"/>
      <c r="AC40" s="1730">
        <f>IF(SUM(AC18:AC39)&gt;0,1,0)</f>
        <v>0</v>
      </c>
    </row>
    <row r="41" spans="1:29" s="553" customFormat="1" x14ac:dyDescent="0.2">
      <c r="A41" s="556"/>
      <c r="B41" s="555"/>
      <c r="C41" s="557"/>
      <c r="D41" s="555"/>
      <c r="E41" s="583"/>
      <c r="F41" s="583"/>
      <c r="G41" s="555"/>
      <c r="H41" s="555"/>
      <c r="I41" s="555"/>
      <c r="J41" s="557"/>
      <c r="K41" s="557"/>
      <c r="L41" s="557"/>
      <c r="M41" s="568"/>
      <c r="N41" s="557"/>
      <c r="O41" s="555"/>
      <c r="P41" s="558"/>
    </row>
    <row r="42" spans="1:29" s="553" customFormat="1" ht="15.75" x14ac:dyDescent="0.25">
      <c r="A42" s="556"/>
      <c r="B42" s="555"/>
      <c r="C42" s="555"/>
      <c r="D42" s="555"/>
      <c r="E42" s="555"/>
      <c r="F42" s="555"/>
      <c r="G42" s="2326" t="s">
        <v>2354</v>
      </c>
      <c r="H42" s="2327"/>
      <c r="I42" s="2327"/>
      <c r="J42" s="2327"/>
      <c r="K42" s="2327"/>
      <c r="L42" s="2328"/>
      <c r="M42" s="1051">
        <f>COUNTIF($M$18:$M$39,"Please comment")</f>
        <v>0</v>
      </c>
      <c r="N42" s="557"/>
      <c r="O42" s="555"/>
      <c r="P42" s="558"/>
    </row>
    <row r="43" spans="1:29" s="553" customFormat="1" ht="16.5" thickBot="1" x14ac:dyDescent="0.3">
      <c r="A43" s="556"/>
      <c r="B43" s="630" t="s">
        <v>1068</v>
      </c>
      <c r="C43" s="443"/>
      <c r="D43" s="443"/>
      <c r="E43" s="443"/>
      <c r="F43" s="443"/>
      <c r="G43" s="629"/>
      <c r="H43" s="629"/>
      <c r="I43" s="629"/>
      <c r="J43" s="629"/>
      <c r="K43" s="629"/>
      <c r="L43" s="629"/>
      <c r="M43" s="449"/>
      <c r="N43" s="449"/>
      <c r="O43" s="443"/>
      <c r="P43" s="558"/>
      <c r="Q43" s="555"/>
      <c r="R43" s="555"/>
    </row>
    <row r="44" spans="1:29" s="553" customFormat="1" ht="57" customHeight="1" thickBot="1" x14ac:dyDescent="0.25">
      <c r="A44" s="659"/>
      <c r="B44" s="2323"/>
      <c r="C44" s="2324"/>
      <c r="D44" s="2324"/>
      <c r="E44" s="2324"/>
      <c r="F44" s="2324"/>
      <c r="G44" s="2324"/>
      <c r="H44" s="2324"/>
      <c r="I44" s="2324"/>
      <c r="J44" s="2324"/>
      <c r="K44" s="2324"/>
      <c r="L44" s="2324"/>
      <c r="M44" s="2324"/>
      <c r="N44" s="2324"/>
      <c r="O44" s="2325"/>
      <c r="P44" s="660"/>
      <c r="Q44" s="555"/>
      <c r="R44" s="555"/>
    </row>
    <row r="45" spans="1:29" s="553" customFormat="1" ht="15.75" thickBot="1" x14ac:dyDescent="0.25">
      <c r="A45" s="586"/>
      <c r="B45" s="584"/>
      <c r="C45" s="584"/>
      <c r="D45" s="584"/>
      <c r="E45" s="584"/>
      <c r="F45" s="584"/>
      <c r="G45" s="584"/>
      <c r="H45" s="584"/>
      <c r="I45" s="584"/>
      <c r="J45" s="585"/>
      <c r="K45" s="585"/>
      <c r="L45" s="585"/>
      <c r="M45" s="585"/>
      <c r="N45" s="585"/>
      <c r="O45" s="584"/>
      <c r="P45" s="587"/>
      <c r="Q45" s="555"/>
      <c r="R45" s="555"/>
    </row>
    <row r="46" spans="1:29" s="555" customFormat="1" x14ac:dyDescent="0.2">
      <c r="J46" s="557"/>
      <c r="K46" s="557"/>
      <c r="L46" s="557"/>
      <c r="M46" s="557"/>
      <c r="N46" s="557"/>
    </row>
    <row r="47" spans="1:29" s="555" customFormat="1" x14ac:dyDescent="0.2">
      <c r="J47" s="557"/>
      <c r="K47" s="557"/>
      <c r="L47" s="557"/>
      <c r="M47" s="557"/>
      <c r="N47" s="557"/>
    </row>
    <row r="48" spans="1:29" s="555" customFormat="1" x14ac:dyDescent="0.2">
      <c r="J48" s="557"/>
      <c r="K48" s="557"/>
      <c r="L48" s="557"/>
      <c r="M48" s="557"/>
      <c r="N48" s="557"/>
    </row>
    <row r="49" spans="2:15" s="555" customFormat="1" ht="18" x14ac:dyDescent="0.25">
      <c r="B49" s="588"/>
      <c r="C49" s="2337"/>
      <c r="D49" s="2337"/>
      <c r="E49" s="2337"/>
      <c r="F49" s="2337"/>
      <c r="G49" s="2337"/>
      <c r="H49" s="2337"/>
      <c r="I49" s="2337"/>
      <c r="J49" s="557"/>
      <c r="K49" s="557"/>
      <c r="L49" s="557"/>
      <c r="M49" s="557"/>
      <c r="N49" s="557"/>
    </row>
    <row r="50" spans="2:15" s="555" customFormat="1" ht="18" x14ac:dyDescent="0.25">
      <c r="B50" s="588"/>
      <c r="C50" s="2337"/>
      <c r="D50" s="2337"/>
      <c r="E50" s="2337"/>
      <c r="F50" s="2337"/>
      <c r="G50" s="2337"/>
      <c r="H50" s="2337"/>
      <c r="I50" s="2337"/>
      <c r="J50" s="557"/>
      <c r="K50" s="557"/>
      <c r="L50" s="557"/>
      <c r="M50" s="557"/>
      <c r="N50" s="557"/>
    </row>
    <row r="51" spans="2:15" s="555" customFormat="1" ht="18" x14ac:dyDescent="0.25">
      <c r="B51" s="588"/>
      <c r="C51" s="2337"/>
      <c r="D51" s="2337"/>
      <c r="E51" s="2337"/>
      <c r="F51" s="2337"/>
      <c r="G51" s="2337"/>
      <c r="H51" s="2337"/>
      <c r="I51" s="2337"/>
      <c r="J51" s="557"/>
      <c r="K51" s="557"/>
      <c r="L51" s="557"/>
      <c r="M51" s="557"/>
      <c r="N51" s="557"/>
    </row>
    <row r="52" spans="2:15" s="555" customFormat="1" x14ac:dyDescent="0.2">
      <c r="J52" s="557"/>
      <c r="K52" s="557"/>
      <c r="L52" s="557"/>
      <c r="M52" s="557"/>
      <c r="N52" s="557"/>
    </row>
    <row r="53" spans="2:15" s="555" customFormat="1" x14ac:dyDescent="0.2">
      <c r="J53" s="557"/>
      <c r="K53" s="557"/>
      <c r="L53" s="557"/>
      <c r="M53" s="557"/>
      <c r="N53" s="557"/>
    </row>
    <row r="54" spans="2:15" s="555" customFormat="1" x14ac:dyDescent="0.2">
      <c r="J54" s="557"/>
      <c r="K54" s="557"/>
      <c r="L54" s="557"/>
      <c r="M54" s="557"/>
      <c r="N54" s="557"/>
    </row>
    <row r="55" spans="2:15" s="555" customFormat="1" x14ac:dyDescent="0.2">
      <c r="J55" s="557"/>
      <c r="K55" s="557"/>
      <c r="L55" s="557"/>
      <c r="M55" s="557"/>
      <c r="N55" s="557"/>
    </row>
    <row r="56" spans="2:15" s="555" customFormat="1" x14ac:dyDescent="0.2">
      <c r="J56" s="557"/>
      <c r="K56" s="557"/>
      <c r="L56" s="557"/>
      <c r="M56" s="557"/>
      <c r="N56" s="557"/>
    </row>
    <row r="57" spans="2:15" s="555" customFormat="1" x14ac:dyDescent="0.2">
      <c r="J57" s="557"/>
      <c r="K57" s="557"/>
      <c r="L57" s="557"/>
      <c r="M57" s="557"/>
      <c r="N57" s="557"/>
    </row>
    <row r="58" spans="2:15" s="555" customFormat="1" x14ac:dyDescent="0.2">
      <c r="J58" s="557"/>
      <c r="K58" s="557"/>
      <c r="L58" s="557"/>
      <c r="M58" s="557"/>
      <c r="N58" s="557"/>
    </row>
    <row r="59" spans="2:15" s="555" customFormat="1" x14ac:dyDescent="0.2">
      <c r="J59" s="557"/>
      <c r="K59" s="557"/>
      <c r="L59" s="557"/>
      <c r="M59" s="557"/>
      <c r="N59" s="557"/>
    </row>
    <row r="60" spans="2:15" s="555" customFormat="1" x14ac:dyDescent="0.2">
      <c r="J60" s="557"/>
      <c r="K60" s="557"/>
      <c r="L60" s="557"/>
      <c r="M60" s="557"/>
      <c r="N60" s="557"/>
    </row>
    <row r="61" spans="2:15" s="555" customFormat="1" x14ac:dyDescent="0.2">
      <c r="J61" s="557"/>
      <c r="K61" s="557"/>
      <c r="L61" s="557"/>
      <c r="M61" s="557"/>
      <c r="N61" s="557"/>
    </row>
    <row r="62" spans="2:15" s="555" customFormat="1" x14ac:dyDescent="0.2">
      <c r="J62" s="557"/>
      <c r="K62" s="557"/>
      <c r="L62" s="557"/>
      <c r="M62" s="557"/>
      <c r="N62" s="557"/>
    </row>
    <row r="63" spans="2:15" s="555" customFormat="1" x14ac:dyDescent="0.2">
      <c r="J63" s="557"/>
      <c r="K63" s="557"/>
      <c r="L63" s="557"/>
      <c r="M63" s="557"/>
      <c r="N63" s="557"/>
    </row>
    <row r="64" spans="2:15" s="555" customFormat="1" x14ac:dyDescent="0.2">
      <c r="J64" s="557"/>
      <c r="K64" s="557"/>
      <c r="L64" s="557"/>
      <c r="M64" s="557"/>
      <c r="N64" s="557"/>
      <c r="O64" s="553"/>
    </row>
    <row r="65" spans="1:16" s="555" customFormat="1" x14ac:dyDescent="0.2">
      <c r="B65" s="589"/>
      <c r="C65" s="589"/>
      <c r="D65" s="589"/>
      <c r="E65" s="589"/>
      <c r="F65" s="590"/>
      <c r="G65" s="589"/>
      <c r="H65" s="589"/>
      <c r="I65" s="589"/>
      <c r="J65" s="591"/>
      <c r="K65" s="591"/>
      <c r="L65" s="591"/>
      <c r="M65" s="591"/>
      <c r="N65" s="592"/>
      <c r="O65" s="553"/>
    </row>
    <row r="66" spans="1:16" s="553" customFormat="1" x14ac:dyDescent="0.2">
      <c r="A66" s="555"/>
      <c r="B66" s="589"/>
      <c r="C66" s="589"/>
      <c r="D66" s="589"/>
      <c r="E66" s="589"/>
      <c r="F66" s="590"/>
      <c r="G66" s="589"/>
      <c r="H66" s="589"/>
      <c r="I66" s="589"/>
      <c r="J66" s="591"/>
      <c r="K66" s="591"/>
      <c r="L66" s="591"/>
      <c r="M66" s="591"/>
      <c r="N66" s="592"/>
      <c r="P66" s="555"/>
    </row>
    <row r="67" spans="1:16" x14ac:dyDescent="0.2">
      <c r="A67" s="555"/>
    </row>
  </sheetData>
  <sheetProtection sheet="1" objects="1" scenarios="1"/>
  <mergeCells count="13">
    <mergeCell ref="E38:G38"/>
    <mergeCell ref="A2:P2"/>
    <mergeCell ref="A3:P3"/>
    <mergeCell ref="A4:P4"/>
    <mergeCell ref="A5:P5"/>
    <mergeCell ref="D15:E15"/>
    <mergeCell ref="G15:H15"/>
    <mergeCell ref="J15:K15"/>
    <mergeCell ref="C51:I51"/>
    <mergeCell ref="G42:L42"/>
    <mergeCell ref="C49:I49"/>
    <mergeCell ref="C50:I50"/>
    <mergeCell ref="B44:O44"/>
  </mergeCells>
  <conditionalFormatting sqref="M17">
    <cfRule type="expression" dxfId="175" priority="66" stopIfTrue="1">
      <formula>M17="Please comment"</formula>
    </cfRule>
    <cfRule type="expression" dxfId="174" priority="67" stopIfTrue="1">
      <formula>M17="OK"</formula>
    </cfRule>
  </conditionalFormatting>
  <conditionalFormatting sqref="O23:O24">
    <cfRule type="expression" dxfId="173" priority="62" stopIfTrue="1">
      <formula>O23="Please comment"</formula>
    </cfRule>
    <cfRule type="expression" dxfId="172" priority="63" stopIfTrue="1">
      <formula>O23="OK"</formula>
    </cfRule>
  </conditionalFormatting>
  <conditionalFormatting sqref="O18:O22 O25:O33">
    <cfRule type="expression" dxfId="171" priority="60" stopIfTrue="1">
      <formula>AND($M18="Please comment")=TRUE</formula>
    </cfRule>
  </conditionalFormatting>
  <conditionalFormatting sqref="O36">
    <cfRule type="expression" dxfId="170" priority="39" stopIfTrue="1">
      <formula>AND($M36="Please comment")=TRUE</formula>
    </cfRule>
  </conditionalFormatting>
  <conditionalFormatting sqref="O35">
    <cfRule type="expression" dxfId="169" priority="30" stopIfTrue="1">
      <formula>AND($M35="Please comment")=TRUE</formula>
    </cfRule>
  </conditionalFormatting>
  <conditionalFormatting sqref="O34">
    <cfRule type="expression" dxfId="168" priority="28" stopIfTrue="1">
      <formula>AND($M34="Please comment")=TRUE</formula>
    </cfRule>
  </conditionalFormatting>
  <conditionalFormatting sqref="O39">
    <cfRule type="expression" dxfId="167" priority="27" stopIfTrue="1">
      <formula>AND($M39="Please comment")=TRUE</formula>
    </cfRule>
  </conditionalFormatting>
  <conditionalFormatting sqref="M43">
    <cfRule type="expression" dxfId="166" priority="26" stopIfTrue="1">
      <formula>AND(M43&lt;&gt;0)=TRUE</formula>
    </cfRule>
  </conditionalFormatting>
  <conditionalFormatting sqref="M18:M22">
    <cfRule type="expression" dxfId="165" priority="10">
      <formula>M18="Comment made"</formula>
    </cfRule>
    <cfRule type="expression" dxfId="164" priority="12" stopIfTrue="1">
      <formula>M18="Please comment"</formula>
    </cfRule>
    <cfRule type="expression" dxfId="163" priority="13" stopIfTrue="1">
      <formula>M18="OK"</formula>
    </cfRule>
  </conditionalFormatting>
  <conditionalFormatting sqref="M25:M36">
    <cfRule type="expression" dxfId="162" priority="6">
      <formula>M25="Comment made"</formula>
    </cfRule>
    <cfRule type="expression" dxfId="161" priority="8" stopIfTrue="1">
      <formula>M25="Please comment"</formula>
    </cfRule>
    <cfRule type="expression" dxfId="160" priority="9" stopIfTrue="1">
      <formula>M25="OK"</formula>
    </cfRule>
  </conditionalFormatting>
  <conditionalFormatting sqref="M39">
    <cfRule type="expression" dxfId="159" priority="2">
      <formula>M39="Comment made"</formula>
    </cfRule>
    <cfRule type="expression" dxfId="158" priority="4" stopIfTrue="1">
      <formula>M39="Please comment"</formula>
    </cfRule>
    <cfRule type="expression" dxfId="157" priority="5" stopIfTrue="1">
      <formula>M39="OK"</formula>
    </cfRule>
  </conditionalFormatting>
  <pageMargins left="0.39370078740157483" right="0.39370078740157483" top="0.39370078740157483" bottom="0.39370078740157483" header="0.31496062992125984" footer="0.31496062992125984"/>
  <pageSetup paperSize="9" scale="6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6C09F41E-67B7-40F2-BD79-304926FF328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41</vt:i4>
      </vt:variant>
    </vt:vector>
  </HeadingPairs>
  <TitlesOfParts>
    <vt:vector size="65" baseType="lpstr">
      <vt:lpstr>Title</vt:lpstr>
      <vt:lpstr>Part 1</vt:lpstr>
      <vt:lpstr>Part 2</vt:lpstr>
      <vt:lpstr>Part 3</vt:lpstr>
      <vt:lpstr>Part 3 DA summary</vt:lpstr>
      <vt:lpstr>Part 4</vt:lpstr>
      <vt:lpstr>Supplementary Information</vt:lpstr>
      <vt:lpstr>Main Validation</vt:lpstr>
      <vt:lpstr>Supplementary Validation</vt:lpstr>
      <vt:lpstr>TierSplit</vt:lpstr>
      <vt:lpstr>EZ list</vt:lpstr>
      <vt:lpstr>LA List</vt:lpstr>
      <vt:lpstr>Data</vt:lpstr>
      <vt:lpstr>Data 1617</vt:lpstr>
      <vt:lpstr>Access_NNDR1</vt:lpstr>
      <vt:lpstr>LA_info</vt:lpstr>
      <vt:lpstr>Access_DASummary</vt:lpstr>
      <vt:lpstr>CHECK P1</vt:lpstr>
      <vt:lpstr>CHECK P2</vt:lpstr>
      <vt:lpstr>CHECK P3</vt:lpstr>
      <vt:lpstr>CHECK P3 DA</vt:lpstr>
      <vt:lpstr>CHECK P4</vt:lpstr>
      <vt:lpstr>CHECK SUPPLEMENTARY</vt:lpstr>
      <vt:lpstr>Access_Validations</vt:lpstr>
      <vt:lpstr>CONTACT</vt:lpstr>
      <vt:lpstr>'CHECK P3 DA'!CTRprint1</vt:lpstr>
      <vt:lpstr>'Part 3 DA summary'!CTRprint1</vt:lpstr>
      <vt:lpstr>'CHECK P3 DA'!CTRprint2</vt:lpstr>
      <vt:lpstr>'Part 3 DA summary'!CTRprint2</vt:lpstr>
      <vt:lpstr>'Data 1617'!datar</vt:lpstr>
      <vt:lpstr>datar</vt:lpstr>
      <vt:lpstr>Import_AuditData</vt:lpstr>
      <vt:lpstr>Import_FormData</vt:lpstr>
      <vt:lpstr>Import_LA_Code</vt:lpstr>
      <vt:lpstr>Import_LA_Name</vt:lpstr>
      <vt:lpstr>Import_NotesData</vt:lpstr>
      <vt:lpstr>Import_ValidationData</vt:lpstr>
      <vt:lpstr>'CHECK P2'!Print_Area</vt:lpstr>
      <vt:lpstr>'CHECK P3'!Print_Area</vt:lpstr>
      <vt:lpstr>'CHECK P3 DA'!Print_Area</vt:lpstr>
      <vt:lpstr>'CHECK P4'!Print_Area</vt:lpstr>
      <vt:lpstr>'CHECK SUPPLEMENTARY'!Print_Area</vt:lpstr>
      <vt:lpstr>Data!Print_Area</vt:lpstr>
      <vt:lpstr>'Data 1617'!Print_Area</vt:lpstr>
      <vt:lpstr>'EZ list'!Print_Area</vt:lpstr>
      <vt:lpstr>'Main Validation'!Print_Area</vt:lpstr>
      <vt:lpstr>'Part 1'!Print_Area</vt:lpstr>
      <vt:lpstr>'Part 2'!Print_Area</vt:lpstr>
      <vt:lpstr>'Part 3'!Print_Area</vt:lpstr>
      <vt:lpstr>'Part 3 DA summary'!Print_Area</vt:lpstr>
      <vt:lpstr>'Part 4'!Print_Area</vt:lpstr>
      <vt:lpstr>'Supplementary Information'!Print_Area</vt:lpstr>
      <vt:lpstr>'Supplementary Validation'!Print_Area</vt:lpstr>
      <vt:lpstr>Title!Print_Area</vt:lpstr>
      <vt:lpstr>'CHECK P2'!Print_Titles</vt:lpstr>
      <vt:lpstr>'CHECK P3 DA'!Print_Titles</vt:lpstr>
      <vt:lpstr>Data!Print_Titles</vt:lpstr>
      <vt:lpstr>'Data 1617'!Print_Titles</vt:lpstr>
      <vt:lpstr>'EZ list'!Print_Titles</vt:lpstr>
      <vt:lpstr>'Main Validation'!Print_Titles</vt:lpstr>
      <vt:lpstr>'Part 1'!Print_Titles</vt:lpstr>
      <vt:lpstr>'Part 2'!Print_Titles</vt:lpstr>
      <vt:lpstr>'Part 3 DA summary'!Print_Titles</vt:lpstr>
      <vt:lpstr>'Supplementary Validation'!Print_Titles</vt:lpstr>
      <vt:lpstr>tiersplit</vt:lpstr>
    </vt:vector>
  </TitlesOfParts>
  <Company>DCLG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Nigel Harrison</cp:lastModifiedBy>
  <cp:lastPrinted>2016-12-20T14:29:21Z</cp:lastPrinted>
  <dcterms:created xsi:type="dcterms:W3CDTF">2013-07-12T16:47:25Z</dcterms:created>
  <dcterms:modified xsi:type="dcterms:W3CDTF">2016-12-21T16:32:32Z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c94f3597-4f31-4b57-9e3d-a480fd513fdf</vt:lpwstr>
  </property>
  <property fmtid="{D5CDD505-2E9C-101B-9397-08002B2CF9AE}" pid="3" name="bjSaver">
    <vt:lpwstr>XePHT1A/4MVOnNF8mnysHX9hPqgb2QQL</vt:lpwstr>
  </property>
  <property fmtid="{D5CDD505-2E9C-101B-9397-08002B2CF9AE}" pid="4" name="bjDocumentSecurityLabel">
    <vt:lpwstr>No Marking</vt:lpwstr>
  </property>
</Properties>
</file>